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12990" windowHeight="8985" tabRatio="959"/>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Itemization 33" sheetId="19" r:id="rId19"/>
    <sheet name="REF 34" sheetId="20" r:id="rId20"/>
    <sheet name="Opinion-Notes 35" sheetId="21" r:id="rId21"/>
    <sheet name="DeficitAFRSum Calc 36" sheetId="22" r:id="rId22"/>
    <sheet name="AUDITCHECK" sheetId="23" r:id="rId23"/>
    <sheet name="AFR18" sheetId="24" state="hidden" r:id="rId24"/>
    <sheet name="Single Audit Cover" sheetId="25" r:id="rId25"/>
    <sheet name="Single Audit Checklist" sheetId="26" r:id="rId26"/>
    <sheet name="SEFA Reconcile" sheetId="27" r:id="rId27"/>
    <sheet name="SEFA NOTES" sheetId="28" r:id="rId28"/>
    <sheet name=" SEFA" sheetId="29" r:id="rId29"/>
    <sheet name=" SEFA (2)" sheetId="30" r:id="rId30"/>
    <sheet name=" SEFA (3)" sheetId="31" r:id="rId31"/>
    <sheet name=" SEFA (4)" sheetId="32" r:id="rId32"/>
    <sheet name="SF&amp;QC Sec-1" sheetId="33" r:id="rId33"/>
    <sheet name="SF&amp;QC Sec-2" sheetId="34" r:id="rId34"/>
    <sheet name="SF&amp;QC Sec-3" sheetId="35" r:id="rId35"/>
    <sheet name="SSPAF" sheetId="36" r:id="rId36"/>
  </sheets>
  <definedNames>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2">'Aud Quest 2'!$A$1:$J$120</definedName>
    <definedName name="_xlnm.Print_Area" localSheetId="15">'ICR Computation 30'!$A$1:$G$46</definedName>
    <definedName name="_xlnm.Print_Area" localSheetId="18">'Itemization 33'!$A$1:$B$53</definedName>
    <definedName name="_xlnm.Print_Area" localSheetId="13">'PCTC-OEPP 27-28'!$A$1:$G$189</definedName>
    <definedName name="_xlnm.Print_Area" localSheetId="27">'SEFA NOTES'!$A$1:$F$52</definedName>
    <definedName name="_xlnm.Print_Area" localSheetId="26">'SEFA Reconcile'!$A$1:$E$49</definedName>
    <definedName name="_xlnm.Print_Area" localSheetId="32">'SF&amp;QC Sec-1'!$A$1:$J$63</definedName>
    <definedName name="_xlnm.Print_Area" localSheetId="34">'SF&amp;QC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 name="Z_41DB9079_7F95_4228_8A4A_E6D48377DB38_.wvu.Cols" localSheetId="14" hidden="1">'Contracts Paid in CY 29'!$E:$E</definedName>
    <definedName name="Z_41DB9079_7F95_4228_8A4A_E6D48377DB38_.wvu.Cols" localSheetId="4" hidden="1">'Fin Profile 4'!$J:$J</definedName>
    <definedName name="Z_41DB9079_7F95_4228_8A4A_E6D48377DB38_.wvu.PrintArea" localSheetId="28" hidden="1">' SEFA'!$B$1:$M$46</definedName>
    <definedName name="Z_41DB9079_7F95_4228_8A4A_E6D48377DB38_.wvu.PrintArea" localSheetId="29" hidden="1">' SEFA (2)'!$B$1:$M$46</definedName>
    <definedName name="Z_41DB9079_7F95_4228_8A4A_E6D48377DB38_.wvu.PrintArea" localSheetId="30" hidden="1">' SEFA (3)'!$B$1:$M$46</definedName>
    <definedName name="Z_41DB9079_7F95_4228_8A4A_E6D48377DB38_.wvu.PrintArea" localSheetId="31" hidden="1">' SEFA (4)'!$B$1:$M$46</definedName>
    <definedName name="Z_41DB9079_7F95_4228_8A4A_E6D48377DB38_.wvu.PrintArea" localSheetId="2" hidden="1">'Aud Quest 2'!$A$1:$J$120</definedName>
    <definedName name="Z_41DB9079_7F95_4228_8A4A_E6D48377DB38_.wvu.PrintArea" localSheetId="15" hidden="1">'ICR Computation 30'!$A$1:$G$46</definedName>
    <definedName name="Z_41DB9079_7F95_4228_8A4A_E6D48377DB38_.wvu.PrintArea" localSheetId="18" hidden="1">'Itemization 33'!$A$1:$B$53</definedName>
    <definedName name="Z_41DB9079_7F95_4228_8A4A_E6D48377DB38_.wvu.PrintArea" localSheetId="13" hidden="1">'PCTC-OEPP 27-28'!$A$1:$G$189</definedName>
    <definedName name="Z_41DB9079_7F95_4228_8A4A_E6D48377DB38_.wvu.PrintArea" localSheetId="27" hidden="1">'SEFA NOTES'!$A$1:$F$52</definedName>
    <definedName name="Z_41DB9079_7F95_4228_8A4A_E6D48377DB38_.wvu.PrintArea" localSheetId="26" hidden="1">'SEFA Reconcile'!$A$1:$E$49</definedName>
    <definedName name="Z_41DB9079_7F95_4228_8A4A_E6D48377DB38_.wvu.PrintArea" localSheetId="32" hidden="1">'SF&amp;QC Sec-1'!$A$1:$J$63</definedName>
    <definedName name="Z_41DB9079_7F95_4228_8A4A_E6D48377DB38_.wvu.PrintArea" localSheetId="34" hidden="1">'SF&amp;QC Sec-3'!$A$1:$K$52</definedName>
    <definedName name="Z_41DB9079_7F95_4228_8A4A_E6D48377DB38_.wvu.PrintArea" localSheetId="16" hidden="1">'Shared Outsourced Services 31'!$A$1:$F$43</definedName>
    <definedName name="Z_41DB9079_7F95_4228_8A4A_E6D48377DB38_.wvu.PrintArea" localSheetId="25" hidden="1">'Single Audit Checklist'!$A$1:$D$124</definedName>
    <definedName name="Z_41DB9079_7F95_4228_8A4A_E6D48377DB38_.wvu.PrintArea" localSheetId="24" hidden="1">'Single Audit Cover'!$A$1:$L$52</definedName>
    <definedName name="Z_41DB9079_7F95_4228_8A4A_E6D48377DB38_.wvu.PrintTitles" localSheetId="6" hidden="1">'Acct Summary 7-8'!$A:$B,'Acct Summary 7-8'!$1:$2</definedName>
    <definedName name="Z_41DB9079_7F95_4228_8A4A_E6D48377DB38_.wvu.PrintTitles" localSheetId="5" hidden="1">'Assets-Liab 5-6'!$A:$B,'Assets-Liab 5-6'!$1:$2</definedName>
    <definedName name="Z_41DB9079_7F95_4228_8A4A_E6D48377DB38_.wvu.PrintTitles" localSheetId="22" hidden="1">AUDITCHECK!$20:$20</definedName>
    <definedName name="Z_41DB9079_7F95_4228_8A4A_E6D48377DB38_.wvu.PrintTitles" localSheetId="14" hidden="1">'Contracts Paid in CY 29'!$15:$15</definedName>
    <definedName name="Z_41DB9079_7F95_4228_8A4A_E6D48377DB38_.wvu.PrintTitles" localSheetId="8" hidden="1">'Expenditures 15-22'!$A:$B,'Expenditures 15-22'!$1:$2</definedName>
    <definedName name="Z_41DB9079_7F95_4228_8A4A_E6D48377DB38_.wvu.PrintTitles" localSheetId="13" hidden="1">'PCTC-OEPP 27-28'!$1:$5</definedName>
    <definedName name="Z_41DB9079_7F95_4228_8A4A_E6D48377DB38_.wvu.PrintTitles" localSheetId="7" hidden="1">'Revenues 9-14'!$A:$B,'Revenues 9-14'!$1:$2</definedName>
    <definedName name="Z_41DB9079_7F95_4228_8A4A_E6D48377DB38_.wvu.PrintTitles" localSheetId="16" hidden="1">'Shared Outsourced Services 31'!$5:$5</definedName>
    <definedName name="Z_41DB9079_7F95_4228_8A4A_E6D48377DB38_.wvu.PrintTitles" localSheetId="25" hidden="1">'Single Audit Checklist'!$1:$4</definedName>
    <definedName name="Z_41DB9079_7F95_4228_8A4A_E6D48377DB38_.wvu.Rows" localSheetId="6" hidden="1">'Acct Summary 7-8'!$83:$83</definedName>
    <definedName name="Z_41DB9079_7F95_4228_8A4A_E6D48377DB38_.wvu.Rows" localSheetId="2" hidden="1">'Aud Quest 2'!$12:$12,'Aud Quest 2'!$17:$17,'Aud Quest 2'!$19:$19,'Aud Quest 2'!$34:$34,'Aud Quest 2'!$39:$39</definedName>
    <definedName name="Z_41DB9079_7F95_4228_8A4A_E6D48377DB38_.wvu.Rows" localSheetId="22" hidden="1">AUDITCHECK!$27:$28</definedName>
    <definedName name="Z_41DB9079_7F95_4228_8A4A_E6D48377DB38_.wvu.Rows" localSheetId="21" hidden="1">'DeficitAFRSum Calc 36'!$16:$19</definedName>
    <definedName name="Z_41DB9079_7F95_4228_8A4A_E6D48377DB38_.wvu.Rows" localSheetId="3" hidden="1">'FP Info 3'!$12:$12,'FP Info 3'!$26:$26,'FP Info 3'!$39:$39</definedName>
    <definedName name="Z_41DB9079_7F95_4228_8A4A_E6D48377DB38_.wvu.Rows" localSheetId="13" hidden="1">'PCTC-OEPP 27-28'!$137:$160</definedName>
    <definedName name="Z_41DB9079_7F95_4228_8A4A_E6D48377DB38_.wvu.Rows" localSheetId="16" hidden="1">'Shared Outsourced Services 31'!$39:$39,'Shared Outsourced Services 31'!$44:$44,'Shared Outsourced Services 31'!$49:$49</definedName>
    <definedName name="Z_41DB9079_7F95_4228_8A4A_E6D48377DB38_.wvu.Rows" localSheetId="1" hidden="1">TOC!$38:$39</definedName>
    <definedName name="Z_D71D2A76_4AD5_4124_819F_51F94C4C53C9_.wvu.Cols" localSheetId="14" hidden="1">'Contracts Paid in CY 29'!$E:$E</definedName>
    <definedName name="Z_D71D2A76_4AD5_4124_819F_51F94C4C53C9_.wvu.Cols" localSheetId="4" hidden="1">'Fin Profile 4'!$J:$J</definedName>
    <definedName name="Z_D71D2A76_4AD5_4124_819F_51F94C4C53C9_.wvu.PrintArea" localSheetId="28" hidden="1">' SEFA'!$B$1:$M$46</definedName>
    <definedName name="Z_D71D2A76_4AD5_4124_819F_51F94C4C53C9_.wvu.PrintArea" localSheetId="29" hidden="1">' SEFA (2)'!$B$1:$M$46</definedName>
    <definedName name="Z_D71D2A76_4AD5_4124_819F_51F94C4C53C9_.wvu.PrintArea" localSheetId="30" hidden="1">' SEFA (3)'!$B$1:$M$46</definedName>
    <definedName name="Z_D71D2A76_4AD5_4124_819F_51F94C4C53C9_.wvu.PrintArea" localSheetId="31" hidden="1">' SEFA (4)'!$B$1:$M$46</definedName>
    <definedName name="Z_D71D2A76_4AD5_4124_819F_51F94C4C53C9_.wvu.PrintArea" localSheetId="2" hidden="1">'Aud Quest 2'!$A$1:$J$120</definedName>
    <definedName name="Z_D71D2A76_4AD5_4124_819F_51F94C4C53C9_.wvu.PrintArea" localSheetId="15" hidden="1">'ICR Computation 30'!$A$1:$G$46</definedName>
    <definedName name="Z_D71D2A76_4AD5_4124_819F_51F94C4C53C9_.wvu.PrintArea" localSheetId="18" hidden="1">'Itemization 33'!$A$1:$B$53</definedName>
    <definedName name="Z_D71D2A76_4AD5_4124_819F_51F94C4C53C9_.wvu.PrintArea" localSheetId="13" hidden="1">'PCTC-OEPP 27-28'!$A$1:$G$189</definedName>
    <definedName name="Z_D71D2A76_4AD5_4124_819F_51F94C4C53C9_.wvu.PrintArea" localSheetId="27" hidden="1">'SEFA NOTES'!$A$1:$F$52</definedName>
    <definedName name="Z_D71D2A76_4AD5_4124_819F_51F94C4C53C9_.wvu.PrintArea" localSheetId="26" hidden="1">'SEFA Reconcile'!$A$1:$E$49</definedName>
    <definedName name="Z_D71D2A76_4AD5_4124_819F_51F94C4C53C9_.wvu.PrintArea" localSheetId="32" hidden="1">'SF&amp;QC Sec-1'!$A$1:$J$63</definedName>
    <definedName name="Z_D71D2A76_4AD5_4124_819F_51F94C4C53C9_.wvu.PrintArea" localSheetId="34" hidden="1">'SF&amp;QC Sec-3'!$A$1:$K$52</definedName>
    <definedName name="Z_D71D2A76_4AD5_4124_819F_51F94C4C53C9_.wvu.PrintArea" localSheetId="16" hidden="1">'Shared Outsourced Services 31'!$A$1:$F$43</definedName>
    <definedName name="Z_D71D2A76_4AD5_4124_819F_51F94C4C53C9_.wvu.PrintArea" localSheetId="25" hidden="1">'Single Audit Checklist'!$A$1:$D$124</definedName>
    <definedName name="Z_D71D2A76_4AD5_4124_819F_51F94C4C53C9_.wvu.PrintArea" localSheetId="24" hidden="1">'Single Audit Cover'!$A$1:$L$52</definedName>
    <definedName name="Z_D71D2A76_4AD5_4124_819F_51F94C4C53C9_.wvu.PrintTitles" localSheetId="6" hidden="1">'Acct Summary 7-8'!$A:$B,'Acct Summary 7-8'!$1:$2</definedName>
    <definedName name="Z_D71D2A76_4AD5_4124_819F_51F94C4C53C9_.wvu.PrintTitles" localSheetId="5" hidden="1">'Assets-Liab 5-6'!$A:$B,'Assets-Liab 5-6'!$1:$2</definedName>
    <definedName name="Z_D71D2A76_4AD5_4124_819F_51F94C4C53C9_.wvu.PrintTitles" localSheetId="22" hidden="1">AUDITCHECK!$20:$20</definedName>
    <definedName name="Z_D71D2A76_4AD5_4124_819F_51F94C4C53C9_.wvu.PrintTitles" localSheetId="14" hidden="1">'Contracts Paid in CY 29'!$15:$15</definedName>
    <definedName name="Z_D71D2A76_4AD5_4124_819F_51F94C4C53C9_.wvu.PrintTitles" localSheetId="8" hidden="1">'Expenditures 15-22'!$A:$B,'Expenditures 15-22'!$1:$2</definedName>
    <definedName name="Z_D71D2A76_4AD5_4124_819F_51F94C4C53C9_.wvu.PrintTitles" localSheetId="13" hidden="1">'PCTC-OEPP 27-28'!$1:$5</definedName>
    <definedName name="Z_D71D2A76_4AD5_4124_819F_51F94C4C53C9_.wvu.PrintTitles" localSheetId="7" hidden="1">'Revenues 9-14'!$A:$B,'Revenues 9-14'!$1:$2</definedName>
    <definedName name="Z_D71D2A76_4AD5_4124_819F_51F94C4C53C9_.wvu.PrintTitles" localSheetId="16" hidden="1">'Shared Outsourced Services 31'!$5:$5</definedName>
    <definedName name="Z_D71D2A76_4AD5_4124_819F_51F94C4C53C9_.wvu.PrintTitles" localSheetId="25" hidden="1">'Single Audit Checklist'!$1:$4</definedName>
    <definedName name="Z_D71D2A76_4AD5_4124_819F_51F94C4C53C9_.wvu.Rows" localSheetId="6" hidden="1">'Acct Summary 7-8'!$83:$83</definedName>
    <definedName name="Z_D71D2A76_4AD5_4124_819F_51F94C4C53C9_.wvu.Rows" localSheetId="2" hidden="1">'Aud Quest 2'!$12:$12,'Aud Quest 2'!$17:$17,'Aud Quest 2'!$19:$19,'Aud Quest 2'!$34:$34,'Aud Quest 2'!$39:$39</definedName>
    <definedName name="Z_D71D2A76_4AD5_4124_819F_51F94C4C53C9_.wvu.Rows" localSheetId="22" hidden="1">AUDITCHECK!$27:$28</definedName>
    <definedName name="Z_D71D2A76_4AD5_4124_819F_51F94C4C53C9_.wvu.Rows" localSheetId="21" hidden="1">'DeficitAFRSum Calc 36'!$16:$19</definedName>
    <definedName name="Z_D71D2A76_4AD5_4124_819F_51F94C4C53C9_.wvu.Rows" localSheetId="3" hidden="1">'FP Info 3'!$12:$12,'FP Info 3'!$26:$26,'FP Info 3'!$39:$39</definedName>
    <definedName name="Z_D71D2A76_4AD5_4124_819F_51F94C4C53C9_.wvu.Rows" localSheetId="13" hidden="1">'PCTC-OEPP 27-28'!$137:$160</definedName>
    <definedName name="Z_D71D2A76_4AD5_4124_819F_51F94C4C53C9_.wvu.Rows" localSheetId="16" hidden="1">'Shared Outsourced Services 31'!$39:$39,'Shared Outsourced Services 31'!$44:$44,'Shared Outsourced Services 31'!$49:$49</definedName>
    <definedName name="Z_D71D2A76_4AD5_4124_819F_51F94C4C53C9_.wvu.Rows" localSheetId="1" hidden="1">TOC!$38:$39</definedName>
  </definedNames>
  <calcPr calcId="162913"/>
  <customWorkbookViews>
    <customWorkbookView name="Paula - Personal View" guid="{41DB9079-7F95-4228-8A4A-E6D48377DB38}" mergeInterval="0" personalView="1" maximized="1" xWindow="-8" yWindow="-8" windowWidth="1936" windowHeight="1056" tabRatio="959" activeSheetId="25"/>
    <customWorkbookView name="Ann - Personal View" guid="{D71D2A76-4AD5-4124-819F-51F94C4C53C9}" mergeInterval="0" personalView="1" xWindow="339" yWindow="119" windowWidth="1275" windowHeight="903" tabRatio="959" activeSheetId="25"/>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6" i="29" l="1"/>
  <c r="L26" i="29"/>
  <c r="M22" i="29"/>
  <c r="K25" i="32" l="1"/>
  <c r="J25" i="32"/>
  <c r="H25" i="32"/>
  <c r="K18" i="32" l="1"/>
  <c r="J18" i="32"/>
  <c r="I18" i="32"/>
  <c r="H18" i="32"/>
  <c r="G18" i="32"/>
  <c r="F18" i="32"/>
  <c r="E18" i="32"/>
  <c r="K19" i="32"/>
  <c r="J19" i="32"/>
  <c r="I19" i="32"/>
  <c r="H19" i="32"/>
  <c r="G19" i="32"/>
  <c r="F19" i="32"/>
  <c r="E19" i="32"/>
  <c r="K20" i="32"/>
  <c r="J20" i="32"/>
  <c r="I20" i="32"/>
  <c r="H20" i="32"/>
  <c r="G20" i="32"/>
  <c r="F20" i="32"/>
  <c r="E20" i="32"/>
  <c r="K17" i="32"/>
  <c r="J17" i="32"/>
  <c r="I17" i="32"/>
  <c r="H17" i="32"/>
  <c r="G17" i="32"/>
  <c r="F17" i="32"/>
  <c r="E17" i="32"/>
  <c r="K16" i="32"/>
  <c r="J16" i="32"/>
  <c r="I16" i="32"/>
  <c r="H16" i="32"/>
  <c r="G16" i="32"/>
  <c r="F16" i="32"/>
  <c r="E16" i="32"/>
  <c r="K15" i="32"/>
  <c r="J15" i="32"/>
  <c r="I15" i="32"/>
  <c r="H15" i="32"/>
  <c r="G15" i="32"/>
  <c r="F15" i="32"/>
  <c r="E15" i="32"/>
  <c r="K14" i="32"/>
  <c r="J14" i="32"/>
  <c r="I14" i="32"/>
  <c r="H14" i="32"/>
  <c r="G14" i="32"/>
  <c r="F14" i="32"/>
  <c r="E14" i="32"/>
  <c r="K13" i="32"/>
  <c r="J13" i="32"/>
  <c r="I13" i="32"/>
  <c r="H13" i="32"/>
  <c r="G13" i="32"/>
  <c r="F13" i="32"/>
  <c r="E13" i="32"/>
  <c r="K12" i="32"/>
  <c r="K22" i="32" s="1"/>
  <c r="J12" i="32"/>
  <c r="J22" i="32" s="1"/>
  <c r="I12" i="32"/>
  <c r="H12" i="32"/>
  <c r="H22" i="32" s="1"/>
  <c r="G12" i="32"/>
  <c r="G22" i="32" s="1"/>
  <c r="F12" i="32"/>
  <c r="F22" i="32" s="1"/>
  <c r="E12" i="32"/>
  <c r="E22" i="32" l="1"/>
  <c r="I22" i="32"/>
  <c r="L22" i="32" s="1"/>
  <c r="I22" i="29"/>
  <c r="G22" i="29"/>
  <c r="F22" i="29"/>
  <c r="E22" i="29"/>
  <c r="E27" i="29" s="1"/>
  <c r="E17" i="31" s="1"/>
  <c r="L21" i="29"/>
  <c r="I20" i="30"/>
  <c r="I25" i="32" s="1"/>
  <c r="G20" i="30"/>
  <c r="G25" i="32" s="1"/>
  <c r="F20" i="30"/>
  <c r="F25" i="32" s="1"/>
  <c r="E20" i="30"/>
  <c r="E25" i="32" s="1"/>
  <c r="I26" i="29"/>
  <c r="G26" i="29"/>
  <c r="F26" i="29"/>
  <c r="E26" i="29"/>
  <c r="L20" i="32"/>
  <c r="L19" i="32"/>
  <c r="L18" i="32"/>
  <c r="L17" i="32"/>
  <c r="L16" i="32"/>
  <c r="L15" i="32"/>
  <c r="L14" i="32"/>
  <c r="L13" i="32"/>
  <c r="L12" i="32"/>
  <c r="B4" i="32"/>
  <c r="L13" i="31"/>
  <c r="B4" i="31"/>
  <c r="L24" i="30"/>
  <c r="L17" i="30"/>
  <c r="L16" i="30"/>
  <c r="L15" i="30"/>
  <c r="L14" i="30"/>
  <c r="L13" i="30"/>
  <c r="B4" i="30"/>
  <c r="F27" i="29" l="1"/>
  <c r="F17" i="31" s="1"/>
  <c r="G27" i="29"/>
  <c r="G17" i="31" s="1"/>
  <c r="I27" i="29"/>
  <c r="I17" i="31" s="1"/>
  <c r="L20" i="30"/>
  <c r="L25" i="32" s="1"/>
  <c r="D182" i="14"/>
  <c r="L17" i="31" l="1"/>
  <c r="C7" i="17"/>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1" i="23" s="1"/>
  <c r="K356" i="9" l="1"/>
  <c r="K355" i="9"/>
  <c r="B7794" i="24" s="1"/>
  <c r="K354" i="9"/>
  <c r="H357" i="9"/>
  <c r="L334" i="9"/>
  <c r="K333" i="9"/>
  <c r="B7788" i="24" s="1"/>
  <c r="K332" i="9"/>
  <c r="B7786" i="24" s="1"/>
  <c r="H334" i="9"/>
  <c r="B7789" i="24" s="1"/>
  <c r="K282" i="9"/>
  <c r="B7784" i="24" s="1"/>
  <c r="H160" i="9"/>
  <c r="K159" i="9"/>
  <c r="K158" i="9"/>
  <c r="B7780" i="24" s="1"/>
  <c r="K157" i="9"/>
  <c r="B7795" i="24"/>
  <c r="K133" i="9"/>
  <c r="B7776" i="24" s="1"/>
  <c r="B7793" i="24"/>
  <c r="B7791" i="24"/>
  <c r="B7787" i="24"/>
  <c r="B7785" i="24"/>
  <c r="B7783" i="24"/>
  <c r="B7782"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F31" i="15"/>
  <c r="G31" i="15" s="1"/>
  <c r="E31" i="15"/>
  <c r="F30" i="15"/>
  <c r="G30" i="15" s="1"/>
  <c r="E30" i="15"/>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F18" i="15"/>
  <c r="G18" i="15" s="1"/>
  <c r="E18" i="15"/>
  <c r="D141" i="15" l="1"/>
  <c r="D80" i="23" l="1"/>
  <c r="B7797" i="24"/>
  <c r="E141" i="15"/>
  <c r="E17" i="15"/>
  <c r="E16" i="15"/>
  <c r="F16" i="15" s="1"/>
  <c r="G16" i="15" s="1"/>
  <c r="F17" i="15" l="1"/>
  <c r="G17" i="15" s="1"/>
  <c r="G141" i="15" s="1"/>
  <c r="G40" i="16" l="1"/>
  <c r="B7799" i="24"/>
  <c r="F141" i="15"/>
  <c r="B7798" i="24" s="1"/>
  <c r="E40" i="16"/>
  <c r="B4" i="29" l="1"/>
  <c r="D17" i="27" l="1"/>
  <c r="L27" i="29" l="1"/>
  <c r="L25" i="29"/>
  <c r="L24" i="29"/>
  <c r="L20" i="29"/>
  <c r="L19" i="29"/>
  <c r="L18" i="29"/>
  <c r="L17" i="29"/>
  <c r="L16" i="29"/>
  <c r="L15" i="29"/>
  <c r="L14" i="29"/>
  <c r="L13" i="29"/>
  <c r="L22" i="29" l="1"/>
  <c r="D14" i="27"/>
  <c r="D12" i="27"/>
  <c r="A10" i="25"/>
  <c r="A16" i="25"/>
  <c r="A15" i="25"/>
  <c r="A14" i="25"/>
  <c r="K18" i="25"/>
  <c r="G18" i="25"/>
  <c r="G15" i="25"/>
  <c r="I13" i="25"/>
  <c r="G11" i="25"/>
  <c r="G10" i="25"/>
  <c r="G9" i="25"/>
  <c r="G7" i="25"/>
  <c r="E7" i="25"/>
  <c r="A7" i="25"/>
  <c r="B4" i="36"/>
  <c r="B4" i="35"/>
  <c r="B4" i="34"/>
  <c r="G43" i="33"/>
  <c r="D47" i="33" s="1"/>
  <c r="B4" i="33"/>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29" l="1"/>
  <c r="B2" i="30"/>
  <c r="B2" i="32"/>
  <c r="B2" i="31"/>
  <c r="B1" i="32"/>
  <c r="B1" i="31"/>
  <c r="B1" i="30"/>
  <c r="B2" i="36"/>
  <c r="B2" i="33"/>
  <c r="A2" i="26"/>
  <c r="A2" i="28"/>
  <c r="A1" i="27"/>
  <c r="B1" i="29"/>
  <c r="B2" i="35"/>
  <c r="B1" i="34"/>
  <c r="B1" i="36"/>
  <c r="A1" i="26"/>
  <c r="A2" i="27"/>
  <c r="A1" i="28"/>
  <c r="B1" i="33"/>
  <c r="B2" i="34"/>
  <c r="B1" i="35"/>
  <c r="B7773" i="24" l="1"/>
  <c r="B61" i="24" l="1"/>
  <c r="B52" i="24"/>
  <c r="B51" i="24" l="1"/>
  <c r="B49" i="24"/>
  <c r="B48" i="24"/>
  <c r="B47" i="24"/>
  <c r="B46" i="24"/>
  <c r="B45" i="24"/>
  <c r="B44" i="24"/>
  <c r="B43" i="24"/>
  <c r="B42" i="24"/>
  <c r="B41" i="24"/>
  <c r="B50" i="24"/>
  <c r="F163" i="14" l="1"/>
  <c r="B7769" i="24"/>
  <c r="B7768" i="24"/>
  <c r="B7766" i="24"/>
  <c r="B7765" i="24"/>
  <c r="B7764" i="24"/>
  <c r="D7764" i="24" s="1"/>
  <c r="J85" i="3"/>
  <c r="B7758" i="24" s="1"/>
  <c r="D7758" i="24" s="1"/>
  <c r="J88" i="3"/>
  <c r="K6" i="9"/>
  <c r="B7763" i="24" s="1"/>
  <c r="B7762" i="24"/>
  <c r="K12" i="12"/>
  <c r="K23" i="12"/>
  <c r="J12" i="12"/>
  <c r="J21" i="12"/>
  <c r="J23" i="12" s="1"/>
  <c r="B7729" i="24"/>
  <c r="B7734" i="24"/>
  <c r="D7734" i="24" s="1"/>
  <c r="B7726" i="24"/>
  <c r="D76" i="23"/>
  <c r="F162" i="14"/>
  <c r="B30" i="23"/>
  <c r="B33" i="23" s="1"/>
  <c r="B43" i="23" s="1"/>
  <c r="B56" i="23" s="1"/>
  <c r="B66" i="23" s="1"/>
  <c r="B70" i="23" s="1"/>
  <c r="B74" i="23" s="1"/>
  <c r="D73" i="23"/>
  <c r="C191" i="8"/>
  <c r="C201" i="8"/>
  <c r="B5246" i="24" s="1"/>
  <c r="D5246" i="24" s="1"/>
  <c r="C211" i="8"/>
  <c r="B5260" i="24" s="1"/>
  <c r="D5260" i="24" s="1"/>
  <c r="C216" i="8"/>
  <c r="C224" i="8"/>
  <c r="C228" i="8"/>
  <c r="C259" i="8"/>
  <c r="B7761" i="24"/>
  <c r="D7761" i="24" s="1"/>
  <c r="L127" i="9"/>
  <c r="L129" i="9" s="1"/>
  <c r="L139" i="9"/>
  <c r="L149" i="9"/>
  <c r="I7" i="18"/>
  <c r="I6" i="18"/>
  <c r="D78" i="23"/>
  <c r="K75" i="9"/>
  <c r="K130" i="9"/>
  <c r="K185" i="9"/>
  <c r="K122" i="9"/>
  <c r="F15" i="18" s="1"/>
  <c r="F19" i="18" s="1"/>
  <c r="K67" i="9"/>
  <c r="E33" i="16" s="1"/>
  <c r="K64" i="9"/>
  <c r="K59" i="9"/>
  <c r="E15" i="18" s="1"/>
  <c r="K56" i="9"/>
  <c r="E14" i="18" s="1"/>
  <c r="G14" i="18" s="1"/>
  <c r="K51" i="9"/>
  <c r="E13" i="18" s="1"/>
  <c r="G13" i="18" s="1"/>
  <c r="I19" i="18"/>
  <c r="H19" i="18"/>
  <c r="J18" i="18"/>
  <c r="J12" i="18"/>
  <c r="J13" i="18"/>
  <c r="J14" i="18"/>
  <c r="J15" i="18"/>
  <c r="J16" i="18"/>
  <c r="J17" i="18"/>
  <c r="G18" i="18"/>
  <c r="D75" i="23"/>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B92" i="24"/>
  <c r="D92"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B123" i="24"/>
  <c r="D123" i="24" s="1"/>
  <c r="D125" i="24"/>
  <c r="B126" i="24"/>
  <c r="D126" i="24" s="1"/>
  <c r="D127" i="24"/>
  <c r="D128" i="24"/>
  <c r="B129" i="24"/>
  <c r="D129" i="24" s="1"/>
  <c r="B130" i="24"/>
  <c r="D130" i="24" s="1"/>
  <c r="E13" i="6"/>
  <c r="B131" i="24" s="1"/>
  <c r="D131" i="24" s="1"/>
  <c r="D132" i="24"/>
  <c r="D133" i="24"/>
  <c r="B134" i="24"/>
  <c r="D134" i="24" s="1"/>
  <c r="D135" i="24"/>
  <c r="D136" i="24"/>
  <c r="D137" i="24"/>
  <c r="D138" i="24"/>
  <c r="E34" i="6"/>
  <c r="B140" i="24"/>
  <c r="D140" i="24" s="1"/>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B170" i="24"/>
  <c r="D170" i="24" s="1"/>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B189" i="24"/>
  <c r="D189" i="24" s="1"/>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B212" i="24"/>
  <c r="D212" i="24" s="1"/>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B273" i="24"/>
  <c r="D273" i="24" s="1"/>
  <c r="B274" i="24"/>
  <c r="D274" i="24" s="1"/>
  <c r="B275" i="24"/>
  <c r="D275" i="24" s="1"/>
  <c r="B276" i="24"/>
  <c r="D276" i="24" s="1"/>
  <c r="D277" i="24"/>
  <c r="D278" i="24"/>
  <c r="M23" i="6"/>
  <c r="B279" i="24" s="1"/>
  <c r="D279" i="24" s="1"/>
  <c r="B280" i="24"/>
  <c r="D280" i="24" s="1"/>
  <c r="M41" i="6"/>
  <c r="B281" i="24" s="1"/>
  <c r="D281" i="24" s="1"/>
  <c r="B282" i="24"/>
  <c r="D282" i="24" s="1"/>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B1126" i="24"/>
  <c r="D1126" i="24" s="1"/>
  <c r="K60" i="9"/>
  <c r="K61" i="9"/>
  <c r="K62" i="9"/>
  <c r="B1129" i="24" s="1"/>
  <c r="D1129" i="24" s="1"/>
  <c r="K63" i="9"/>
  <c r="B1130" i="24" s="1"/>
  <c r="D1130" i="24" s="1"/>
  <c r="D1132" i="24"/>
  <c r="K68" i="9"/>
  <c r="K69" i="9"/>
  <c r="B1136" i="24" s="1"/>
  <c r="D1136" i="24" s="1"/>
  <c r="K70" i="9"/>
  <c r="B1137" i="24" s="1"/>
  <c r="D1137" i="24" s="1"/>
  <c r="D1138" i="24"/>
  <c r="K71" i="9"/>
  <c r="B1139" i="24" s="1"/>
  <c r="D1139" i="24" s="1"/>
  <c r="D1140" i="24"/>
  <c r="K73" i="9"/>
  <c r="B1142" i="24" s="1"/>
  <c r="D1142" i="24" s="1"/>
  <c r="K78" i="9"/>
  <c r="B2973" i="24" s="1"/>
  <c r="D2973" i="24" s="1"/>
  <c r="K79" i="9"/>
  <c r="K80" i="9"/>
  <c r="K81" i="9"/>
  <c r="K82" i="9"/>
  <c r="K83" i="9"/>
  <c r="B2978" i="24" s="1"/>
  <c r="D2978" i="24" s="1"/>
  <c r="K93" i="9"/>
  <c r="K94" i="9"/>
  <c r="B6999" i="24" s="1"/>
  <c r="D6999" i="24" s="1"/>
  <c r="K95" i="9"/>
  <c r="B7001" i="24" s="1"/>
  <c r="D7001" i="24" s="1"/>
  <c r="K96" i="9"/>
  <c r="K97" i="9"/>
  <c r="K98" i="9"/>
  <c r="K99" i="9"/>
  <c r="K101" i="9"/>
  <c r="B7015" i="24" s="1"/>
  <c r="D7015" i="24" s="1"/>
  <c r="K105" i="9"/>
  <c r="K106" i="9"/>
  <c r="B1147" i="24" s="1"/>
  <c r="D1147" i="24" s="1"/>
  <c r="D1148" i="24"/>
  <c r="K109" i="9"/>
  <c r="B1149" i="24" s="1"/>
  <c r="D1149" i="24" s="1"/>
  <c r="D1150" i="24"/>
  <c r="K107" i="9"/>
  <c r="K108" i="9"/>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B1223" i="24"/>
  <c r="D1223" i="24" s="1"/>
  <c r="B1224" i="24"/>
  <c r="D1224" i="24" s="1"/>
  <c r="C129" i="9"/>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K128" i="9"/>
  <c r="B1280" i="24" s="1"/>
  <c r="D1280" i="24" s="1"/>
  <c r="K120" i="9"/>
  <c r="K134" i="9"/>
  <c r="K135" i="9"/>
  <c r="B2987" i="24" s="1"/>
  <c r="D2987" i="24" s="1"/>
  <c r="K136" i="9"/>
  <c r="B2988" i="24" s="1"/>
  <c r="D2988" i="24" s="1"/>
  <c r="K138" i="9"/>
  <c r="K142" i="9"/>
  <c r="K143" i="9"/>
  <c r="B1284" i="24" s="1"/>
  <c r="D1284" i="24" s="1"/>
  <c r="K146" i="9"/>
  <c r="B1285" i="24" s="1"/>
  <c r="D1285" i="24" s="1"/>
  <c r="D1286" i="24"/>
  <c r="K144" i="9"/>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K188" i="9"/>
  <c r="B3007" i="24" s="1"/>
  <c r="D3007" i="24" s="1"/>
  <c r="K189" i="9"/>
  <c r="B3008" i="24" s="1"/>
  <c r="D3008" i="24" s="1"/>
  <c r="K190" i="9"/>
  <c r="B3009" i="24" s="1"/>
  <c r="D3009" i="24" s="1"/>
  <c r="K191" i="9"/>
  <c r="B3010" i="24" s="1"/>
  <c r="D3010" i="24" s="1"/>
  <c r="K192" i="9"/>
  <c r="K193" i="9"/>
  <c r="K195" i="9"/>
  <c r="B2839" i="24" s="1"/>
  <c r="K199" i="9"/>
  <c r="B1383" i="24" s="1"/>
  <c r="D1383" i="24" s="1"/>
  <c r="K200" i="9"/>
  <c r="B1384" i="24" s="1"/>
  <c r="D1384" i="24" s="1"/>
  <c r="K203" i="9"/>
  <c r="B1385" i="24" s="1"/>
  <c r="D1385" i="24" s="1"/>
  <c r="D1386" i="24"/>
  <c r="K201" i="9"/>
  <c r="B2841" i="24" s="1"/>
  <c r="D2841" i="24" s="1"/>
  <c r="K202" i="9"/>
  <c r="K205" i="9"/>
  <c r="K206" i="9"/>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K217" i="9"/>
  <c r="B3391" i="24" s="1"/>
  <c r="D3391" i="24" s="1"/>
  <c r="K218" i="9"/>
  <c r="K219" i="9"/>
  <c r="B3065" i="24" s="1"/>
  <c r="D3065" i="24" s="1"/>
  <c r="K220" i="9"/>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K248" i="9"/>
  <c r="K249" i="9"/>
  <c r="K250" i="9"/>
  <c r="B7086" i="24" s="1"/>
  <c r="D7086" i="24" s="1"/>
  <c r="K251" i="9"/>
  <c r="B7088" i="24" s="1"/>
  <c r="D7088" i="24" s="1"/>
  <c r="K252" i="9"/>
  <c r="K253" i="9"/>
  <c r="K254" i="9"/>
  <c r="K255" i="9"/>
  <c r="K256" i="9"/>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K288" i="9"/>
  <c r="K289" i="9"/>
  <c r="B1513" i="24" s="1"/>
  <c r="D1513" i="24" s="1"/>
  <c r="K292" i="9"/>
  <c r="B1514" i="24" s="1"/>
  <c r="D1514" i="24" s="1"/>
  <c r="K290" i="9"/>
  <c r="B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s="1"/>
  <c r="B1835" i="24"/>
  <c r="D1835" i="24" s="1"/>
  <c r="B1836" i="24"/>
  <c r="D1836" i="24" s="1"/>
  <c r="C21" i="11"/>
  <c r="B1837" i="24" s="1"/>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s="1"/>
  <c r="B1850" i="24"/>
  <c r="D1850" i="24" s="1"/>
  <c r="D21" i="11"/>
  <c r="B1851" i="24" s="1"/>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s="1"/>
  <c r="B1864" i="24"/>
  <c r="D1864" i="24" s="1"/>
  <c r="E21" i="11"/>
  <c r="B1865" i="24" s="1"/>
  <c r="D1865" i="24" s="1"/>
  <c r="B1866" i="24"/>
  <c r="D1866" i="24" s="1"/>
  <c r="F6" i="11"/>
  <c r="F7" i="11"/>
  <c r="F12" i="11"/>
  <c r="B1869" i="24" s="1"/>
  <c r="D1869" i="24" s="1"/>
  <c r="F11" i="11"/>
  <c r="B1870" i="24" s="1"/>
  <c r="D1870" i="24" s="1"/>
  <c r="F8" i="11"/>
  <c r="B1871" i="24" s="1"/>
  <c r="D1871" i="24" s="1"/>
  <c r="F9" i="11"/>
  <c r="B1872" i="24" s="1"/>
  <c r="D1872" i="24" s="1"/>
  <c r="F10" i="11"/>
  <c r="B1873" i="24" s="1"/>
  <c r="D1873" i="24" s="1"/>
  <c r="F14" i="11"/>
  <c r="B1874" i="24" s="1"/>
  <c r="D1874" i="24" s="1"/>
  <c r="F13" i="11"/>
  <c r="B3688" i="24" s="1"/>
  <c r="D3688" i="24" s="1"/>
  <c r="F17" i="11"/>
  <c r="B1876" i="24" s="1"/>
  <c r="D1876" i="24" s="1"/>
  <c r="F18" i="11"/>
  <c r="B1877" i="24" s="1"/>
  <c r="D1877" i="24" s="1"/>
  <c r="F20" i="11"/>
  <c r="B1878" i="24" s="1"/>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c r="D1995"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B2027" i="24" s="1"/>
  <c r="D2027" i="24" s="1"/>
  <c r="F10" i="13"/>
  <c r="B2028" i="24" s="1"/>
  <c r="D2028" i="24" s="1"/>
  <c r="F12" i="13"/>
  <c r="B2029" i="24" s="1"/>
  <c r="D2029" i="24" s="1"/>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B2094" i="24"/>
  <c r="D2094"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B2437" i="24"/>
  <c r="D2437" i="24" s="1"/>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B2475" i="24"/>
  <c r="D2475" i="24" s="1"/>
  <c r="D2476" i="24"/>
  <c r="B2477" i="24"/>
  <c r="D2477" i="24" s="1"/>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B2504" i="24"/>
  <c r="D2504" i="24" s="1"/>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B2535" i="24"/>
  <c r="D2535" i="24" s="1"/>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4" i="24"/>
  <c r="D2724" i="24" s="1"/>
  <c r="B2725" i="24"/>
  <c r="D2725" i="24" s="1"/>
  <c r="B2726" i="24"/>
  <c r="D2726" i="24" s="1"/>
  <c r="B2727" i="24"/>
  <c r="D2727" i="24" s="1"/>
  <c r="B2728" i="24"/>
  <c r="D2728" i="24" s="1"/>
  <c r="B2729" i="24"/>
  <c r="D2729" i="24" s="1"/>
  <c r="B2730" i="24"/>
  <c r="D2730" i="24" s="1"/>
  <c r="B2731" i="24"/>
  <c r="D2731" i="24" s="1"/>
  <c r="B2732" i="24"/>
  <c r="D2732" i="24" s="1"/>
  <c r="F4" i="11"/>
  <c r="B2733" i="24" s="1"/>
  <c r="D2733" i="24" s="1"/>
  <c r="F25" i="1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5" i="24"/>
  <c r="D2795" i="24" s="1"/>
  <c r="B2796" i="24"/>
  <c r="D2796" i="24" s="1"/>
  <c r="B2797" i="24"/>
  <c r="D2797" i="24" s="1"/>
  <c r="B2798" i="24"/>
  <c r="D2798" i="24" s="1"/>
  <c r="B2799" i="24"/>
  <c r="D2799" i="24" s="1"/>
  <c r="B2800" i="24"/>
  <c r="D2800" i="24" s="1"/>
  <c r="B2801" i="24"/>
  <c r="D2801" i="24" s="1"/>
  <c r="B2802" i="24"/>
  <c r="D2802" i="24" s="1"/>
  <c r="D2803" i="24"/>
  <c r="D2804" i="24"/>
  <c r="B2805" i="24"/>
  <c r="D2805" i="24" s="1"/>
  <c r="B2806" i="24"/>
  <c r="D2806" i="24" s="1"/>
  <c r="B2807" i="24"/>
  <c r="D2807" i="24" s="1"/>
  <c r="B2808" i="24"/>
  <c r="D2808" i="24" s="1"/>
  <c r="D2809" i="24"/>
  <c r="B2810" i="24"/>
  <c r="D2810" i="24" s="1"/>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B2836" i="24"/>
  <c r="D2836" i="24" s="1"/>
  <c r="D2838" i="24"/>
  <c r="D2839" i="24"/>
  <c r="B2840" i="24"/>
  <c r="D2840" i="24" s="1"/>
  <c r="B2843" i="24"/>
  <c r="D2843" i="24" s="1"/>
  <c r="B2844" i="24"/>
  <c r="D2844" i="24" s="1"/>
  <c r="D2845" i="24"/>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B2864" i="24"/>
  <c r="D2864" i="24" s="1"/>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2" i="24"/>
  <c r="D2912"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4" i="24"/>
  <c r="D2974" i="24" s="1"/>
  <c r="B2975" i="24"/>
  <c r="D2975" i="24" s="1"/>
  <c r="B2976" i="24"/>
  <c r="D2976" i="24" s="1"/>
  <c r="B2977" i="24"/>
  <c r="D2977" i="24" s="1"/>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B3011" i="24"/>
  <c r="D3011" i="24" s="1"/>
  <c r="B3012" i="24"/>
  <c r="D3012" i="24" s="1"/>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E38" i="7"/>
  <c r="B6286" i="24" s="1"/>
  <c r="D6286" i="24" s="1"/>
  <c r="E39" i="7"/>
  <c r="B6287" i="24" s="1"/>
  <c r="D6287" i="24" s="1"/>
  <c r="E40" i="7"/>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H44" i="7"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B3454" i="24" s="1"/>
  <c r="D3454"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67" i="24"/>
  <c r="D3567"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C352" i="9"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G352" i="9"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K349" i="9"/>
  <c r="B3669" i="24" s="1"/>
  <c r="D3669" i="24" s="1"/>
  <c r="K351" i="9"/>
  <c r="B3671" i="24" s="1"/>
  <c r="D3671" i="24" s="1"/>
  <c r="B3673" i="24"/>
  <c r="D3673" i="24" s="1"/>
  <c r="K360" i="9"/>
  <c r="B3675" i="24" s="1"/>
  <c r="D3675" i="24" s="1"/>
  <c r="K361" i="9"/>
  <c r="B7239" i="24" s="1"/>
  <c r="D7239" i="24" s="1"/>
  <c r="D3677" i="24"/>
  <c r="K363" i="9"/>
  <c r="B7241" i="24" s="1"/>
  <c r="D7241" i="24" s="1"/>
  <c r="K364" i="9"/>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B3702" i="24"/>
  <c r="D3702" i="24" s="1"/>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0" i="24"/>
  <c r="D4080"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B4211" i="24"/>
  <c r="D4211"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s="1"/>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4" i="24"/>
  <c r="D6214" i="24" s="1"/>
  <c r="B6215" i="24"/>
  <c r="D6215" i="24" s="1"/>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85" i="24"/>
  <c r="D6285" i="24" s="1"/>
  <c r="B6288" i="24"/>
  <c r="D6288" i="24" s="1"/>
  <c r="B6289" i="24"/>
  <c r="D6289" i="24" s="1"/>
  <c r="B6290" i="24"/>
  <c r="D6290" i="24" s="1"/>
  <c r="B6291" i="24"/>
  <c r="D6291" i="24" s="1"/>
  <c r="B6292" i="24"/>
  <c r="D6292" i="24" s="1"/>
  <c r="B6293" i="24"/>
  <c r="D6293" i="24" s="1"/>
  <c r="B6294" i="24"/>
  <c r="D6294" i="24" s="1"/>
  <c r="B6295" i="24"/>
  <c r="D6295" i="24" s="1"/>
  <c r="B6296" i="24"/>
  <c r="D6296" i="24" s="1"/>
  <c r="B6297" i="24"/>
  <c r="D6297"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c r="B6379" i="24"/>
  <c r="D6379" i="24" s="1"/>
  <c r="B6380" i="24"/>
  <c r="D6380" i="24" s="1"/>
  <c r="B6381" i="24"/>
  <c r="D6381" i="24" s="1"/>
  <c r="B6382" i="24"/>
  <c r="D6382" i="24" s="1"/>
  <c r="B6383" i="24"/>
  <c r="D6383" i="24" s="1"/>
  <c r="B6384" i="24"/>
  <c r="D6384" i="24" s="1"/>
  <c r="B6385" i="24"/>
  <c r="D6385" i="24" s="1"/>
  <c r="B6386" i="24"/>
  <c r="D6386" i="24"/>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s="1"/>
  <c r="B6415" i="24"/>
  <c r="D6415" i="24" s="1"/>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c r="B6729" i="24"/>
  <c r="D6729" i="24" s="1"/>
  <c r="B6730" i="24"/>
  <c r="D6730" i="24" s="1"/>
  <c r="B6731" i="24"/>
  <c r="D6731" i="24" s="1"/>
  <c r="B6732" i="24"/>
  <c r="D6732" i="24" s="1"/>
  <c r="B6733" i="24"/>
  <c r="D6733" i="24" s="1"/>
  <c r="B6734" i="24"/>
  <c r="D6734" i="24" s="1"/>
  <c r="B6735" i="24"/>
  <c r="D6735" i="24" s="1"/>
  <c r="B6736" i="24"/>
  <c r="D6736" i="24" s="1"/>
  <c r="B6737" i="24"/>
  <c r="D6737" i="24"/>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c r="B6802" i="24"/>
  <c r="D6802" i="24" s="1"/>
  <c r="B6803" i="24"/>
  <c r="D6803" i="24" s="1"/>
  <c r="B6804" i="24"/>
  <c r="D6804" i="24"/>
  <c r="B6805" i="24"/>
  <c r="D6805" i="24" s="1"/>
  <c r="B6806" i="24"/>
  <c r="D6806" i="24" s="1"/>
  <c r="B6807" i="24"/>
  <c r="D6807" i="24" s="1"/>
  <c r="B6808" i="24"/>
  <c r="D6808" i="24" s="1"/>
  <c r="B6809" i="24"/>
  <c r="D6809" i="24" s="1"/>
  <c r="B6810" i="24"/>
  <c r="D6810" i="24" s="1"/>
  <c r="B6811" i="24"/>
  <c r="D6811" i="24"/>
  <c r="B6812" i="24"/>
  <c r="D6812" i="24" s="1"/>
  <c r="B6813" i="24"/>
  <c r="D6813" i="24" s="1"/>
  <c r="B6814" i="24"/>
  <c r="D6814" i="24" s="1"/>
  <c r="B6815" i="24"/>
  <c r="D6815" i="24" s="1"/>
  <c r="B6816" i="24"/>
  <c r="D6816" i="24" s="1"/>
  <c r="B6817" i="24"/>
  <c r="D6817" i="24" s="1"/>
  <c r="B6818" i="24"/>
  <c r="D6818" i="24" s="1"/>
  <c r="B6819" i="24"/>
  <c r="D6819" i="24" s="1"/>
  <c r="B6820" i="24"/>
  <c r="D6820" i="24"/>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7" i="24"/>
  <c r="D6997" i="24" s="1"/>
  <c r="B6998" i="24"/>
  <c r="D6998" i="24" s="1"/>
  <c r="B7000" i="24"/>
  <c r="D7000" i="24" s="1"/>
  <c r="B7002" i="24"/>
  <c r="D7002" i="24" s="1"/>
  <c r="B7003" i="24"/>
  <c r="D7003" i="24" s="1"/>
  <c r="B7004" i="24"/>
  <c r="D7004" i="24" s="1"/>
  <c r="B7005" i="24"/>
  <c r="D7005" i="24" s="1"/>
  <c r="B7006" i="24"/>
  <c r="D7006" i="24" s="1"/>
  <c r="B7007" i="24"/>
  <c r="D7007" i="24" s="1"/>
  <c r="B7008" i="24"/>
  <c r="D7008" i="24" s="1"/>
  <c r="B7009" i="24"/>
  <c r="D7009" i="24" s="1"/>
  <c r="B7010" i="24"/>
  <c r="D7010" i="24" s="1"/>
  <c r="B7012" i="24"/>
  <c r="D7012"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7" i="24"/>
  <c r="D7047"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8" i="24"/>
  <c r="D7068" i="24" s="1"/>
  <c r="B7069" i="24"/>
  <c r="D7069" i="24" s="1"/>
  <c r="B7073" i="24"/>
  <c r="D7073" i="24" s="1"/>
  <c r="B7074" i="24"/>
  <c r="D7074" i="24" s="1"/>
  <c r="B7075" i="24"/>
  <c r="D7075" i="24" s="1"/>
  <c r="B7076" i="24"/>
  <c r="D7076" i="24" s="1"/>
  <c r="B7077" i="24"/>
  <c r="D7077" i="24" s="1"/>
  <c r="B7078" i="24"/>
  <c r="D7078" i="24" s="1"/>
  <c r="B7079" i="24"/>
  <c r="D7079" i="24" s="1"/>
  <c r="B7081" i="24"/>
  <c r="D7081" i="24" s="1"/>
  <c r="B7082" i="24"/>
  <c r="D7082" i="24" s="1"/>
  <c r="B7083" i="24"/>
  <c r="D7083" i="24" s="1"/>
  <c r="B7084" i="24"/>
  <c r="D7084" i="24" s="1"/>
  <c r="B7085" i="24"/>
  <c r="D7085" i="24" s="1"/>
  <c r="B7087" i="24"/>
  <c r="D7087" i="24" s="1"/>
  <c r="B7089" i="24"/>
  <c r="D7089" i="24" s="1"/>
  <c r="B7090" i="24"/>
  <c r="D7090" i="24" s="1"/>
  <c r="B7091" i="24"/>
  <c r="D7091" i="24" s="1"/>
  <c r="B7092" i="24"/>
  <c r="D7092" i="24" s="1"/>
  <c r="B7093" i="24"/>
  <c r="D7093" i="24" s="1"/>
  <c r="B7094" i="24"/>
  <c r="D7094" i="24" s="1"/>
  <c r="B7095" i="24"/>
  <c r="D7095" i="24" s="1"/>
  <c r="B7096" i="24"/>
  <c r="D7096" i="24" s="1"/>
  <c r="B7097" i="24"/>
  <c r="D7097" i="24" s="1"/>
  <c r="B7098" i="24"/>
  <c r="D7098"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J352" i="9"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D7696" i="24"/>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D7729" i="24"/>
  <c r="B7731" i="24"/>
  <c r="D7731" i="24" s="1"/>
  <c r="B7735" i="24"/>
  <c r="D7735" i="24" s="1"/>
  <c r="B7736" i="24"/>
  <c r="D7736" i="24" s="1"/>
  <c r="B7737" i="24"/>
  <c r="D7737" i="24" s="1"/>
  <c r="B7738" i="24"/>
  <c r="D7738" i="24" s="1"/>
  <c r="D7744" i="24"/>
  <c r="B7745" i="24"/>
  <c r="D7745" i="24" s="1"/>
  <c r="B7746" i="24"/>
  <c r="D7746"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2" i="24"/>
  <c r="D7763" i="24"/>
  <c r="D7765" i="24"/>
  <c r="D7766"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54" i="23"/>
  <c r="D68" i="23"/>
  <c r="D69" i="23"/>
  <c r="D71" i="23"/>
  <c r="D72" i="23"/>
  <c r="D79" i="23"/>
  <c r="B64" i="19"/>
  <c r="B65" i="19"/>
  <c r="D26" i="16"/>
  <c r="F26" i="16"/>
  <c r="D27" i="16"/>
  <c r="E27" i="16"/>
  <c r="F27" i="16"/>
  <c r="G27" i="16"/>
  <c r="F31" i="16"/>
  <c r="F36" i="16"/>
  <c r="F37" i="16"/>
  <c r="G28" i="16"/>
  <c r="D31" i="16"/>
  <c r="D36" i="16"/>
  <c r="D37" i="16"/>
  <c r="E31" i="16"/>
  <c r="G31" i="16"/>
  <c r="E34" i="16"/>
  <c r="G34" i="16"/>
  <c r="E35" i="16"/>
  <c r="G35"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F35" i="14"/>
  <c r="C36" i="14"/>
  <c r="D36" i="14"/>
  <c r="C37" i="14"/>
  <c r="D37" i="14"/>
  <c r="C38" i="14"/>
  <c r="D38" i="14"/>
  <c r="F38" i="14"/>
  <c r="C39" i="14"/>
  <c r="D39" i="14"/>
  <c r="C40" i="14"/>
  <c r="D40" i="14"/>
  <c r="C41" i="14"/>
  <c r="D41" i="14"/>
  <c r="C42" i="14"/>
  <c r="D42" i="14"/>
  <c r="C43" i="14"/>
  <c r="D43" i="14"/>
  <c r="C44" i="14"/>
  <c r="D44" i="14"/>
  <c r="F44" i="14"/>
  <c r="C45" i="14"/>
  <c r="D45" i="14"/>
  <c r="C46" i="14"/>
  <c r="D46" i="14"/>
  <c r="C47" i="14"/>
  <c r="D47" i="14"/>
  <c r="C48" i="14"/>
  <c r="D48" i="14"/>
  <c r="C49" i="14"/>
  <c r="D49" i="14"/>
  <c r="C50" i="14"/>
  <c r="D50" i="14"/>
  <c r="C51" i="14"/>
  <c r="D51" i="14"/>
  <c r="C52" i="14"/>
  <c r="F52" i="14"/>
  <c r="C53" i="14"/>
  <c r="D53" i="14"/>
  <c r="C56" i="14"/>
  <c r="F56" i="14"/>
  <c r="C57" i="14"/>
  <c r="D57" i="14"/>
  <c r="C61" i="14"/>
  <c r="C62" i="14"/>
  <c r="F62" i="14"/>
  <c r="C63" i="14"/>
  <c r="D63" i="14"/>
  <c r="C64" i="14"/>
  <c r="F64" i="14"/>
  <c r="C67" i="14"/>
  <c r="D67" i="14"/>
  <c r="F67" i="14"/>
  <c r="C68" i="14"/>
  <c r="D68" i="14"/>
  <c r="F68" i="14"/>
  <c r="C69" i="14"/>
  <c r="D69" i="14"/>
  <c r="F69" i="14"/>
  <c r="C70" i="14"/>
  <c r="D70" i="14"/>
  <c r="F70" i="14"/>
  <c r="C71" i="14"/>
  <c r="D71" i="14"/>
  <c r="C72" i="14"/>
  <c r="F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B7591" i="24" s="1"/>
  <c r="F5" i="13"/>
  <c r="B2026" i="24" s="1"/>
  <c r="D2026" i="24" s="1"/>
  <c r="C16" i="13"/>
  <c r="B2013" i="24" s="1"/>
  <c r="D2013" i="24" s="1"/>
  <c r="B7727" i="24"/>
  <c r="D7727" i="24" s="1"/>
  <c r="C49" i="11"/>
  <c r="B4" i="10"/>
  <c r="B1744" i="24" s="1"/>
  <c r="D1744" i="24" s="1"/>
  <c r="B5" i="10"/>
  <c r="B6" i="10"/>
  <c r="D6" i="10" s="1"/>
  <c r="B1762" i="24" s="1"/>
  <c r="D1762" i="24" s="1"/>
  <c r="B7" i="10"/>
  <c r="B1747" i="24" s="1"/>
  <c r="D1747" i="24" s="1"/>
  <c r="B8" i="10"/>
  <c r="B1748" i="24" s="1"/>
  <c r="D1748" i="24" s="1"/>
  <c r="B9" i="10"/>
  <c r="B1751" i="24" s="1"/>
  <c r="D1751" i="24" s="1"/>
  <c r="B10" i="10"/>
  <c r="B1749" i="24" s="1"/>
  <c r="D1749" i="24" s="1"/>
  <c r="B11" i="10"/>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C131" i="8"/>
  <c r="B5147" i="24" s="1"/>
  <c r="D5147" i="24" s="1"/>
  <c r="D131" i="8"/>
  <c r="B5369" i="24" s="1"/>
  <c r="D5369" i="24" s="1"/>
  <c r="C140" i="8"/>
  <c r="B5161" i="24" s="1"/>
  <c r="D5161" i="24" s="1"/>
  <c r="D140" i="8"/>
  <c r="G140" i="8"/>
  <c r="G144" i="8"/>
  <c r="B5756" i="24" s="1"/>
  <c r="D5756" i="24" s="1"/>
  <c r="G154" i="8"/>
  <c r="B4357" i="24" s="1"/>
  <c r="D4357" i="24" s="1"/>
  <c r="C144" i="8"/>
  <c r="B5165" i="24" s="1"/>
  <c r="D5165" i="24" s="1"/>
  <c r="C154" i="8"/>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J178" i="8"/>
  <c r="B6400" i="24" s="1"/>
  <c r="D6400" i="24" s="1"/>
  <c r="K178" i="8"/>
  <c r="B4951" i="24" s="1"/>
  <c r="D4951" i="24" s="1"/>
  <c r="C184" i="8"/>
  <c r="B5232" i="24" s="1"/>
  <c r="D5232" i="24" s="1"/>
  <c r="D184" i="8"/>
  <c r="F184" i="8"/>
  <c r="B5658" i="24" s="1"/>
  <c r="D5658" i="24" s="1"/>
  <c r="G184" i="8"/>
  <c r="B5784" i="24" s="1"/>
  <c r="D5784" i="24" s="1"/>
  <c r="H184" i="8"/>
  <c r="B5908" i="24" s="1"/>
  <c r="D5908" i="24" s="1"/>
  <c r="K184" i="8"/>
  <c r="B4395" i="24"/>
  <c r="D4395" i="24" s="1"/>
  <c r="D191" i="8"/>
  <c r="B4396" i="24" s="1"/>
  <c r="D4396" i="24" s="1"/>
  <c r="F191" i="8"/>
  <c r="G191" i="8"/>
  <c r="G201" i="8"/>
  <c r="B6409" i="24" s="1"/>
  <c r="D6409" i="24" s="1"/>
  <c r="D211" i="8"/>
  <c r="B5444" i="24" s="1"/>
  <c r="D5444" i="24" s="1"/>
  <c r="F211" i="8"/>
  <c r="G211" i="8"/>
  <c r="B5803" i="24" s="1"/>
  <c r="D5803" i="24" s="1"/>
  <c r="B4411" i="24"/>
  <c r="D4411" i="24" s="1"/>
  <c r="D216" i="8"/>
  <c r="B4412" i="24" s="1"/>
  <c r="D4412" i="24" s="1"/>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G228" i="8"/>
  <c r="B5847" i="24" s="1"/>
  <c r="D5847" i="24" s="1"/>
  <c r="G259" i="8"/>
  <c r="B6837" i="24" s="1"/>
  <c r="D6837" i="24" s="1"/>
  <c r="B6833" i="24"/>
  <c r="D6833" i="24" s="1"/>
  <c r="D259" i="8"/>
  <c r="B6834" i="24" s="1"/>
  <c r="D6834" i="24" s="1"/>
  <c r="E259" i="8"/>
  <c r="F259" i="8"/>
  <c r="B6836" i="24" s="1"/>
  <c r="D6836" i="24" s="1"/>
  <c r="H259" i="8"/>
  <c r="H273" i="8" s="1"/>
  <c r="B4441" i="24" s="1"/>
  <c r="D4441" i="24" s="1"/>
  <c r="J259" i="8"/>
  <c r="J273" i="8" s="1"/>
  <c r="B7041" i="24" s="1"/>
  <c r="D7041" i="24" s="1"/>
  <c r="K259" i="8"/>
  <c r="K273" i="8" s="1"/>
  <c r="B4442" i="24" s="1"/>
  <c r="D4442" i="24" s="1"/>
  <c r="D5" i="7"/>
  <c r="B3406" i="24" s="1"/>
  <c r="D3406" i="24" s="1"/>
  <c r="C14" i="7"/>
  <c r="B2558" i="24" s="1"/>
  <c r="D2558" i="24" s="1"/>
  <c r="D14" i="7"/>
  <c r="B2570" i="24" s="1"/>
  <c r="D2570" i="24" s="1"/>
  <c r="F14" i="7"/>
  <c r="B2597" i="24" s="1"/>
  <c r="D2597" i="24" s="1"/>
  <c r="B2633" i="24"/>
  <c r="D2633" i="24" s="1"/>
  <c r="D7" i="5"/>
  <c r="D8" i="5"/>
  <c r="D9" i="5"/>
  <c r="H14" i="5"/>
  <c r="H19" i="5"/>
  <c r="H24" i="5"/>
  <c r="H29" i="5"/>
  <c r="D11" i="4"/>
  <c r="D22" i="4"/>
  <c r="J22" i="4"/>
  <c r="H33" i="5" l="1"/>
  <c r="D4" i="10"/>
  <c r="B1760" i="24" s="1"/>
  <c r="D1760" i="24" s="1"/>
  <c r="G5" i="7"/>
  <c r="B3409" i="24" s="1"/>
  <c r="D3409" i="24" s="1"/>
  <c r="I24" i="12"/>
  <c r="I26" i="12" s="1"/>
  <c r="B7741" i="24" s="1"/>
  <c r="D7741" i="24" s="1"/>
  <c r="G29" i="16"/>
  <c r="J210" i="9"/>
  <c r="B7072" i="24" s="1"/>
  <c r="D7072" i="24" s="1"/>
  <c r="K184" i="9"/>
  <c r="F13" i="7" s="1"/>
  <c r="B2596" i="24" s="1"/>
  <c r="D2596" i="24" s="1"/>
  <c r="F46" i="14"/>
  <c r="I210" i="9"/>
  <c r="B7071" i="24" s="1"/>
  <c r="D7071" i="24" s="1"/>
  <c r="D12" i="10"/>
  <c r="B1769" i="24" s="1"/>
  <c r="D1769" i="24" s="1"/>
  <c r="D17" i="10"/>
  <c r="B4104" i="24" s="1"/>
  <c r="D4104" i="24" s="1"/>
  <c r="J274" i="8"/>
  <c r="B7054" i="24" s="1"/>
  <c r="D7054" i="24" s="1"/>
  <c r="E29" i="16"/>
  <c r="B6995" i="24"/>
  <c r="D6995" i="24" s="1"/>
  <c r="F71" i="14"/>
  <c r="G26" i="16"/>
  <c r="B1746" i="24"/>
  <c r="D1746" i="24" s="1"/>
  <c r="D9" i="10"/>
  <c r="B1767" i="24" s="1"/>
  <c r="D1767" i="24" s="1"/>
  <c r="F111" i="14"/>
  <c r="E26" i="16"/>
  <c r="B3647" i="24"/>
  <c r="D3647" i="24" s="1"/>
  <c r="E109" i="8"/>
  <c r="E4" i="7" s="1"/>
  <c r="B2630" i="24" s="1"/>
  <c r="D2630" i="24" s="1"/>
  <c r="B7231" i="24"/>
  <c r="D7231" i="24" s="1"/>
  <c r="J41" i="6"/>
  <c r="F37" i="14"/>
  <c r="K76" i="7"/>
  <c r="B3586" i="24" s="1"/>
  <c r="D3586" i="24" s="1"/>
  <c r="G38" i="16"/>
  <c r="J77" i="7"/>
  <c r="B6262" i="24" s="1"/>
  <c r="D6262" i="24" s="1"/>
  <c r="F19" i="10"/>
  <c r="B1807" i="24" s="1"/>
  <c r="D1807" i="24" s="1"/>
  <c r="B4087" i="24"/>
  <c r="D4087" i="24" s="1"/>
  <c r="B3488" i="24"/>
  <c r="D3488" i="24" s="1"/>
  <c r="E38" i="16"/>
  <c r="G30" i="16"/>
  <c r="G33" i="16"/>
  <c r="E30" i="16"/>
  <c r="H112" i="9"/>
  <c r="B7018" i="24" s="1"/>
  <c r="D7018" i="24" s="1"/>
  <c r="H109" i="8"/>
  <c r="B6025" i="24" s="1"/>
  <c r="D6025" i="24" s="1"/>
  <c r="F172" i="8"/>
  <c r="B5644" i="24" s="1"/>
  <c r="D5644" i="24" s="1"/>
  <c r="E174" i="9"/>
  <c r="B1309" i="24" s="1"/>
  <c r="D1309" i="24" s="1"/>
  <c r="F94" i="14"/>
  <c r="F49" i="14"/>
  <c r="B4109" i="24"/>
  <c r="D4109" i="24" s="1"/>
  <c r="B1274" i="24"/>
  <c r="D1274" i="24" s="1"/>
  <c r="G39" i="16"/>
  <c r="I342" i="9"/>
  <c r="B7222" i="24" s="1"/>
  <c r="D7222" i="24" s="1"/>
  <c r="D7" i="10"/>
  <c r="B1763" i="24" s="1"/>
  <c r="D1763" i="24" s="1"/>
  <c r="F66" i="14"/>
  <c r="C342" i="9"/>
  <c r="B7216" i="24" s="1"/>
  <c r="D7216" i="24" s="1"/>
  <c r="J129" i="9"/>
  <c r="B7038" i="24" s="1"/>
  <c r="D7038" i="24" s="1"/>
  <c r="G15" i="18"/>
  <c r="K24" i="12"/>
  <c r="F128" i="14"/>
  <c r="N22" i="6"/>
  <c r="B283" i="24" s="1"/>
  <c r="D283" i="24" s="1"/>
  <c r="L367" i="9"/>
  <c r="I129" i="9"/>
  <c r="B7037" i="24" s="1"/>
  <c r="D7037" i="24" s="1"/>
  <c r="H365" i="9"/>
  <c r="B7242" i="24" s="1"/>
  <c r="D7242" i="24" s="1"/>
  <c r="B3619" i="24"/>
  <c r="D3619" i="24" s="1"/>
  <c r="F131" i="14"/>
  <c r="L342" i="9"/>
  <c r="F50" i="14"/>
  <c r="F41" i="14"/>
  <c r="H76" i="7"/>
  <c r="B3298" i="24" s="1"/>
  <c r="D3298" i="24" s="1"/>
  <c r="F45" i="14"/>
  <c r="F42" i="14"/>
  <c r="F36" i="14"/>
  <c r="D109" i="8"/>
  <c r="L5" i="13"/>
  <c r="B2056" i="24" s="1"/>
  <c r="D2056" i="24" s="1"/>
  <c r="D15" i="10"/>
  <c r="B1772" i="24" s="1"/>
  <c r="D1772" i="24" s="1"/>
  <c r="H173" i="8"/>
  <c r="D24" i="4"/>
  <c r="B4270" i="24" s="1"/>
  <c r="D4270" i="24" s="1"/>
  <c r="I173" i="8"/>
  <c r="B4216" i="24" s="1"/>
  <c r="D4216" i="24" s="1"/>
  <c r="D6103" i="24"/>
  <c r="K41" i="6"/>
  <c r="B1996" i="24"/>
  <c r="D1996" i="24" s="1"/>
  <c r="B1128" i="24"/>
  <c r="D1128" i="24" s="1"/>
  <c r="E28" i="16"/>
  <c r="F28" i="16"/>
  <c r="F41" i="16" s="1"/>
  <c r="G43" i="16" s="1"/>
  <c r="D13" i="10"/>
  <c r="B3726" i="24" s="1"/>
  <c r="D3726" i="24" s="1"/>
  <c r="B5425" i="24"/>
  <c r="D5425" i="24" s="1"/>
  <c r="F127" i="14"/>
  <c r="J367" i="9"/>
  <c r="B7245" i="24" s="1"/>
  <c r="D7245" i="24" s="1"/>
  <c r="B7235" i="24"/>
  <c r="D7235" i="24" s="1"/>
  <c r="B2054" i="24"/>
  <c r="D2054" i="24" s="1"/>
  <c r="L13" i="13"/>
  <c r="B2060" i="24" s="1"/>
  <c r="D2060" i="24" s="1"/>
  <c r="B5677" i="24"/>
  <c r="D5677" i="24" s="1"/>
  <c r="F130" i="14"/>
  <c r="L22" i="4"/>
  <c r="B2734" i="24"/>
  <c r="D2734" i="24" s="1"/>
  <c r="B1511" i="24"/>
  <c r="D1511" i="24" s="1"/>
  <c r="G14" i="7"/>
  <c r="B2609" i="24" s="1"/>
  <c r="D2609" i="24" s="1"/>
  <c r="C109" i="8"/>
  <c r="B5121" i="24" s="1"/>
  <c r="D5121" i="24" s="1"/>
  <c r="B5066" i="24"/>
  <c r="D5066" i="24" s="1"/>
  <c r="B1745" i="24"/>
  <c r="D1745" i="24" s="1"/>
  <c r="D5" i="10"/>
  <c r="B1761" i="24" s="1"/>
  <c r="D1761" i="24" s="1"/>
  <c r="B6848" i="24"/>
  <c r="D6848" i="24" s="1"/>
  <c r="F34" i="14"/>
  <c r="H28" i="5"/>
  <c r="B1868" i="24"/>
  <c r="D1868" i="24" s="1"/>
  <c r="B6006" i="24"/>
  <c r="D6006" i="24" s="1"/>
  <c r="K173" i="8"/>
  <c r="K6" i="7" s="1"/>
  <c r="B3570" i="24" s="1"/>
  <c r="D3570" i="24" s="1"/>
  <c r="G172" i="8"/>
  <c r="B5752" i="24"/>
  <c r="D5752" i="24" s="1"/>
  <c r="B1752" i="24"/>
  <c r="D1752" i="24" s="1"/>
  <c r="D11" i="10"/>
  <c r="B1768" i="24" s="1"/>
  <c r="D1768" i="24" s="1"/>
  <c r="B5488" i="24"/>
  <c r="D5488" i="24" s="1"/>
  <c r="F136" i="14"/>
  <c r="B5383" i="24"/>
  <c r="D5383" i="24" s="1"/>
  <c r="F106" i="14"/>
  <c r="B3668" i="24"/>
  <c r="D3668" i="24" s="1"/>
  <c r="K350" i="9"/>
  <c r="B6016" i="24"/>
  <c r="D6016" i="24" s="1"/>
  <c r="K274" i="8"/>
  <c r="B6022" i="24" s="1"/>
  <c r="D6022" i="24" s="1"/>
  <c r="B5178" i="24"/>
  <c r="D5178" i="24" s="1"/>
  <c r="C172" i="8"/>
  <c r="B5214" i="24" s="1"/>
  <c r="D5214" i="24" s="1"/>
  <c r="B3621" i="24"/>
  <c r="D3621" i="24" s="1"/>
  <c r="C367" i="9"/>
  <c r="B4373" i="24"/>
  <c r="D4373" i="24" s="1"/>
  <c r="I274" i="8"/>
  <c r="B3254" i="24"/>
  <c r="D3254" i="24" s="1"/>
  <c r="F77" i="7"/>
  <c r="B3255" i="24" s="1"/>
  <c r="D3255" i="24" s="1"/>
  <c r="K28" i="5"/>
  <c r="O27" i="5" s="1"/>
  <c r="O29" i="5" s="1"/>
  <c r="F21" i="11"/>
  <c r="G109" i="8"/>
  <c r="L15" i="13"/>
  <c r="B3459" i="24" s="1"/>
  <c r="D3459" i="24" s="1"/>
  <c r="B3649" i="24"/>
  <c r="D3649" i="24" s="1"/>
  <c r="G367" i="9"/>
  <c r="K285" i="9"/>
  <c r="B3724" i="24" s="1"/>
  <c r="D3724" i="24" s="1"/>
  <c r="B1329" i="24"/>
  <c r="D1329" i="24" s="1"/>
  <c r="F61" i="14"/>
  <c r="G210" i="9"/>
  <c r="B1124" i="24"/>
  <c r="D1124" i="24" s="1"/>
  <c r="H342" i="9"/>
  <c r="L312" i="9"/>
  <c r="B1410" i="24"/>
  <c r="D1410" i="24" s="1"/>
  <c r="C41" i="6"/>
  <c r="B93" i="24" s="1"/>
  <c r="D93" i="24" s="1"/>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K7" i="7"/>
  <c r="B3718" i="24" s="1"/>
  <c r="D3718"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B2031" i="24" s="1"/>
  <c r="D2031" i="24" s="1"/>
  <c r="F48" i="14"/>
  <c r="F40" i="14"/>
  <c r="B7200" i="24"/>
  <c r="D7200" i="24" s="1"/>
  <c r="D342" i="9"/>
  <c r="B7217" i="24" s="1"/>
  <c r="D7217" i="24" s="1"/>
  <c r="B7144" i="24"/>
  <c r="D7144" i="24" s="1"/>
  <c r="K330" i="9"/>
  <c r="B6901" i="24"/>
  <c r="D6901" i="24" s="1"/>
  <c r="F51" i="14"/>
  <c r="B6885" i="24"/>
  <c r="D6885" i="24" s="1"/>
  <c r="F43" i="14"/>
  <c r="B7211" i="24"/>
  <c r="D7211" i="24" s="1"/>
  <c r="K340" i="9"/>
  <c r="B7215" i="24" s="1"/>
  <c r="D7215" i="24" s="1"/>
  <c r="B6893" i="24"/>
  <c r="D6893" i="24" s="1"/>
  <c r="F47" i="14"/>
  <c r="B6877" i="24"/>
  <c r="D6877" i="24" s="1"/>
  <c r="F39" i="14"/>
  <c r="B6216" i="24"/>
  <c r="D6216" i="24" s="1"/>
  <c r="D51" i="23"/>
  <c r="B3703" i="24"/>
  <c r="D3703" i="24" s="1"/>
  <c r="K362" i="9"/>
  <c r="B3676" i="24" s="1"/>
  <c r="D3676" i="24" s="1"/>
  <c r="B3650" i="24"/>
  <c r="D3650" i="24" s="1"/>
  <c r="D352" i="9"/>
  <c r="D367" i="9" s="1"/>
  <c r="I76" i="7"/>
  <c r="L41" i="6"/>
  <c r="I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B1266" i="24" s="1"/>
  <c r="D1266" i="24" s="1"/>
  <c r="B1239" i="24"/>
  <c r="D1239" i="24" s="1"/>
  <c r="E129" i="9"/>
  <c r="B1146" i="24"/>
  <c r="D1146" i="24" s="1"/>
  <c r="K110" i="9"/>
  <c r="B122" i="24"/>
  <c r="D122" i="24" s="1"/>
  <c r="D41" i="6"/>
  <c r="E17" i="18"/>
  <c r="G17" i="18" s="1"/>
  <c r="B1134" i="24"/>
  <c r="D1134" i="24" s="1"/>
  <c r="B7759" i="24"/>
  <c r="D7759" i="24" s="1"/>
  <c r="B1339" i="24"/>
  <c r="D1339" i="24" s="1"/>
  <c r="C210" i="9"/>
  <c r="B1340" i="24" s="1"/>
  <c r="D1340" i="24" s="1"/>
  <c r="B1225" i="24"/>
  <c r="D1225" i="24" s="1"/>
  <c r="C151" i="9"/>
  <c r="B1226" i="24" s="1"/>
  <c r="D1226" i="24" s="1"/>
  <c r="B169" i="24"/>
  <c r="D169" i="24" s="1"/>
  <c r="F41" i="6"/>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B4435" i="24"/>
  <c r="D4435" i="24" s="1"/>
  <c r="I7" i="7"/>
  <c r="B4444" i="24" s="1"/>
  <c r="D4444" i="24" s="1"/>
  <c r="F273" i="8"/>
  <c r="B5713" i="24" s="1"/>
  <c r="D5713" i="24" s="1"/>
  <c r="B4397" i="24"/>
  <c r="D4397" i="24" s="1"/>
  <c r="B4950" i="24"/>
  <c r="D4950" i="24" s="1"/>
  <c r="H274" i="8"/>
  <c r="H7" i="7" s="1"/>
  <c r="L210" i="9"/>
  <c r="L102" i="9"/>
  <c r="B1121" i="24"/>
  <c r="D1121" i="24" s="1"/>
  <c r="K53" i="9"/>
  <c r="E12" i="18"/>
  <c r="B731" i="24"/>
  <c r="D731" i="24" s="1"/>
  <c r="C74" i="9"/>
  <c r="B755" i="24" s="1"/>
  <c r="D755" i="24" s="1"/>
  <c r="B1116" i="24"/>
  <c r="D1116" i="24" s="1"/>
  <c r="K47" i="9"/>
  <c r="F161" i="14"/>
  <c r="D41" i="16"/>
  <c r="E43" i="16" s="1"/>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B7230" i="24"/>
  <c r="D7230" i="24" s="1"/>
  <c r="I352" i="9"/>
  <c r="I367" i="9" s="1"/>
  <c r="B7202" i="24"/>
  <c r="D7202" i="24" s="1"/>
  <c r="F342" i="9"/>
  <c r="B7219" i="24" s="1"/>
  <c r="D7219" i="24" s="1"/>
  <c r="B7503" i="24"/>
  <c r="B7531" i="24"/>
  <c r="B7214" i="24"/>
  <c r="D7214" i="24" s="1"/>
  <c r="B7221" i="24"/>
  <c r="D7221" i="24" s="1"/>
  <c r="B7201" i="24"/>
  <c r="D7201" i="24" s="1"/>
  <c r="E342" i="9"/>
  <c r="B7218" i="24" s="1"/>
  <c r="D7218" i="24" s="1"/>
  <c r="B6917" i="24"/>
  <c r="D6917" i="24" s="1"/>
  <c r="J74" i="9"/>
  <c r="D273" i="8"/>
  <c r="B5501" i="24" s="1"/>
  <c r="D5501" i="24" s="1"/>
  <c r="D7248" i="24"/>
  <c r="D7247" i="24"/>
  <c r="D7246" i="24"/>
  <c r="J312" i="9"/>
  <c r="B7117" i="24" s="1"/>
  <c r="D7117" i="24" s="1"/>
  <c r="I312" i="9"/>
  <c r="B7116" i="24" s="1"/>
  <c r="D7116" i="24" s="1"/>
  <c r="J151" i="9"/>
  <c r="B7052" i="24" s="1"/>
  <c r="D7052" i="24" s="1"/>
  <c r="I151" i="9"/>
  <c r="F59" i="14" s="1"/>
  <c r="B6916" i="24"/>
  <c r="D6916" i="24" s="1"/>
  <c r="I74" i="9"/>
  <c r="I49" i="11"/>
  <c r="B3633" i="24"/>
  <c r="D3633" i="24" s="1"/>
  <c r="E352" i="9"/>
  <c r="E367" i="9" s="1"/>
  <c r="B3628" i="24"/>
  <c r="D3628" i="24" s="1"/>
  <c r="B3629" i="24"/>
  <c r="D3629" i="24"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127" i="24"/>
  <c r="D1127" i="24" s="1"/>
  <c r="K65" i="9"/>
  <c r="B1133" i="24" s="1"/>
  <c r="D1133" i="24" s="1"/>
  <c r="B1123" i="24"/>
  <c r="D1123" i="24" s="1"/>
  <c r="K57" i="9"/>
  <c r="B3640" i="24"/>
  <c r="D3640" i="24" s="1"/>
  <c r="F352" i="9"/>
  <c r="F367" i="9" s="1"/>
  <c r="B3622" i="24"/>
  <c r="D3622" i="24" s="1"/>
  <c r="K77" i="7"/>
  <c r="B3587" i="24" s="1"/>
  <c r="D3587" i="24" s="1"/>
  <c r="B3296" i="24"/>
  <c r="D3296" i="24"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1328" i="24"/>
  <c r="D13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H41" i="6"/>
  <c r="B188" i="24"/>
  <c r="D188" i="24" s="1"/>
  <c r="G41" i="6"/>
  <c r="B139" i="24"/>
  <c r="D139" i="24" s="1"/>
  <c r="E41" i="6"/>
  <c r="J19" i="18"/>
  <c r="D82" i="23" s="1"/>
  <c r="L151" i="9"/>
  <c r="C273" i="8"/>
  <c r="J24" i="12"/>
  <c r="B7730" i="24"/>
  <c r="D7730" i="24" s="1"/>
  <c r="J7" i="7"/>
  <c r="B2657" i="24"/>
  <c r="D2657" i="24" s="1"/>
  <c r="B7270" i="24"/>
  <c r="I6" i="7" l="1"/>
  <c r="B5011" i="24" s="1"/>
  <c r="D5011" i="24" s="1"/>
  <c r="B1381" i="24"/>
  <c r="D1381" i="24" s="1"/>
  <c r="B1317" i="24"/>
  <c r="D1317" i="24" s="1"/>
  <c r="L114" i="9"/>
  <c r="F173" i="8"/>
  <c r="B5527" i="24"/>
  <c r="D5527" i="24" s="1"/>
  <c r="C4" i="7"/>
  <c r="B2551" i="24" s="1"/>
  <c r="D2551" i="24" s="1"/>
  <c r="D44" i="23"/>
  <c r="H275" i="8"/>
  <c r="B5915" i="24" s="1"/>
  <c r="D5915" i="24" s="1"/>
  <c r="B6014" i="24"/>
  <c r="D6014" i="24" s="1"/>
  <c r="H151" i="9"/>
  <c r="B1273" i="24" s="1"/>
  <c r="D1273" i="24" s="1"/>
  <c r="L16" i="13"/>
  <c r="B2061" i="24" s="1"/>
  <c r="D2061" i="24" s="1"/>
  <c r="H4" i="7"/>
  <c r="B2655" i="24" s="1"/>
  <c r="D2655" i="24" s="1"/>
  <c r="K365" i="9"/>
  <c r="B7243" i="24" s="1"/>
  <c r="D7243" i="24" s="1"/>
  <c r="J16" i="7"/>
  <c r="B6226" i="24" s="1"/>
  <c r="D6226" i="24" s="1"/>
  <c r="N23" i="6"/>
  <c r="B284" i="24" s="1"/>
  <c r="D284" i="24" s="1"/>
  <c r="B5906" i="24"/>
  <c r="D5906" i="24" s="1"/>
  <c r="D274" i="8"/>
  <c r="B5507" i="24" s="1"/>
  <c r="D5507" i="24" s="1"/>
  <c r="H6" i="7"/>
  <c r="B5914" i="24"/>
  <c r="D5914" i="24" s="1"/>
  <c r="D7254" i="24"/>
  <c r="D7255" i="24"/>
  <c r="D7253" i="24"/>
  <c r="B7733" i="24"/>
  <c r="D7733" i="24" s="1"/>
  <c r="K26" i="12"/>
  <c r="B7743" i="24" s="1"/>
  <c r="D7743" i="24" s="1"/>
  <c r="B5356" i="24"/>
  <c r="D5356" i="24" s="1"/>
  <c r="D4" i="7"/>
  <c r="B2564" i="24" s="1"/>
  <c r="D2564" i="24" s="1"/>
  <c r="D7252" i="24"/>
  <c r="B3568" i="24"/>
  <c r="D3568" i="24" s="1"/>
  <c r="D52" i="23"/>
  <c r="D7250" i="24"/>
  <c r="H77" i="7"/>
  <c r="B3299" i="24" s="1"/>
  <c r="D3299" i="24" s="1"/>
  <c r="F274" i="8"/>
  <c r="G173" i="8"/>
  <c r="B5770" i="24"/>
  <c r="D5770" i="24" s="1"/>
  <c r="C173" i="8"/>
  <c r="F73" i="14"/>
  <c r="G15" i="7"/>
  <c r="B6032" i="24" s="1"/>
  <c r="D6032" i="24" s="1"/>
  <c r="B1365" i="24"/>
  <c r="D1365" i="24" s="1"/>
  <c r="F65" i="14"/>
  <c r="B3670" i="24"/>
  <c r="D3670" i="24" s="1"/>
  <c r="K352" i="9"/>
  <c r="K367" i="9" s="1"/>
  <c r="D7256" i="24"/>
  <c r="D7251" i="24"/>
  <c r="C114" i="9"/>
  <c r="B757" i="24" s="1"/>
  <c r="D757" i="24" s="1"/>
  <c r="B1879" i="24"/>
  <c r="D1879" i="24" s="1"/>
  <c r="H22" i="4"/>
  <c r="D19" i="10"/>
  <c r="B1775" i="24" s="1"/>
  <c r="D1775" i="24" s="1"/>
  <c r="K342" i="9"/>
  <c r="F13" i="14" s="1"/>
  <c r="B6024" i="24"/>
  <c r="D6024" i="24" s="1"/>
  <c r="G4" i="7"/>
  <c r="B2603" i="24" s="1"/>
  <c r="D2603" i="24" s="1"/>
  <c r="H367" i="9"/>
  <c r="B3660" i="24" s="1"/>
  <c r="D3660" i="24" s="1"/>
  <c r="B7760" i="24"/>
  <c r="D7760" i="24" s="1"/>
  <c r="D24" i="23"/>
  <c r="F178" i="14"/>
  <c r="K102" i="9"/>
  <c r="F53" i="14" s="1"/>
  <c r="B171" i="24"/>
  <c r="D171" i="24" s="1"/>
  <c r="D47" i="23"/>
  <c r="B1515" i="24"/>
  <c r="D1515" i="24" s="1"/>
  <c r="G16" i="7"/>
  <c r="B2611" i="24" s="1"/>
  <c r="D2611" i="24" s="1"/>
  <c r="B2913" i="24"/>
  <c r="D2913" i="24" s="1"/>
  <c r="D50" i="23"/>
  <c r="B3318" i="24"/>
  <c r="D3318" i="24" s="1"/>
  <c r="I77" i="7"/>
  <c r="B3319" i="24" s="1"/>
  <c r="D3319" i="24" s="1"/>
  <c r="B3674" i="24"/>
  <c r="D3674" i="24" s="1"/>
  <c r="B3573" i="24"/>
  <c r="D3573" i="24" s="1"/>
  <c r="K4" i="7"/>
  <c r="B6028" i="24"/>
  <c r="D6028" i="24" s="1"/>
  <c r="D173" i="8"/>
  <c r="F4" i="7"/>
  <c r="B2591" i="24" s="1"/>
  <c r="D2591" i="24" s="1"/>
  <c r="B5588" i="24"/>
  <c r="D5588" i="24" s="1"/>
  <c r="B124" i="24"/>
  <c r="D124" i="24" s="1"/>
  <c r="D45" i="23"/>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B1983" i="24"/>
  <c r="D1983" i="24" s="1"/>
  <c r="H26" i="12"/>
  <c r="B7740" i="24" s="1"/>
  <c r="D7740" i="24" s="1"/>
  <c r="B3274" i="24"/>
  <c r="D3274" i="24" s="1"/>
  <c r="E77" i="7"/>
  <c r="B3277" i="24" s="1"/>
  <c r="D3277" i="24" s="1"/>
  <c r="B6977" i="24"/>
  <c r="D6977" i="24" s="1"/>
  <c r="I114" i="9"/>
  <c r="B7051" i="24"/>
  <c r="D7051" i="24" s="1"/>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141" i="24"/>
  <c r="D141" i="24" s="1"/>
  <c r="D46" i="23"/>
  <c r="B190" i="24"/>
  <c r="D190" i="24" s="1"/>
  <c r="D48" i="23"/>
  <c r="B213" i="24"/>
  <c r="D213" i="24" s="1"/>
  <c r="D49" i="23"/>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16" i="7"/>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6222" i="24"/>
  <c r="D6222" i="24" s="1"/>
  <c r="B7298" i="24"/>
  <c r="B7299" i="24"/>
  <c r="D7" i="7" l="1"/>
  <c r="B2567" i="24" s="1"/>
  <c r="D2567" i="24" s="1"/>
  <c r="B5653" i="24"/>
  <c r="D5653" i="24" s="1"/>
  <c r="F6" i="7"/>
  <c r="B2593" i="24" s="1"/>
  <c r="D2593" i="24" s="1"/>
  <c r="F275" i="8"/>
  <c r="B5720" i="24" s="1"/>
  <c r="D5720" i="24" s="1"/>
  <c r="D275" i="8"/>
  <c r="B5508" i="24" s="1"/>
  <c r="D5508" i="24" s="1"/>
  <c r="J17" i="7"/>
  <c r="B6227" i="24" s="1"/>
  <c r="D6227" i="24" s="1"/>
  <c r="F7" i="7"/>
  <c r="B2594" i="24" s="1"/>
  <c r="D2594" i="24" s="1"/>
  <c r="B5719" i="24"/>
  <c r="D5719" i="24" s="1"/>
  <c r="B7224" i="24"/>
  <c r="D7224" i="24" s="1"/>
  <c r="B1145" i="24"/>
  <c r="D1145" i="24" s="1"/>
  <c r="B2656" i="24"/>
  <c r="D2656" i="24" s="1"/>
  <c r="H8" i="7"/>
  <c r="B5223" i="24"/>
  <c r="D5223" i="24" s="1"/>
  <c r="C6" i="7"/>
  <c r="B2553" i="24" s="1"/>
  <c r="D2553" i="24" s="1"/>
  <c r="K13" i="7"/>
  <c r="B3572" i="24" s="1"/>
  <c r="D3572" i="24" s="1"/>
  <c r="B3672" i="24"/>
  <c r="D3672" i="24" s="1"/>
  <c r="F24" i="4"/>
  <c r="G41" i="16"/>
  <c r="G44" i="16" s="1"/>
  <c r="G45" i="16" s="1"/>
  <c r="B5778" i="24"/>
  <c r="D5778" i="24" s="1"/>
  <c r="G6" i="7"/>
  <c r="B2604" i="24" s="1"/>
  <c r="D2604" i="24" s="1"/>
  <c r="J8" i="7"/>
  <c r="J10" i="7" s="1"/>
  <c r="B6225" i="24" s="1"/>
  <c r="D6225" i="24" s="1"/>
  <c r="E41" i="16"/>
  <c r="E44" i="16" s="1"/>
  <c r="E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B3678" i="24"/>
  <c r="D3678" i="24" s="1"/>
  <c r="K368" i="9"/>
  <c r="B3681" i="24" s="1"/>
  <c r="D3681" i="24" s="1"/>
  <c r="B1510" i="24"/>
  <c r="D1510" i="24" s="1"/>
  <c r="K295" i="9"/>
  <c r="F12" i="14" s="1"/>
  <c r="G13" i="7"/>
  <c r="B3574" i="24"/>
  <c r="D3574" i="24" s="1"/>
  <c r="B1282" i="24"/>
  <c r="D1282" i="24" s="1"/>
  <c r="D15" i="7"/>
  <c r="B2571" i="24" s="1"/>
  <c r="D2571" i="24" s="1"/>
  <c r="J19" i="7"/>
  <c r="B6229" i="24" s="1"/>
  <c r="D6229"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D8" i="7"/>
  <c r="J20" i="7" l="1"/>
  <c r="J78" i="7" s="1"/>
  <c r="K17" i="7"/>
  <c r="K20" i="7" s="1"/>
  <c r="F8" i="7"/>
  <c r="F10" i="7" s="1"/>
  <c r="B4125" i="24" s="1"/>
  <c r="D4125" i="24" s="1"/>
  <c r="B6223" i="24"/>
  <c r="D6223" i="24" s="1"/>
  <c r="F76" i="14"/>
  <c r="B2658" i="24"/>
  <c r="D2658" i="24" s="1"/>
  <c r="H10" i="7"/>
  <c r="B4127" i="24" s="1"/>
  <c r="D4127" i="24" s="1"/>
  <c r="D10" i="27"/>
  <c r="D19" i="27" s="1"/>
  <c r="D32" i="27" s="1"/>
  <c r="D49" i="27"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3575" i="24"/>
  <c r="D3575" i="24" s="1"/>
  <c r="B1517" i="24"/>
  <c r="D1517" i="24" s="1"/>
  <c r="N41" i="6"/>
  <c r="B287" i="24"/>
  <c r="D287" i="24" s="1"/>
  <c r="B4997" i="24"/>
  <c r="D4997" i="24" s="1"/>
  <c r="H32" i="5"/>
  <c r="K32" i="5" s="1"/>
  <c r="O31" i="5" s="1"/>
  <c r="O33" i="5" s="1"/>
  <c r="E19" i="7"/>
  <c r="B4138" i="24" s="1"/>
  <c r="D4138" i="24" s="1"/>
  <c r="B2635" i="24"/>
  <c r="D2635" i="24" s="1"/>
  <c r="B2569" i="24"/>
  <c r="D2569" i="24" s="1"/>
  <c r="D17" i="7"/>
  <c r="D20" i="7" s="1"/>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H13" i="5" s="1"/>
  <c r="B5327" i="24"/>
  <c r="D5327" i="24" s="1"/>
  <c r="K115" i="9"/>
  <c r="B1153" i="24" s="1"/>
  <c r="D1153" i="24" s="1"/>
  <c r="B5552" i="24"/>
  <c r="D5552" i="24" s="1"/>
  <c r="K175" i="9"/>
  <c r="B1333" i="24" s="1"/>
  <c r="D1333" i="24" s="1"/>
  <c r="A7260" i="24"/>
  <c r="D7259" i="24"/>
  <c r="E8" i="7"/>
  <c r="C8" i="22"/>
  <c r="D10" i="7"/>
  <c r="B4123" i="24" s="1"/>
  <c r="D4123" i="24" s="1"/>
  <c r="B2568" i="24"/>
  <c r="D2568" i="24" s="1"/>
  <c r="K19" i="7" l="1"/>
  <c r="B4144" i="24" s="1"/>
  <c r="D4144" i="24" s="1"/>
  <c r="B6230" i="24"/>
  <c r="D6230" i="24" s="1"/>
  <c r="B2595" i="24"/>
  <c r="D2595" i="24" s="1"/>
  <c r="D8" i="22"/>
  <c r="F14" i="14"/>
  <c r="F77" i="14" s="1"/>
  <c r="H18" i="5"/>
  <c r="C10" i="7"/>
  <c r="B4122" i="24" s="1"/>
  <c r="D4122" i="24" s="1"/>
  <c r="B8" i="22"/>
  <c r="F8" i="22" s="1"/>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D55" i="23"/>
  <c r="I18" i="13"/>
  <c r="B7625" i="24"/>
  <c r="H78" i="7"/>
  <c r="B2662" i="24"/>
  <c r="D2662" i="24" s="1"/>
  <c r="B3227" i="24"/>
  <c r="D3227" i="24" s="1"/>
  <c r="I78" i="7"/>
  <c r="D9" i="22"/>
  <c r="F19" i="7"/>
  <c r="B4139" i="24" s="1"/>
  <c r="D4139" i="24" s="1"/>
  <c r="B2600" i="24"/>
  <c r="D2600" i="24" s="1"/>
  <c r="F20" i="7"/>
  <c r="B2573" i="24"/>
  <c r="D2573" i="24" s="1"/>
  <c r="D19" i="7"/>
  <c r="B4137" i="24" s="1"/>
  <c r="D4137" i="24" s="1"/>
  <c r="C9" i="22"/>
  <c r="C10" i="22" s="1"/>
  <c r="K78" i="7"/>
  <c r="B3576" i="24"/>
  <c r="D3576" i="24" s="1"/>
  <c r="J81" i="7"/>
  <c r="B6263" i="24"/>
  <c r="D6263" i="24" s="1"/>
  <c r="D78" i="7"/>
  <c r="B2574" i="24"/>
  <c r="D2574" i="24" s="1"/>
  <c r="F179" i="14" l="1"/>
  <c r="F79" i="14"/>
  <c r="D10" i="22"/>
  <c r="B3588" i="24"/>
  <c r="D3588" i="24" s="1"/>
  <c r="K81" i="7"/>
  <c r="F78" i="7"/>
  <c r="B2601" i="24"/>
  <c r="D2601" i="24" s="1"/>
  <c r="B3320" i="24"/>
  <c r="D3320" i="24" s="1"/>
  <c r="I81" i="7"/>
  <c r="K17" i="5"/>
  <c r="B3300" i="24"/>
  <c r="D3300" i="24" s="1"/>
  <c r="H81" i="7"/>
  <c r="B7631" i="24"/>
  <c r="F180" i="14"/>
  <c r="A7262" i="24"/>
  <c r="D7261" i="24"/>
  <c r="H16" i="4"/>
  <c r="G78" i="7"/>
  <c r="B2613" i="24"/>
  <c r="D2613" i="24" s="1"/>
  <c r="B2562" i="24"/>
  <c r="D2562" i="24" s="1"/>
  <c r="C78" i="7"/>
  <c r="B10" i="22"/>
  <c r="F9" i="22"/>
  <c r="F10" i="22" s="1"/>
  <c r="E78" i="7"/>
  <c r="B2636" i="24"/>
  <c r="D2636" i="24" s="1"/>
  <c r="D64" i="23"/>
  <c r="J82" i="7"/>
  <c r="B6266" i="24"/>
  <c r="D6266" i="24" s="1"/>
  <c r="D81" i="7"/>
  <c r="B3239" i="24"/>
  <c r="D3239" i="24" s="1"/>
  <c r="F181" i="14" l="1"/>
  <c r="F183" i="14" s="1"/>
  <c r="B3278" i="24"/>
  <c r="D3278" i="24" s="1"/>
  <c r="E81" i="7"/>
  <c r="B3233" i="24"/>
  <c r="D3233" i="24" s="1"/>
  <c r="C81" i="7"/>
  <c r="A7263" i="24"/>
  <c r="D7262" i="24"/>
  <c r="B1700" i="24"/>
  <c r="D1700" i="24" s="1"/>
  <c r="H82" i="7"/>
  <c r="D62" i="23"/>
  <c r="J20" i="5"/>
  <c r="O16" i="5"/>
  <c r="K20" i="5"/>
  <c r="F81" i="7"/>
  <c r="B3256" i="24"/>
  <c r="D3256" i="24" s="1"/>
  <c r="G81" i="7"/>
  <c r="B3262" i="24"/>
  <c r="D3262" i="24" s="1"/>
  <c r="B3323" i="24"/>
  <c r="D3323" i="24" s="1"/>
  <c r="I82" i="7"/>
  <c r="D63" i="23"/>
  <c r="E11" i="22"/>
  <c r="B3591" i="24"/>
  <c r="D3591" i="24" s="1"/>
  <c r="D65" i="23"/>
  <c r="K82" i="7"/>
  <c r="J83" i="7"/>
  <c r="B6283" i="24" s="1"/>
  <c r="D6283" i="24" s="1"/>
  <c r="B6274" i="24"/>
  <c r="D6274" i="24" s="1"/>
  <c r="D82" i="7"/>
  <c r="B1644" i="24"/>
  <c r="D1644" i="24" s="1"/>
  <c r="D58" i="23"/>
  <c r="C11" i="22"/>
  <c r="J16" i="4" l="1"/>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D59" i="23"/>
  <c r="I83" i="7"/>
  <c r="B6282" i="24" s="1"/>
  <c r="D6282" i="24" s="1"/>
  <c r="B6273" i="24"/>
  <c r="D6273" i="24" s="1"/>
  <c r="G82" i="7"/>
  <c r="D61" i="23"/>
  <c r="B1686" i="24"/>
  <c r="D1686" i="24" s="1"/>
  <c r="B1672" i="24"/>
  <c r="D1672" i="24" s="1"/>
  <c r="F82" i="7"/>
  <c r="D11" i="22"/>
  <c r="D60" i="23"/>
  <c r="A7264" i="24"/>
  <c r="D7263" i="24"/>
  <c r="B6268" i="24"/>
  <c r="D6268" i="24" s="1"/>
  <c r="D83" i="7"/>
  <c r="B6277" i="24" s="1"/>
  <c r="D6277" i="24" s="1"/>
  <c r="O35" i="5" l="1"/>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D29" i="23" l="1"/>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<sst xmlns="http://schemas.openxmlformats.org/spreadsheetml/2006/main" count="5310" uniqueCount="2185">
  <si>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</si>
  <si>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</si>
  <si>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</si>
  <si>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</si>
  <si>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</si>
  <si>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</si>
  <si>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</si>
  <si>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</si>
  <si>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</si>
  <si>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</si>
  <si>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</si>
  <si>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</si>
  <si>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</si>
  <si>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</si>
  <si>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</si>
  <si>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</si>
  <si>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</si>
  <si>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</si>
  <si>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</si>
  <si>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</si>
  <si>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</si>
  <si>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</si>
  <si>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</si>
  <si>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</si>
  <si>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</si>
  <si>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</si>
  <si>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</si>
  <si>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</si>
  <si>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</si>
  <si>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</si>
  <si>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</si>
  <si>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</si>
  <si>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</si>
  <si>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</si>
  <si>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</si>
  <si>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</si>
  <si>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</si>
  <si>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</si>
  <si>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</si>
  <si>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</si>
  <si>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</si>
  <si>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</si>
  <si>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</si>
  <si>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</si>
  <si>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</si>
  <si>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</si>
  <si>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</si>
  <si>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</si>
  <si>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</si>
  <si>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</si>
  <si>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</si>
  <si>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</si>
  <si>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</si>
  <si>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</si>
  <si>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</si>
  <si>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</si>
  <si>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</si>
  <si>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</si>
  <si>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</si>
  <si>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</si>
  <si>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</si>
  <si>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</si>
  <si>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</si>
  <si>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</si>
  <si>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</si>
  <si>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</si>
  <si>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</si>
  <si>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</si>
  <si>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</si>
  <si>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</si>
  <si>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</si>
  <si>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</si>
  <si>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</si>
  <si>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</si>
  <si>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</si>
  <si>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</si>
  <si>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</si>
  <si>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</si>
  <si>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</si>
  <si>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</si>
  <si>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</si>
  <si>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</si>
  <si>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</si>
  <si>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</si>
  <si>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</si>
  <si>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</si>
  <si>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</si>
  <si>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</si>
  <si>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</si>
  <si>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</si>
  <si>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</si>
  <si>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</si>
  <si>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</si>
  <si>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</si>
  <si>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</si>
  <si>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</si>
  <si>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</si>
  <si>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</si>
  <si>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</si>
  <si>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</si>
  <si>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</si>
  <si>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</si>
  <si>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</si>
  <si>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</si>
  <si>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</si>
  <si>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</si>
  <si>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</si>
  <si>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</si>
  <si>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</si>
  <si>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</si>
  <si>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</si>
  <si>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</si>
  <si>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</si>
  <si>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</si>
  <si>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</si>
  <si>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</si>
  <si>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</si>
  <si>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</si>
  <si>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</si>
  <si>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</si>
  <si>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</si>
  <si>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</si>
  <si>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</si>
  <si>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</si>
  <si>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</si>
  <si>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</si>
  <si>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</si>
  <si>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</si>
  <si>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</si>
  <si>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</si>
  <si>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</si>
  <si>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</si>
  <si>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</si>
  <si>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</si>
  <si>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</si>
  <si>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</si>
  <si>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</si>
  <si>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</si>
  <si>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</si>
  <si>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</si>
  <si>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</si>
  <si>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</si>
  <si>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</si>
  <si>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</si>
  <si>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</si>
  <si>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</si>
  <si>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</si>
  <si>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</si>
  <si>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</si>
  <si>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</si>
  <si>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</si>
  <si>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</si>
  <si>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</si>
  <si>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</si>
  <si>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</si>
  <si>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</si>
  <si>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</si>
  <si>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</si>
  <si>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</si>
  <si>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</si>
  <si>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</si>
  <si>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</si>
  <si>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</si>
  <si>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</si>
  <si>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</si>
  <si>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</si>
  <si>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</si>
  <si>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</si>
  <si>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</si>
  <si>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</si>
  <si>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</si>
  <si>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</si>
  <si>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</si>
  <si>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</si>
  <si>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</si>
  <si>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</si>
  <si>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</si>
  <si>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</si>
  <si>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</si>
  <si>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</si>
  <si>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</si>
  <si>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</si>
  <si>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</si>
  <si>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</si>
  <si>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</si>
  <si>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</si>
  <si>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</si>
  <si>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</si>
  <si>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</si>
  <si>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</si>
  <si>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</si>
  <si>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</si>
  <si>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</si>
  <si>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</si>
  <si>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</si>
  <si>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</si>
  <si>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</si>
  <si>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</si>
  <si>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</si>
  <si>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</si>
  <si>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</si>
  <si>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</si>
  <si>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</si>
  <si>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</si>
  <si>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</si>
  <si>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</si>
  <si>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</si>
  <si>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</si>
  <si>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</si>
  <si>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</si>
  <si>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</si>
  <si>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</si>
  <si>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</si>
  <si>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</si>
  <si>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</si>
  <si>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</si>
  <si>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</si>
  <si>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</si>
  <si>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</si>
  <si>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</si>
  <si>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</si>
  <si>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</si>
  <si>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</si>
  <si>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</si>
  <si>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</si>
  <si>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</si>
  <si>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</si>
  <si>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</si>
  <si>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</si>
  <si>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</si>
  <si>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</si>
  <si>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</si>
  <si>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</si>
  <si>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</si>
  <si>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</si>
  <si>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</si>
  <si>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</si>
  <si>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</si>
  <si>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</si>
  <si>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</si>
  <si>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</si>
  <si>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</si>
  <si>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</si>
  <si>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</si>
  <si>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</si>
  <si>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</si>
  <si>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</si>
  <si>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</si>
  <si>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</si>
  <si>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</si>
  <si>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</si>
  <si>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</si>
  <si>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</si>
  <si>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</si>
  <si>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</si>
  <si>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</si>
  <si>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</si>
  <si>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</si>
  <si>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</si>
  <si>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</si>
  <si>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</si>
  <si>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</si>
  <si>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</si>
  <si>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</si>
  <si>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</si>
  <si>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</si>
  <si>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</si>
  <si>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</si>
  <si>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</si>
  <si>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</si>
  <si>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</si>
  <si>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</si>
  <si>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</si>
  <si>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</si>
  <si>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</si>
  <si>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</si>
  <si>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</si>
  <si>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</si>
  <si>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</si>
  <si>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</si>
  <si>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</si>
  <si>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</si>
  <si>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</si>
  <si>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</si>
  <si>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</si>
  <si>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</si>
  <si>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</si>
  <si>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</si>
  <si>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</si>
  <si>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</si>
  <si>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</si>
  <si>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</si>
  <si>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</si>
  <si>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</si>
  <si>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</si>
  <si>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</si>
  <si>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</si>
  <si>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</si>
  <si>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</si>
  <si>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</si>
  <si>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</si>
  <si>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</si>
  <si>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</si>
  <si>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</si>
  <si>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</si>
  <si>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</si>
  <si>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</si>
  <si>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</si>
  <si>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</si>
  <si>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</si>
  <si>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</si>
  <si>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</si>
  <si>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</si>
  <si>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</si>
  <si>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</si>
  <si>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</si>
  <si>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</si>
  <si>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</si>
  <si>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</si>
  <si>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</si>
  <si>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</si>
  <si>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</si>
  <si>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</si>
  <si>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</si>
  <si>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</si>
  <si>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</si>
  <si>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</si>
  <si>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</si>
  <si>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</si>
  <si>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</si>
  <si>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</si>
  <si>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</si>
  <si>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</si>
  <si>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</si>
  <si>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</si>
  <si>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</si>
  <si>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</si>
  <si>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</si>
  <si>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</si>
  <si>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</si>
  <si>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</si>
  <si>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</si>
  <si>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</si>
  <si>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</si>
  <si>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</si>
  <si>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</si>
  <si>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</si>
  <si>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</si>
  <si>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</si>
  <si>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</si>
  <si>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</si>
  <si>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</si>
  <si>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</si>
  <si>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</si>
  <si>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</si>
  <si>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</si>
  <si>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</si>
  <si>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</si>
  <si>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</si>
  <si>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</si>
  <si>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</si>
  <si>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</si>
  <si>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</si>
  <si>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</si>
  <si>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</si>
  <si>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</si>
  <si>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</si>
  <si>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</si>
  <si>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</si>
  <si>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</si>
  <si>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</si>
  <si>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</si>
  <si>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</si>
  <si>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</si>
  <si>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</si>
  <si>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</si>
  <si>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</si>
  <si>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</si>
  <si>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</si>
  <si>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</si>
  <si>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</si>
  <si>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</si>
  <si>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</si>
  <si>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</si>
  <si>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</si>
  <si>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</si>
  <si>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</si>
  <si>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</si>
  <si>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</si>
  <si>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</si>
  <si>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</si>
  <si>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</si>
  <si>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</si>
  <si>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</si>
  <si>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</si>
  <si>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</si>
  <si>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</si>
  <si>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</si>
  <si>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</si>
  <si>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</si>
  <si>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</si>
  <si>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</si>
  <si>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</si>
  <si>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</si>
  <si>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</si>
  <si>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</si>
  <si>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</si>
  <si>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</si>
  <si>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</si>
  <si>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</si>
  <si>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</si>
  <si>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</si>
  <si>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</si>
  <si>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</si>
  <si>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</si>
  <si>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</si>
  <si>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</si>
  <si>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</si>
  <si>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</si>
  <si>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</si>
  <si>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</si>
  <si>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</si>
  <si>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</si>
  <si>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</si>
  <si>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</si>
  <si>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</si>
  <si>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</si>
  <si>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</si>
  <si>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</si>
  <si>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</si>
  <si>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</si>
  <si>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</si>
  <si>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</si>
  <si>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</si>
  <si>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</si>
  <si>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</si>
  <si>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</si>
  <si>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</si>
  <si>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</si>
  <si>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</si>
  <si>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</si>
  <si>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</si>
  <si>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</si>
  <si>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</si>
  <si>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</si>
  <si>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</si>
  <si>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</si>
  <si>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</si>
  <si>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</si>
  <si>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</si>
  <si>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</si>
  <si>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</si>
  <si>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</si>
  <si>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</si>
  <si>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</si>
  <si>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</si>
  <si>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</si>
  <si>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</si>
  <si>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</si>
  <si>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</si>
  <si>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</si>
  <si>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</si>
  <si>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</si>
  <si>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</si>
  <si>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</si>
  <si>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</si>
  <si>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</si>
  <si>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</si>
  <si>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</si>
  <si>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</si>
  <si>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</si>
  <si>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</si>
  <si>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</si>
  <si>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</si>
  <si>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</si>
  <si>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</si>
  <si>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</si>
  <si>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</si>
  <si>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</si>
  <si>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</si>
  <si>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</si>
  <si>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</si>
  <si>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</si>
  <si>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</si>
  <si>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</si>
  <si>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</si>
  <si>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</si>
  <si>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</si>
  <si>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</si>
  <si>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</si>
  <si>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</si>
  <si>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</si>
  <si>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</si>
  <si>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</si>
  <si>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</si>
  <si>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</si>
  <si>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</si>
  <si>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</si>
  <si>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</si>
  <si>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</si>
  <si>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</si>
  <si>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</si>
  <si>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</si>
  <si>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</si>
  <si>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</si>
  <si>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</si>
  <si>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</si>
  <si>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</si>
  <si>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</si>
  <si>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</si>
  <si>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</si>
  <si>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</si>
  <si>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</si>
  <si>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</si>
  <si>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</si>
  <si>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</si>
  <si>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</si>
  <si>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</si>
  <si>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</si>
  <si>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</si>
  <si>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</si>
  <si>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</si>
  <si>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</si>
  <si>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</si>
  <si>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</si>
  <si>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</si>
  <si>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</si>
  <si>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</si>
  <si>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</si>
  <si>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</si>
  <si>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</si>
  <si>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</si>
  <si>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</si>
  <si>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</si>
  <si>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</si>
  <si>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</si>
  <si>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</si>
  <si>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</si>
  <si>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</si>
  <si>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</si>
  <si>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</si>
  <si>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</si>
  <si>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</si>
  <si>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</si>
  <si>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</si>
  <si>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</si>
  <si>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</si>
  <si>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</si>
  <si>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</si>
  <si>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</si>
  <si>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</si>
  <si>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</si>
  <si>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</si>
  <si>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</si>
  <si>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</si>
  <si>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</si>
  <si>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</si>
  <si>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</si>
  <si>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</si>
  <si>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</si>
  <si>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</si>
  <si>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</si>
  <si>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</si>
  <si>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</si>
  <si>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</si>
  <si>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</si>
  <si>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</si>
  <si>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</si>
  <si>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</si>
  <si>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</si>
  <si>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</si>
  <si>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</si>
  <si>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</si>
  <si>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</si>
  <si>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</si>
  <si>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</si>
  <si>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</si>
  <si>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</si>
  <si>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</si>
  <si>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</si>
  <si>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</si>
  <si>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</si>
  <si>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</si>
  <si>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</si>
  <si>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</si>
  <si>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</si>
  <si>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</si>
  <si>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</si>
  <si>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</si>
  <si>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</si>
  <si>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</si>
  <si>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</si>
  <si>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</si>
  <si>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</si>
  <si>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</si>
  <si>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</si>
  <si>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</si>
  <si>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</si>
  <si>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</si>
  <si>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</si>
  <si>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</si>
  <si>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</si>
  <si>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</si>
  <si>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</si>
  <si>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</si>
  <si>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</si>
  <si>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</si>
  <si>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</si>
  <si>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</si>
  <si>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</si>
  <si>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</si>
  <si>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</si>
  <si>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</si>
  <si>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</si>
  <si>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</si>
  <si>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</si>
  <si>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</si>
  <si>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</si>
  <si>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</si>
  <si>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</si>
  <si>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</si>
  <si>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</si>
  <si>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</si>
  <si>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</si>
  <si>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</si>
  <si>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</si>
  <si>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</si>
  <si>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</si>
  <si>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</si>
  <si>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</si>
  <si>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</si>
  <si>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</si>
  <si>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</si>
  <si>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</si>
  <si>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</si>
  <si>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</si>
  <si>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</si>
  <si>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</si>
  <si>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</si>
  <si>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</si>
  <si>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</si>
  <si>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</si>
  <si>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</si>
  <si>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</si>
  <si>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</si>
  <si>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</si>
  <si>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</si>
  <si>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</si>
  <si>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</si>
  <si>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</si>
  <si>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</si>
  <si>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</si>
  <si>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</si>
  <si>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</si>
  <si>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</si>
  <si>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</si>
  <si>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</si>
  <si>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</si>
  <si>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</si>
  <si>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</si>
  <si>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</si>
  <si>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</si>
  <si>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</si>
  <si>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</si>
  <si>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</si>
  <si>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</si>
  <si>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</si>
  <si>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</si>
  <si>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</si>
  <si>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</si>
  <si>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</si>
  <si>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</si>
  <si>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</si>
  <si>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</si>
  <si>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</si>
  <si>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</si>
  <si>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</si>
  <si>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</si>
  <si>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</si>
  <si>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</si>
  <si>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</si>
  <si>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</si>
  <si>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</si>
  <si>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</si>
  <si>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</si>
  <si>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</si>
  <si>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</si>
  <si>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</si>
  <si>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</si>
  <si>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</si>
  <si>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</si>
  <si>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</si>
  <si>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</si>
  <si>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</si>
  <si>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</si>
  <si>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</si>
  <si>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</si>
  <si>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</si>
  <si>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</si>
  <si>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</si>
  <si>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</si>
  <si>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</si>
  <si>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</si>
  <si>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</si>
  <si>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</si>
  <si>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</si>
  <si>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</si>
  <si>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</si>
  <si>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</si>
  <si>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</si>
  <si>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</si>
  <si>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</si>
  <si>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</si>
  <si>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</si>
  <si>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</si>
  <si>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</si>
  <si>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</si>
  <si>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</si>
  <si>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</si>
  <si>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</si>
  <si>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</si>
  <si>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</si>
  <si>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</si>
  <si>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</si>
  <si>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</si>
  <si>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</si>
  <si>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</si>
  <si>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</si>
  <si>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</si>
  <si>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</si>
  <si>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</si>
  <si>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</si>
  <si>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</si>
  <si>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</si>
  <si>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</si>
  <si>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</si>
  <si>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</si>
  <si>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</si>
  <si>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</si>
  <si>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</si>
  <si>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</si>
  <si>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</si>
  <si>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</si>
  <si>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</si>
  <si>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</si>
  <si>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</si>
  <si>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</si>
  <si>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</si>
  <si>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</si>
  <si>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</si>
  <si>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</si>
  <si>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</si>
  <si>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</si>
  <si>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</si>
  <si>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</si>
  <si>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</si>
  <si>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</si>
  <si>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</si>
  <si>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</si>
  <si>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</si>
  <si>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</si>
  <si>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</si>
  <si>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</si>
  <si>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</si>
  <si>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</si>
  <si>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</si>
  <si>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</si>
  <si>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</si>
  <si>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</si>
  <si>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</si>
  <si>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</si>
  <si>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</si>
  <si>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</si>
  <si>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</si>
  <si>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</si>
  <si>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</si>
  <si>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</si>
  <si>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</si>
  <si>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</si>
  <si>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</si>
  <si>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</si>
  <si>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</si>
  <si>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</si>
  <si>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</si>
  <si>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</si>
  <si>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</si>
  <si>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</si>
  <si>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</si>
  <si>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</si>
  <si>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</si>
  <si>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</si>
  <si>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</si>
  <si>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</si>
  <si>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</si>
  <si>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</si>
  <si>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</si>
  <si>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</si>
  <si>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</si>
  <si>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</si>
  <si>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</si>
  <si>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</si>
  <si>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</si>
  <si>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</si>
  <si>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</si>
  <si>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</si>
  <si>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</si>
  <si>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</si>
  <si>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</si>
  <si>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</si>
  <si>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</si>
  <si>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</si>
  <si>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</si>
  <si>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</si>
  <si>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</si>
  <si>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</si>
  <si>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</si>
  <si>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</si>
  <si>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</si>
  <si>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</si>
  <si>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</si>
  <si>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</si>
  <si>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</si>
  <si>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</si>
  <si>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</si>
  <si>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</si>
  <si>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</si>
  <si>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</si>
  <si>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</si>
  <si>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</si>
  <si>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</si>
  <si>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</si>
  <si>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</si>
  <si>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</si>
  <si>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</si>
  <si>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</si>
  <si>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</si>
  <si>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</si>
  <si>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</si>
  <si>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</si>
  <si>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</si>
  <si>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</si>
  <si>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</si>
  <si>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</si>
  <si>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</si>
  <si>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</si>
  <si>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</si>
  <si>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</si>
  <si>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</si>
  <si>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</si>
  <si>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</si>
  <si>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</si>
  <si>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</si>
  <si>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</si>
  <si>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</si>
  <si>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</si>
  <si>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</si>
  <si>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</si>
  <si>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</si>
  <si>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</si>
  <si>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</si>
  <si>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</si>
  <si>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</si>
  <si>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</si>
  <si>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</si>
  <si>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</si>
  <si>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</si>
  <si>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</si>
  <si>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</si>
  <si>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</si>
  <si>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</si>
  <si>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</si>
  <si>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</si>
  <si>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</si>
  <si>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</si>
  <si>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</si>
  <si>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</si>
  <si>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</si>
  <si>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</si>
  <si>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</si>
  <si>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</si>
  <si>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</si>
  <si>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</si>
  <si>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</si>
  <si>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</si>
  <si>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</si>
  <si>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</si>
  <si>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</si>
  <si>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</si>
  <si>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</si>
  <si>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</si>
  <si>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</si>
  <si>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</si>
  <si>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</si>
  <si>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</si>
  <si>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</si>
  <si>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</si>
  <si>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</si>
  <si>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</si>
  <si>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</si>
  <si>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</si>
  <si>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</si>
  <si>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</si>
  <si>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</si>
  <si>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</si>
  <si>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</si>
  <si>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</si>
  <si>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</si>
  <si>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</si>
  <si>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</si>
  <si>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</si>
  <si>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</si>
  <si>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</si>
  <si>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</si>
  <si>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</si>
  <si>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</si>
  <si>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</si>
  <si>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</si>
  <si>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</si>
  <si>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</si>
  <si>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</si>
  <si>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</si>
  <si>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</si>
  <si>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</si>
  <si>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</si>
  <si>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</si>
  <si>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</si>
  <si>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</si>
  <si>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</si>
  <si>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</si>
  <si>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</si>
  <si>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</si>
  <si>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</si>
  <si>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</si>
  <si>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</si>
  <si>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</si>
  <si>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</si>
  <si>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</si>
  <si>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</si>
  <si>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</si>
  <si>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</si>
  <si>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</si>
  <si>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</si>
  <si>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</si>
  <si>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</si>
  <si>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</si>
  <si>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</si>
  <si>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</si>
  <si>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</si>
  <si>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</si>
  <si>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</si>
  <si>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</si>
  <si>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</si>
  <si>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</si>
  <si>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</si>
  <si>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</si>
  <si>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</si>
  <si>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</si>
  <si>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</si>
  <si>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</si>
  <si>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</si>
  <si>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</si>
  <si>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</si>
  <si>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</si>
  <si>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</si>
  <si>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</si>
  <si>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</si>
  <si>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</si>
  <si>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</si>
  <si>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</si>
  <si>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</si>
  <si>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</si>
  <si>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</si>
  <si>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</si>
  <si>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</si>
  <si>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</si>
  <si>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</si>
  <si>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</si>
  <si>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</si>
  <si>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</si>
  <si>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</si>
  <si>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</si>
  <si>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</si>
  <si>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</si>
  <si>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</si>
  <si>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</si>
  <si>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</si>
  <si>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</si>
  <si>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</si>
  <si>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</si>
  <si>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</si>
  <si>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</si>
  <si>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</si>
  <si>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</si>
  <si>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</si>
  <si>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</si>
  <si>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</si>
  <si>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</si>
  <si>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</si>
  <si>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</si>
  <si>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</si>
  <si>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</si>
  <si>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</si>
  <si>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</si>
  <si>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</si>
  <si>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</si>
  <si>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</si>
  <si>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</si>
  <si>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</si>
  <si>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</si>
  <si>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</si>
  <si>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</si>
  <si>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</si>
  <si>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</si>
  <si>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</si>
  <si>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</si>
  <si>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</si>
  <si>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</si>
  <si>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</si>
  <si>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</si>
  <si>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</si>
  <si>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</si>
  <si>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</si>
  <si>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</si>
  <si>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</si>
  <si>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</si>
  <si>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</si>
  <si>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</si>
  <si>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</si>
  <si>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</si>
  <si>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</si>
  <si>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</si>
  <si>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</si>
  <si>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</si>
  <si>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</si>
  <si>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</si>
  <si>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</si>
  <si>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</si>
  <si>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</si>
  <si>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</si>
  <si>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</si>
  <si>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</si>
  <si>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</si>
  <si>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</si>
  <si>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</si>
  <si>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</si>
  <si>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</si>
  <si>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</si>
  <si>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</si>
  <si>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</si>
  <si>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</si>
  <si>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</si>
  <si>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</si>
  <si>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</si>
  <si>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</si>
  <si>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</si>
  <si>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</si>
  <si>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</si>
  <si>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</si>
  <si>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</si>
  <si>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</si>
  <si>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</si>
  <si>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</si>
  <si>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</si>
  <si>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</si>
  <si>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</si>
  <si>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</si>
  <si>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</si>
  <si>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</si>
  <si>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</si>
  <si>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</si>
  <si>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</si>
  <si>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</si>
  <si>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</si>
  <si>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</si>
  <si>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</si>
  <si>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</si>
  <si>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</si>
  <si>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</si>
  <si>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</si>
  <si>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</si>
  <si>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</si>
  <si>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</si>
  <si>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</si>
  <si>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</si>
  <si>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</si>
  <si>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</si>
  <si>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</si>
  <si>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</si>
  <si>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</si>
  <si>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</si>
  <si>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</si>
  <si>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</si>
  <si>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</si>
  <si>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</si>
  <si>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</si>
  <si>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</si>
  <si>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</si>
  <si>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</si>
  <si>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</si>
  <si>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</si>
  <si>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</si>
  <si>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</si>
  <si>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</si>
  <si>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</si>
  <si>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</si>
  <si>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</si>
  <si>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</si>
  <si>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</si>
  <si>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</si>
  <si>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</si>
  <si>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</si>
  <si>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</si>
  <si>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</si>
  <si>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</si>
  <si>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</si>
  <si>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</si>
  <si>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</si>
  <si>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</si>
  <si>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</si>
  <si>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</si>
  <si>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</si>
  <si>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</si>
  <si>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</si>
  <si>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</si>
  <si>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</si>
  <si>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</si>
  <si>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</si>
  <si>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</si>
  <si>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</si>
  <si>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</si>
  <si>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</si>
  <si>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</si>
  <si>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</si>
  <si>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</si>
  <si>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</si>
  <si>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</si>
  <si>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</si>
  <si>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</si>
  <si>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</si>
  <si>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</si>
  <si>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</si>
  <si>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</si>
  <si>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</si>
  <si>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</si>
  <si>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</si>
  <si>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</si>
  <si>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</si>
  <si>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</si>
  <si>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</si>
  <si>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</si>
  <si>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</si>
  <si>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</si>
  <si>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</si>
  <si>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</si>
  <si>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</si>
  <si>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</si>
  <si>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</si>
  <si>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</si>
  <si>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</si>
  <si>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</si>
  <si>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</si>
  <si>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</si>
  <si>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</si>
  <si>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</si>
  <si>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</si>
  <si>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</si>
  <si>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</si>
  <si>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</si>
  <si>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</si>
  <si>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</si>
  <si>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</si>
  <si>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</si>
  <si>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</si>
  <si>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</si>
  <si>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</si>
  <si>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</si>
  <si>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</si>
  <si>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</si>
  <si>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</si>
  <si>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</si>
  <si>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</si>
  <si>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</si>
  <si>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</si>
  <si>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</si>
  <si>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</si>
  <si>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</si>
  <si>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</si>
  <si>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</si>
  <si>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</si>
  <si>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</si>
  <si>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</si>
  <si>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</si>
  <si>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</si>
  <si>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</si>
  <si>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</si>
  <si>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</si>
  <si>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</si>
  <si>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</si>
  <si>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</si>
  <si>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</si>
  <si>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</si>
  <si>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</si>
  <si>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</si>
  <si>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</si>
  <si>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</si>
  <si>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</si>
  <si>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</si>
  <si>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</si>
  <si>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</si>
  <si>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</si>
  <si>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</si>
  <si>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</si>
  <si>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</si>
  <si>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</si>
  <si>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</si>
  <si>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</si>
  <si>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</si>
  <si>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</si>
  <si>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</si>
  <si>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</si>
  <si>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</si>
  <si>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</si>
  <si>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</si>
  <si>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</si>
  <si>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</si>
  <si>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</si>
  <si>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</si>
  <si>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</si>
  <si>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</si>
  <si>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</si>
  <si>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</si>
  <si>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</si>
  <si>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</si>
  <si>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</si>
  <si>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</si>
  <si>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</si>
  <si>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</si>
  <si>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</si>
  <si>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</si>
  <si>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</si>
  <si>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</si>
  <si>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</si>
  <si>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</si>
  <si>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</si>
  <si>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</si>
  <si>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</si>
  <si>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</si>
  <si>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</si>
  <si>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</si>
  <si>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</si>
  <si>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</si>
  <si>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</si>
  <si>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</si>
  <si>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</si>
  <si>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</si>
  <si>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</si>
  <si>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</si>
  <si>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</si>
  <si>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</si>
  <si>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</si>
  <si>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</si>
  <si>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</si>
  <si>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</si>
  <si>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</si>
  <si>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</si>
  <si>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</si>
  <si>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</si>
  <si>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</si>
  <si>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</si>
  <si>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</si>
  <si>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</si>
  <si>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</si>
  <si>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</si>
  <si>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</si>
  <si>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</si>
  <si>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</si>
  <si>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</si>
  <si>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</si>
  <si>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</si>
  <si>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</si>
  <si>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</si>
  <si>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</si>
  <si>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</si>
  <si>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</si>
  <si>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</si>
  <si>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</si>
  <si>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</si>
  <si>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</si>
  <si>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</si>
  <si>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</si>
  <si>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</si>
  <si>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</si>
  <si>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</si>
  <si>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</si>
  <si>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</si>
  <si>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</si>
  <si>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</si>
  <si>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</si>
  <si>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</si>
  <si>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</si>
  <si>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</si>
  <si>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</si>
  <si>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</si>
  <si>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</si>
  <si>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</si>
  <si>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</si>
  <si>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</si>
  <si>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</si>
  <si>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</si>
  <si>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</si>
  <si>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</si>
  <si>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</si>
  <si>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</si>
  <si>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</si>
  <si>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</si>
  <si>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</si>
  <si>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</si>
  <si>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</si>
  <si>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</si>
  <si>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</si>
  <si>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</si>
  <si>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</si>
  <si>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</si>
  <si>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</si>
  <si>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</si>
  <si>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</si>
  <si>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</si>
  <si>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</si>
  <si>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</si>
  <si>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</si>
  <si>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</si>
  <si>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</si>
  <si>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</si>
  <si>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</si>
  <si>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</si>
  <si>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</si>
  <si>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</si>
  <si>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</si>
  <si>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</si>
  <si>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</si>
  <si>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</si>
  <si>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</si>
  <si>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</si>
  <si>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</si>
  <si>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</si>
  <si>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</si>
  <si>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</si>
  <si>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</si>
  <si>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</si>
  <si>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</si>
  <si>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</si>
  <si>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</si>
  <si>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</si>
  <si>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</si>
  <si>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</si>
  <si>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</si>
  <si>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</si>
  <si>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</si>
  <si>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</si>
  <si>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</si>
  <si>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</si>
  <si>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</si>
  <si>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</si>
  <si>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</si>
  <si>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</si>
  <si>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</si>
  <si>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</si>
  <si>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</si>
  <si>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</si>
  <si>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</si>
  <si>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</si>
  <si>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</si>
  <si>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</si>
  <si>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</si>
  <si>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</si>
  <si>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</si>
  <si>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</si>
  <si>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</si>
  <si>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</si>
  <si>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</si>
  <si>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</si>
  <si>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</si>
  <si>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</si>
  <si>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</si>
  <si>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</si>
  <si>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</si>
  <si>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</si>
  <si>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</si>
  <si>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</si>
  <si>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</si>
  <si>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</si>
  <si>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</si>
  <si>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</si>
  <si>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</si>
  <si>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</si>
  <si>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</si>
  <si>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</si>
  <si>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</si>
  <si>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</si>
  <si>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</si>
  <si>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</si>
  <si>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</si>
  <si>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</si>
  <si>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</si>
  <si>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</si>
  <si>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</si>
  <si>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</si>
  <si>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</si>
  <si>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</si>
  <si>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</si>
  <si>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</si>
  <si>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</si>
  <si>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</si>
  <si>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</si>
  <si>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</si>
  <si>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</si>
  <si>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</si>
  <si>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</si>
  <si>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</si>
  <si>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</si>
  <si>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</si>
  <si>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</si>
  <si>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</si>
  <si>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</si>
  <si>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</si>
  <si>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</si>
  <si>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</si>
  <si>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</si>
  <si>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</si>
  <si>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</si>
  <si>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</si>
  <si>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</si>
  <si>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</si>
  <si>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</si>
  <si>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</si>
  <si>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</si>
  <si>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</si>
  <si>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</si>
  <si>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</si>
  <si>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</si>
  <si>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</si>
  <si>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</si>
  <si>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</si>
  <si>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</si>
  <si>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</si>
  <si>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</si>
  <si>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</si>
  <si>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</si>
  <si>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</si>
  <si>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</si>
  <si>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</si>
  <si>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</si>
  <si>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</si>
  <si>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</si>
  <si>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</si>
  <si>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</si>
  <si>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</si>
  <si>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</si>
  <si>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</si>
  <si>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</si>
  <si>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</si>
  <si>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</si>
  <si>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</si>
  <si>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</si>
  <si>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</si>
  <si>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</si>
  <si>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</si>
  <si>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</si>
  <si>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</si>
  <si>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</si>
  <si>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</si>
  <si>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</si>
  <si>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</si>
  <si>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</si>
  <si>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</si>
  <si>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</si>
  <si>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</si>
  <si>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</si>
  <si>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</si>
  <si>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</si>
  <si>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</si>
  <si>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</si>
  <si>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</si>
  <si>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</si>
  <si>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</si>
  <si>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</si>
  <si>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</si>
  <si>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</si>
  <si>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</si>
  <si>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</si>
  <si>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</si>
  <si>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</si>
  <si>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</si>
  <si>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</si>
  <si>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</si>
  <si>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</si>
  <si>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</si>
  <si>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</si>
  <si>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</si>
  <si>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</si>
  <si>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</si>
  <si>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</si>
  <si>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</si>
  <si>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</si>
  <si>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</si>
  <si>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</si>
  <si>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</si>
  <si>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</si>
  <si>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</si>
  <si>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</si>
  <si>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</si>
  <si>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</si>
  <si>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</si>
  <si>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</si>
  <si>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</si>
  <si>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</si>
  <si>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</si>
  <si>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</si>
  <si>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</si>
  <si>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</si>
  <si>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</si>
  <si>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</si>
  <si>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</si>
  <si>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</si>
  <si>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</si>
  <si>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</si>
  <si>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</si>
  <si>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</si>
  <si>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</si>
  <si>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</si>
  <si>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</si>
  <si>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</si>
  <si>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</si>
  <si>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</si>
  <si>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</si>
  <si>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</si>
  <si>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</si>
  <si>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</si>
  <si>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</si>
  <si>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</si>
  <si>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</si>
  <si>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</si>
  <si>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</si>
  <si>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</si>
  <si>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</si>
  <si>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</si>
  <si>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</si>
  <si>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</si>
  <si>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</si>
  <si>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</si>
  <si>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</si>
  <si>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</si>
  <si>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</si>
  <si>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</si>
  <si>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</si>
  <si>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</si>
  <si>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</si>
  <si>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</si>
  <si>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</si>
  <si>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</si>
  <si>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</si>
  <si>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</si>
  <si>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</si>
  <si>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</si>
  <si>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</si>
  <si>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</si>
  <si>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</si>
  <si>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</si>
  <si>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</si>
  <si>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</si>
  <si>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</si>
  <si>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</si>
  <si>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</si>
  <si>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</si>
  <si>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</si>
  <si>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</si>
  <si>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</si>
  <si>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</si>
  <si>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</si>
  <si>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</si>
  <si>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</si>
  <si>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</si>
  <si>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</si>
  <si>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</si>
  <si>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</si>
  <si>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</si>
  <si>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</si>
  <si>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</si>
  <si>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</si>
  <si>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</si>
  <si>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</si>
  <si>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</si>
  <si>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</si>
  <si>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</si>
  <si>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</si>
  <si>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</si>
  <si>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</si>
  <si>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</si>
  <si>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</si>
  <si>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</si>
  <si>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</si>
  <si>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</si>
  <si>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</si>
  <si>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</si>
  <si>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</si>
  <si>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</si>
  <si>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</si>
  <si>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</si>
  <si>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</si>
  <si>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</si>
  <si>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</si>
  <si>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</si>
  <si>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</si>
  <si>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</si>
  <si>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</si>
  <si>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</si>
  <si>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</si>
  <si>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</si>
  <si>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</si>
  <si>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</si>
  <si>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</si>
  <si>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</si>
  <si>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</si>
  <si>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</si>
  <si>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</si>
  <si>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</si>
  <si>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</si>
  <si>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</si>
  <si>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</si>
  <si>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</si>
  <si>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</si>
  <si>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</si>
  <si>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</si>
  <si>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</si>
  <si>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</si>
  <si>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</si>
  <si>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</si>
  <si>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</si>
  <si>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</si>
  <si>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</si>
  <si>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</si>
  <si>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</si>
  <si>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</si>
  <si>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</si>
  <si>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</si>
  <si>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</si>
  <si>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</si>
  <si>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</si>
  <si>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</si>
  <si>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</si>
  <si>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</si>
  <si>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</si>
  <si>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</si>
  <si>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</si>
  <si>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</si>
  <si>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</si>
  <si>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</si>
  <si>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</si>
  <si>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</si>
  <si>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</si>
  <si>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</si>
  <si>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</si>
  <si>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</si>
  <si>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</si>
  <si>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</si>
  <si>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</si>
  <si>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</si>
  <si>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</si>
  <si>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</si>
  <si>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</si>
  <si>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</si>
  <si>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</si>
  <si>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</si>
  <si>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</si>
  <si>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</si>
  <si>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</si>
  <si>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</si>
  <si>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</si>
  <si>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</si>
  <si>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</si>
  <si>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</si>
  <si>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</si>
  <si>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</si>
  <si>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</si>
  <si>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</si>
  <si>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</si>
  <si>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</si>
  <si>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</si>
  <si>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</si>
  <si>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</si>
  <si>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</si>
  <si>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</si>
  <si>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</si>
  <si>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</si>
  <si>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</si>
  <si>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</si>
  <si>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</si>
  <si>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</si>
  <si>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</si>
  <si>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</si>
  <si>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</si>
  <si>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</si>
  <si>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</si>
  <si>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</si>
  <si>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</si>
  <si>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</si>
  <si>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</si>
  <si>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</si>
  <si>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</si>
  <si>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</si>
  <si>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</si>
  <si>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</si>
  <si>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</si>
  <si>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</si>
  <si>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</si>
  <si>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</si>
  <si>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</si>
  <si>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</si>
  <si>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</si>
  <si>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</si>
  <si>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</si>
  <si>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</si>
  <si>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</si>
  <si>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</si>
  <si>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</si>
  <si>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</si>
  <si>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</si>
  <si>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</si>
  <si>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</si>
  <si>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</si>
  <si>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</si>
  <si>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</si>
  <si>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</si>
  <si>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</si>
  <si>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</si>
  <si>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</si>
  <si>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</si>
  <si>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</si>
  <si>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</si>
  <si>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</si>
  <si>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</si>
  <si>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</si>
  <si>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</si>
  <si>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</si>
  <si>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</si>
  <si>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</si>
  <si>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</si>
  <si>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</si>
  <si>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</si>
  <si>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</si>
  <si>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</si>
  <si>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</si>
  <si>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</si>
  <si>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</si>
  <si>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</si>
  <si>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</si>
  <si>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</si>
  <si>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</si>
  <si>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</si>
  <si>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</si>
  <si>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</si>
  <si>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</si>
  <si>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</si>
  <si>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</si>
  <si>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</si>
  <si>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</si>
  <si>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</si>
  <si>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</si>
  <si>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</si>
  <si>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</si>
  <si>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</si>
  <si>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</si>
  <si>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</si>
  <si>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</si>
  <si>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</si>
  <si>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</si>
  <si>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</si>
  <si>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</si>
  <si>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</si>
  <si>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</si>
  <si>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</si>
  <si>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</si>
  <si>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</si>
  <si>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</si>
  <si>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</si>
  <si>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</si>
  <si>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</si>
  <si>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</si>
  <si>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</si>
  <si>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</si>
  <si>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</si>
  <si>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</si>
  <si>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</si>
  <si>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</si>
  <si>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</si>
  <si>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</si>
  <si>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</si>
  <si>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</si>
  <si>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</si>
  <si>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</si>
  <si>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</si>
  <si>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</si>
  <si>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</si>
  <si>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</si>
  <si>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</si>
  <si>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</si>
  <si>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</si>
  <si>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</si>
  <si>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</si>
  <si>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</si>
  <si>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</si>
  <si>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</si>
  <si>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</si>
  <si>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</si>
  <si>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</si>
  <si>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</si>
  <si>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</si>
  <si>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</si>
  <si>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</si>
  <si>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</si>
  <si>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</si>
  <si>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</si>
  <si>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</si>
  <si>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</si>
  <si>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</si>
  <si>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</si>
  <si>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</si>
  <si>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</si>
  <si>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</si>
  <si>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</si>
  <si>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</si>
  <si>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</si>
  <si>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</si>
  <si>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</si>
  <si>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</si>
  <si>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</si>
  <si>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</si>
  <si>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</si>
  <si>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</si>
  <si>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</si>
  <si>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</si>
  <si>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</si>
  <si>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</si>
  <si>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</si>
  <si>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</si>
  <si>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</si>
  <si>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</si>
  <si>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</si>
  <si>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</si>
  <si>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</si>
  <si>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</si>
  <si>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</si>
  <si>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</si>
  <si>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</si>
  <si>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</si>
  <si>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</si>
  <si>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</si>
  <si>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</si>
  <si>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</si>
  <si>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</si>
  <si>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</si>
  <si>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</si>
  <si>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</si>
  <si>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</si>
  <si>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</si>
  <si>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</si>
  <si>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</si>
  <si>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</si>
  <si>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</si>
  <si>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</si>
  <si>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</si>
  <si>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</si>
  <si>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</si>
  <si>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</si>
  <si>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</si>
  <si>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</si>
  <si>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</si>
  <si>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</si>
  <si>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</si>
  <si>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</si>
  <si>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</si>
  <si>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</si>
  <si>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</si>
  <si>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</si>
  <si>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</si>
  <si>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</si>
  <si>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</si>
  <si>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</si>
  <si>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</si>
  <si>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</si>
  <si>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</si>
  <si>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</si>
  <si>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</si>
  <si>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</si>
  <si>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</si>
  <si>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</si>
  <si>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</si>
  <si>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</si>
  <si>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</si>
  <si>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</si>
  <si>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</si>
  <si>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</si>
  <si>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</si>
  <si>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</si>
  <si>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</si>
  <si>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</si>
  <si>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</si>
  <si>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</si>
  <si>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</si>
  <si>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</si>
  <si>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</si>
  <si>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</si>
  <si>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</si>
  <si>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</si>
  <si>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</si>
  <si>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</si>
  <si>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</si>
  <si>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</si>
  <si>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</si>
  <si>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</si>
  <si>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</si>
  <si>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</si>
  <si>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</si>
  <si>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</si>
  <si>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</si>
  <si>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</si>
  <si>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</si>
  <si>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</si>
  <si>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</si>
  <si>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</si>
  <si>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</si>
  <si>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</si>
  <si>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</si>
  <si>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</si>
  <si>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</si>
  <si>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</si>
  <si>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</si>
  <si>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</si>
  <si>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</si>
  <si>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</si>
  <si>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</si>
  <si>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</si>
  <si>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</si>
  <si>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</si>
  <si>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</si>
  <si>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</si>
  <si>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</si>
  <si>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</si>
  <si>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</si>
  <si>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</si>
  <si>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</si>
  <si>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</si>
  <si>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</si>
  <si>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</si>
  <si>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</si>
  <si>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</si>
  <si>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</si>
  <si>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</si>
  <si>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</si>
  <si>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</si>
  <si>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</si>
  <si>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</si>
  <si>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</si>
  <si>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</si>
  <si>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</si>
  <si>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</si>
  <si>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</si>
  <si>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</si>
  <si>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</si>
  <si>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</si>
  <si>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</si>
  <si>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</si>
  <si>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</si>
  <si>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</si>
  <si>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</si>
  <si>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</si>
  <si>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</si>
  <si>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</si>
  <si>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</si>
  <si>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</si>
  <si>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</si>
  <si>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</si>
  <si>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</si>
  <si>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</si>
  <si>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</si>
  <si>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</si>
  <si>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</si>
  <si>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</si>
  <si>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</si>
  <si>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</si>
  <si>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</si>
  <si>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</si>
  <si>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</si>
  <si>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</si>
  <si>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</si>
  <si>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</si>
  <si>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</si>
  <si>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</si>
  <si>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</si>
  <si>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</si>
  <si>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</si>
  <si>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</si>
  <si>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</si>
  <si>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</si>
  <si>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</si>
  <si>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</si>
  <si>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</si>
  <si>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</si>
  <si>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</si>
  <si>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</si>
  <si>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</si>
  <si>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</si>
  <si>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</si>
  <si>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</si>
  <si>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</si>
  <si>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</si>
  <si>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</si>
  <si>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</si>
  <si>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</si>
  <si>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</si>
  <si>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</si>
  <si>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</si>
  <si>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</si>
  <si>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</si>
  <si>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</si>
  <si>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</si>
  <si>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</si>
  <si>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</si>
  <si>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</si>
  <si>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</si>
  <si>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</si>
  <si>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</si>
  <si>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</si>
  <si>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</si>
  <si>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</si>
  <si>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</si>
  <si>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</si>
  <si>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</si>
  <si>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</si>
  <si>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</si>
  <si>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</si>
  <si>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</si>
  <si>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</si>
  <si>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</si>
  <si>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</si>
  <si>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</si>
  <si>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</si>
  <si>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</si>
  <si>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</si>
  <si>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</si>
  <si>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</si>
  <si>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</si>
  <si>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</si>
  <si>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</si>
  <si>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</si>
  <si>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</si>
  <si>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</si>
  <si>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</si>
  <si>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</si>
  <si>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</si>
  <si>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</si>
  <si>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</si>
  <si>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</si>
  <si>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</si>
  <si>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</si>
  <si>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</si>
  <si>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</si>
  <si>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</si>
  <si>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</si>
  <si>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</si>
  <si>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</si>
  <si>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</si>
  <si>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</si>
  <si>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</si>
  <si>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DENNIS ROSE</t>
  </si>
  <si>
    <t>DENNIS ROSE &amp; ASSOCIATES, P.C.</t>
  </si>
  <si>
    <t xml:space="preserve">1904 STATE STREET </t>
  </si>
  <si>
    <t>ALTON</t>
  </si>
  <si>
    <t>IL</t>
  </si>
  <si>
    <t>618-465-4999</t>
  </si>
  <si>
    <t>618-465-5050</t>
  </si>
  <si>
    <t>066-005060</t>
  </si>
  <si>
    <t>DROSECPA@DRA-CPA.COM</t>
  </si>
  <si>
    <t>MADISON</t>
  </si>
  <si>
    <t>401 CHAFFER AVENUE</t>
  </si>
  <si>
    <t>ROXANA</t>
  </si>
  <si>
    <t>DKREUTZ@ROXANASCHOOLS.ORG</t>
  </si>
  <si>
    <t>ILLINOIS ENERGY CONSORTIUM</t>
  </si>
  <si>
    <t>MISSVIC</t>
  </si>
  <si>
    <t>ISDLAF</t>
  </si>
  <si>
    <t>CENTRAL IL SCHOOL FOOD</t>
  </si>
  <si>
    <t>00-0000-000</t>
  </si>
  <si>
    <t>NONE</t>
  </si>
  <si>
    <t>U.S. DEPARTMENT OF EDUCATION:</t>
  </si>
  <si>
    <t>PASS THROUGH FROM THE ILLINOIS STATE BOARD OF EDUCATION:</t>
  </si>
  <si>
    <t>TITLE I - LOW INCOME</t>
  </si>
  <si>
    <t>84.010A</t>
  </si>
  <si>
    <t>2017-4300-00</t>
  </si>
  <si>
    <t>2018-4300-00</t>
  </si>
  <si>
    <t>TITLE II - TEACHER QUALITY</t>
  </si>
  <si>
    <t>84.367A</t>
  </si>
  <si>
    <t>2017-4932-00</t>
  </si>
  <si>
    <t>2018-4932-00</t>
  </si>
  <si>
    <t>IDEA PART B FLOW THROUGH</t>
  </si>
  <si>
    <t>2017-4620-00</t>
  </si>
  <si>
    <t>2018-4620-00</t>
  </si>
  <si>
    <t>IDEA PART B PRESCHOOL</t>
  </si>
  <si>
    <t>2017-4600-00</t>
  </si>
  <si>
    <t>2018-4600-00</t>
  </si>
  <si>
    <t>PASS THROUGH MADISON COUNTY CAREER AND TECHNICAL EDUCATION SYSTEM:</t>
  </si>
  <si>
    <t>CTE PERKINS TITLE IIE - TECH PREP</t>
  </si>
  <si>
    <t>84.048A</t>
  </si>
  <si>
    <t>2017-4770-00</t>
  </si>
  <si>
    <t>2018-4770-00</t>
  </si>
  <si>
    <t>TOTAL U.S. DEPARTMENT OF EDUCATION</t>
  </si>
  <si>
    <t>U.S. DEPARTMENT OF AGRICULTURE:</t>
  </si>
  <si>
    <t>NATIONAL SCHOOL LUNCH PROGRAM   (M)</t>
  </si>
  <si>
    <t>2017-4210-00</t>
  </si>
  <si>
    <t>2018-4210-00</t>
  </si>
  <si>
    <t>SCHOOL BREAKFAST PROGRAM                  (M)</t>
  </si>
  <si>
    <t>2017-4220-00</t>
  </si>
  <si>
    <t>2018-4220-00</t>
  </si>
  <si>
    <t>COMMODITIES (NON CASH ASSISTANCE)  (M)</t>
  </si>
  <si>
    <t>2018-4299-00</t>
  </si>
  <si>
    <t>TOTAL U.S. DEPARTMENT OF AGRICULTURE</t>
  </si>
  <si>
    <t>U.S. DEPARMTENT OF DEFENSE:</t>
  </si>
  <si>
    <t>U.S. DEPARTMENT OF HEALTH &amp; HUMAN SERVICES:</t>
  </si>
  <si>
    <t>PASS THROUGH STATE OF ILLINOIS: ILLINOIS DEPARTMENT OF HEALTHCARE &amp; FAMILY SERVICES:</t>
  </si>
  <si>
    <t>MEDICAID MATCHING</t>
  </si>
  <si>
    <t>TOTAL FEDERAL PROGRAMS</t>
  </si>
  <si>
    <t xml:space="preserve">   TOTAL ILLINOIS STATE BOARD OF EDUCATION</t>
  </si>
  <si>
    <t xml:space="preserve">   TOTAL MADISON COUNTY CAREER AND TECHNICAL EDUCATION SYSTEM</t>
  </si>
  <si>
    <t>COMMODITIES</t>
  </si>
  <si>
    <t>84.424A</t>
  </si>
  <si>
    <t>2018-4400-00</t>
  </si>
  <si>
    <t>TITLE IVA - STUDENT SUPPORT &amp; ACADEMIC ENRICHMENT</t>
  </si>
  <si>
    <t>SERIES 2003B QZAB</t>
  </si>
  <si>
    <t>QZAB</t>
  </si>
  <si>
    <t>LEASE PURCHASE</t>
  </si>
  <si>
    <t>2011 SERIES GO BONDS</t>
  </si>
  <si>
    <t>1,3</t>
  </si>
  <si>
    <t>2014A SERIES GO BONDS</t>
  </si>
  <si>
    <t>1,2</t>
  </si>
  <si>
    <t>2014B SERIES GO BONDS</t>
  </si>
  <si>
    <t>2015 SERIES GO REFUNDING BONDS</t>
  </si>
  <si>
    <t>$450,000 LEASE PURCHASE AGREEMENT</t>
  </si>
  <si>
    <t>2017 SERIES GO REFUNDING BONDS</t>
  </si>
  <si>
    <t>2018 SERIES GO REFUNDING BONDS</t>
  </si>
  <si>
    <t>PRIOR-ALTON, E ALTON, WOODRIVER/HARTFORD, GRANITE CITY</t>
  </si>
  <si>
    <t>ADVERSE</t>
  </si>
  <si>
    <t>10.553  10.555</t>
  </si>
  <si>
    <t>CHILD NUTRITION</t>
  </si>
  <si>
    <t>COMMODITIES (NON-CASH ASSISTANCE)</t>
  </si>
  <si>
    <r>
      <t>The accompanying Schedule of Expenditures of Federal Awards includes the federal grant activity of Roxana Community Unit School District No. 1 and is presented on the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</si>
  <si>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Roxana CUSD No. 1</t>
    </r>
    <r>
      <rPr>
        <sz val="9"/>
        <rFont val="Calibri"/>
        <family val="2"/>
        <scheme val="minor"/>
      </rPr>
      <t xml:space="preserve"> provided federal awards to subrecipients as follows:</t>
    </r>
  </si>
  <si>
    <r>
      <t xml:space="preserve">The following amounts were expended in the form of non-cash assistance by Roxana Community Unit School District No. 1 and </t>
    </r>
    <r>
      <rPr>
        <b/>
        <sz val="9"/>
        <rFont val="Calibri"/>
        <family val="2"/>
        <scheme val="minor"/>
      </rPr>
      <t>should be</t>
    </r>
    <r>
      <rPr>
        <sz val="9"/>
        <rFont val="Calibri"/>
        <family val="2"/>
        <scheme val="minor"/>
      </rPr>
      <t xml:space="preserve"> included in the Schedule of Expenditures of Federal Awards:</t>
    </r>
  </si>
  <si>
    <t>R9-14 ED FUND A/C 1690 OTHER FOOD SERVICE - OTHER $15,259</t>
  </si>
  <si>
    <t>R9-14 ED FUND A/C 1790 OTHER SCHOOL FEES - OTHER $17,775</t>
  </si>
  <si>
    <t>R9-14 ED FUND A/C 1829 OTHER SALES - OTHER $20</t>
  </si>
  <si>
    <t>R9-14 ED FUND A/C 1999 OTHER LOCAL REVENUE - OTHER $27,379</t>
  </si>
  <si>
    <t>R9-14 O&amp;M FUND A/C 1999 OTHER LOCAL REVENUE - OTHER $9,519</t>
  </si>
  <si>
    <t>R9-14 DEBT SERVICE FUND A/C 1999 OTHER LOCAL REVENUE - OTHER $53</t>
  </si>
  <si>
    <t>R9-14 TRANS FUND A/C 1999 OTHER LOCAL REVENUE - OTHER $18,752</t>
  </si>
  <si>
    <t>R9-14 IMRF FUND A/C 1999 OTHER LOCAL REVENUE - OTHER $3,292</t>
  </si>
  <si>
    <t>R9-14 ED FUND A/C 3999 OTHER STATE REVENUE - OTHER $20,519</t>
  </si>
  <si>
    <t>R9-14 ED FUND A/C 4299 NON-CASH COMMODITIES $98,607</t>
  </si>
  <si>
    <t>E15-22 ED FUND A/C 2190 OTHER SUPPORT SERVICES-OTHER $114,335</t>
  </si>
  <si>
    <t>E15-22 DEBT SERV FUND A/C 5400 OTHER $16,301</t>
  </si>
  <si>
    <t>E15-22 IMRF A/C 2900 OTHER SUPPORT SERVICES $12,137</t>
  </si>
  <si>
    <t>E15-22 IMRF A/C 2190 OTHER SUPPORT SERVICES $2,558</t>
  </si>
  <si>
    <t>INFORMATIONAL ONLY TOTALS FOR PROGRAMS:</t>
  </si>
  <si>
    <t>CFDA 84.010A</t>
  </si>
  <si>
    <t>CFDA 84.367A</t>
  </si>
  <si>
    <t>CFDA 84.027</t>
  </si>
  <si>
    <t>CFDA 84.173</t>
  </si>
  <si>
    <t>CFDA 84.048A</t>
  </si>
  <si>
    <t>CFDA 10.555</t>
  </si>
  <si>
    <t>CFDA 10.553</t>
  </si>
  <si>
    <t>CFDA 93.778</t>
  </si>
  <si>
    <t>CFDA 84.424A</t>
  </si>
  <si>
    <t>CLUSTER PROGRAMS:</t>
  </si>
  <si>
    <t>10.553, 10.555</t>
  </si>
  <si>
    <t>UNMODIFIED</t>
  </si>
  <si>
    <t>PASS THROUGH ILLINOIS STATE BOARD OF EDUCATION:</t>
  </si>
  <si>
    <t>Roxana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</si>
</sst>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4">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439A196D-2E0E-4AA9-A263-A43F0E1696C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sec1.isbe.net/attachmgr/default.aspx"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sbe.net/Pages/ebfdistribution.aspx" TargetMode="Externa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printerSettings" Target="../printerSettings/printerSettings4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Pages/Single-Audit.aspx" TargetMode="Externa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printerSettings" Target="../printerSettings/printerSettings6.bin"/><Relationship Id="rId5" Type="http://schemas.openxmlformats.org/officeDocument/2006/relationships/hyperlink" Target="https://sec1.isbe.net/attachmgr/default.aspx" TargetMode="External"/><Relationship Id="rId4" Type="http://schemas.openxmlformats.org/officeDocument/2006/relationships/hyperlink" Target="http://www.isbe.net/rules/archive/pdfs/100ARK.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image" Target="../media/image1.emf"/><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oleObject" Target="../embeddings/oleObject1.bin"/><Relationship Id="rId5" Type="http://schemas.openxmlformats.org/officeDocument/2006/relationships/vmlDrawing" Target="../drawings/vmlDrawing5.vml"/><Relationship Id="rId4"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hyperlink" Target="https://harvester.census.gov/facweb/Default.aspx" TargetMode="External"/><Relationship Id="rId7"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www.isbe.net/Pages/School-Nutrition-Programs-Food-Distribution.aspx" TargetMode="External"/><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drawing" Target="../drawings/drawing6.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drawing" Target="../drawings/drawing7.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hyperlink" Target="http://www.isbe.net/sfms/p/profile.htm" TargetMode="Externa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printerSettings" Target="../printerSettings/printerSettings15.bin"/><Relationship Id="rId4"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3" t="s">
        <v>424</v>
      </c>
      <c r="J1" s="2034"/>
      <c r="K1" s="2034"/>
      <c r="L1" s="2034"/>
      <c r="M1" s="2034"/>
      <c r="N1" s="2034"/>
      <c r="O1" s="2034"/>
      <c r="P1" s="2034"/>
      <c r="Q1" s="2034"/>
      <c r="R1" s="2034"/>
      <c r="S1" s="2034"/>
    </row>
    <row r="2" spans="1:28" ht="12" customHeight="1" x14ac:dyDescent="0.2">
      <c r="A2" s="47" t="s">
        <v>1683</v>
      </c>
      <c r="D2" s="48"/>
      <c r="I2" s="2035" t="s">
        <v>1035</v>
      </c>
      <c r="J2" s="2034"/>
      <c r="K2" s="2034"/>
      <c r="L2" s="2034"/>
      <c r="M2" s="2034"/>
      <c r="N2" s="2034"/>
      <c r="O2" s="2034"/>
      <c r="P2" s="2034"/>
      <c r="Q2" s="2034"/>
      <c r="R2" s="2034"/>
      <c r="S2" s="2034"/>
    </row>
    <row r="3" spans="1:28" ht="12" customHeight="1" x14ac:dyDescent="0.2">
      <c r="A3" s="155" t="s">
        <v>1684</v>
      </c>
      <c r="B3" s="156"/>
      <c r="C3" s="156"/>
      <c r="D3" s="157"/>
      <c r="I3" s="2035" t="s">
        <v>54</v>
      </c>
      <c r="J3" s="2034"/>
      <c r="K3" s="2034"/>
      <c r="L3" s="2034"/>
      <c r="M3" s="2034"/>
      <c r="N3" s="2034"/>
      <c r="O3" s="2034"/>
      <c r="P3" s="2034"/>
      <c r="Q3" s="2034"/>
      <c r="R3" s="2034"/>
      <c r="S3" s="2034"/>
    </row>
    <row r="4" spans="1:28" ht="12" customHeight="1" x14ac:dyDescent="0.2">
      <c r="A4" s="37"/>
      <c r="I4" s="2035" t="s">
        <v>544</v>
      </c>
      <c r="J4" s="2034"/>
      <c r="K4" s="2034"/>
      <c r="L4" s="2034"/>
      <c r="M4" s="2034"/>
      <c r="N4" s="2034"/>
      <c r="O4" s="2034"/>
      <c r="P4" s="2034"/>
      <c r="Q4" s="2034"/>
      <c r="R4" s="2034"/>
      <c r="S4" s="2034"/>
    </row>
    <row r="5" spans="1:28" ht="14.1" customHeight="1" x14ac:dyDescent="0.2">
      <c r="B5" s="104" t="s">
        <v>2073</v>
      </c>
      <c r="C5" s="26" t="s">
        <v>965</v>
      </c>
      <c r="D5" s="84"/>
      <c r="E5" s="84"/>
      <c r="H5" s="38"/>
      <c r="I5" s="2042" t="s">
        <v>700</v>
      </c>
      <c r="J5" s="1987"/>
      <c r="K5" s="1987"/>
      <c r="L5" s="1987"/>
      <c r="M5" s="1987"/>
      <c r="N5" s="1987"/>
      <c r="O5" s="1987"/>
      <c r="P5" s="1987"/>
      <c r="Q5" s="1987"/>
      <c r="R5" s="1987"/>
      <c r="S5" s="1987"/>
    </row>
    <row r="6" spans="1:28" ht="14.1" customHeight="1" x14ac:dyDescent="0.2">
      <c r="B6" s="104"/>
      <c r="C6" s="26" t="s">
        <v>966</v>
      </c>
      <c r="D6" s="84"/>
      <c r="E6" s="84"/>
      <c r="I6" s="2041" t="s">
        <v>937</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694</v>
      </c>
      <c r="J9" s="2039"/>
      <c r="K9" s="2039"/>
      <c r="L9" s="2039"/>
      <c r="M9" s="2039"/>
      <c r="N9" s="2039"/>
      <c r="O9" s="2039"/>
      <c r="P9" s="2039"/>
      <c r="Q9" s="2039"/>
      <c r="R9" s="2039"/>
      <c r="S9" s="2040"/>
      <c r="T9" s="1983" t="s">
        <v>553</v>
      </c>
      <c r="U9" s="1984"/>
      <c r="V9" s="1984"/>
      <c r="W9" s="1984"/>
      <c r="X9" s="1984"/>
      <c r="Y9" s="1984"/>
      <c r="Z9" s="1984"/>
      <c r="AA9" s="1985"/>
    </row>
    <row r="10" spans="1:28" ht="13.5" customHeight="1" x14ac:dyDescent="0.2">
      <c r="A10" s="1992" t="s">
        <v>695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1011</v>
      </c>
      <c r="B11" s="1996"/>
      <c r="C11" s="1996"/>
      <c r="D11" s="1996"/>
      <c r="E11" s="1996"/>
      <c r="F11" s="1996"/>
      <c r="G11" s="1996"/>
      <c r="H11" s="1997"/>
      <c r="I11" s="27"/>
      <c r="J11" s="74"/>
      <c r="K11" s="27"/>
      <c r="O11" s="148" t="s">
        <v>2073</v>
      </c>
      <c r="P11" s="100" t="s">
        <v>210</v>
      </c>
      <c r="Q11" s="30"/>
      <c r="R11" s="28"/>
      <c r="S11" s="27"/>
      <c r="T11" s="1989"/>
      <c r="U11" s="1990"/>
      <c r="V11" s="1990"/>
      <c r="W11" s="1990"/>
      <c r="X11" s="1990"/>
      <c r="Y11" s="1990"/>
      <c r="Z11" s="1990"/>
      <c r="AA11" s="1991"/>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3">
        <v>41057001026</v>
      </c>
      <c r="B13" s="2004"/>
      <c r="C13" s="2004"/>
      <c r="D13" s="2004"/>
      <c r="E13" s="2004"/>
      <c r="F13" s="2004"/>
      <c r="G13" s="2004"/>
      <c r="H13" s="2005"/>
      <c r="I13" s="31"/>
      <c r="J13" s="30"/>
      <c r="K13" s="28"/>
      <c r="L13" s="30"/>
      <c r="M13" s="30"/>
      <c r="N13" s="30"/>
      <c r="O13" s="30"/>
      <c r="P13" s="30"/>
      <c r="Q13" s="30"/>
      <c r="R13" s="30"/>
      <c r="S13" s="30"/>
      <c r="T13" s="2008" t="s">
        <v>2075</v>
      </c>
      <c r="U13" s="2009"/>
      <c r="V13" s="2009"/>
      <c r="W13" s="2009"/>
      <c r="X13" s="2009"/>
      <c r="Y13" s="2010"/>
      <c r="Z13" s="2010"/>
      <c r="AA13" s="2011"/>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1" t="s">
        <v>2083</v>
      </c>
      <c r="B15" s="2006"/>
      <c r="C15" s="2006"/>
      <c r="D15" s="2006"/>
      <c r="E15" s="2006"/>
      <c r="F15" s="2006"/>
      <c r="G15" s="2006"/>
      <c r="H15" s="2007"/>
      <c r="T15" s="1969" t="s">
        <v>2074</v>
      </c>
      <c r="U15" s="1970"/>
      <c r="V15" s="1970"/>
      <c r="W15" s="1970"/>
      <c r="X15" s="1970"/>
      <c r="Y15" s="2012"/>
      <c r="Z15" s="2012"/>
      <c r="AA15" s="2013"/>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1" t="s">
        <v>2184</v>
      </c>
      <c r="B17" s="2031"/>
      <c r="C17" s="2031"/>
      <c r="D17" s="2031"/>
      <c r="E17" s="2031"/>
      <c r="F17" s="2031"/>
      <c r="G17" s="2031"/>
      <c r="H17" s="2032"/>
      <c r="T17" s="2018" t="s">
        <v>2076</v>
      </c>
      <c r="U17" s="2019"/>
      <c r="V17" s="2019"/>
      <c r="W17" s="2019"/>
      <c r="X17" s="2019"/>
      <c r="Y17" s="2019"/>
      <c r="Z17" s="2019"/>
      <c r="AA17" s="2020"/>
    </row>
    <row r="18" spans="1:27" ht="13.5" customHeight="1" x14ac:dyDescent="0.2">
      <c r="A18" s="85" t="s">
        <v>550</v>
      </c>
      <c r="B18" s="76"/>
      <c r="C18" s="72"/>
      <c r="D18" s="76"/>
      <c r="E18" s="76"/>
      <c r="F18" s="76"/>
      <c r="G18" s="76"/>
      <c r="H18" s="56"/>
      <c r="I18" s="2028" t="s">
        <v>696</v>
      </c>
      <c r="J18" s="2029"/>
      <c r="K18" s="2029"/>
      <c r="L18" s="2029"/>
      <c r="M18" s="2029"/>
      <c r="N18" s="2029"/>
      <c r="O18" s="2029"/>
      <c r="P18" s="2029"/>
      <c r="Q18" s="2029"/>
      <c r="R18" s="2029"/>
      <c r="S18" s="2030"/>
      <c r="T18" s="85" t="s">
        <v>734</v>
      </c>
      <c r="U18" s="51"/>
      <c r="V18" s="72"/>
      <c r="W18" s="50"/>
      <c r="X18" s="85" t="s">
        <v>283</v>
      </c>
      <c r="Y18" s="81"/>
      <c r="Z18" s="159" t="s">
        <v>697</v>
      </c>
      <c r="AA18" s="46"/>
    </row>
    <row r="19" spans="1:27" ht="13.5" customHeight="1" x14ac:dyDescent="0.2">
      <c r="A19" s="2001" t="s">
        <v>2084</v>
      </c>
      <c r="B19" s="2002"/>
      <c r="C19" s="2002"/>
      <c r="D19" s="2002"/>
      <c r="E19" s="2002"/>
      <c r="F19" s="2002"/>
      <c r="G19" s="2002"/>
      <c r="H19" s="2000"/>
      <c r="I19" s="30"/>
      <c r="J19" s="99"/>
      <c r="K19" s="40"/>
      <c r="L19" s="38"/>
      <c r="M19" s="112" t="s">
        <v>332</v>
      </c>
      <c r="P19" s="27"/>
      <c r="Q19" s="27"/>
      <c r="R19" s="27"/>
      <c r="S19" s="31"/>
      <c r="T19" s="2001" t="s">
        <v>2077</v>
      </c>
      <c r="U19" s="1999"/>
      <c r="V19" s="1999"/>
      <c r="W19" s="2000"/>
      <c r="X19" s="2016" t="s">
        <v>2078</v>
      </c>
      <c r="Y19" s="2017"/>
      <c r="Z19" s="2014">
        <v>62002</v>
      </c>
      <c r="AA19" s="2015"/>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98" t="s">
        <v>2085</v>
      </c>
      <c r="B21" s="1999"/>
      <c r="C21" s="1999"/>
      <c r="D21" s="1999"/>
      <c r="E21" s="1999"/>
      <c r="F21" s="1999"/>
      <c r="G21" s="1999"/>
      <c r="H21" s="2000"/>
      <c r="I21" s="2024" t="s">
        <v>698</v>
      </c>
      <c r="J21" s="1987"/>
      <c r="K21" s="1987"/>
      <c r="L21" s="1987"/>
      <c r="M21" s="1987"/>
      <c r="N21" s="1987"/>
      <c r="O21" s="1987"/>
      <c r="P21" s="1987"/>
      <c r="Q21" s="1987"/>
      <c r="R21" s="1987"/>
      <c r="S21" s="1988"/>
      <c r="T21" s="1966" t="s">
        <v>2079</v>
      </c>
      <c r="U21" s="1967"/>
      <c r="V21" s="1967"/>
      <c r="W21" s="1967"/>
      <c r="X21" s="1980" t="s">
        <v>2080</v>
      </c>
      <c r="Y21" s="1981"/>
      <c r="Z21" s="1981"/>
      <c r="AA21" s="1982"/>
    </row>
    <row r="22" spans="1:27" ht="13.5" customHeight="1" x14ac:dyDescent="0.2">
      <c r="A22" s="87" t="s">
        <v>551</v>
      </c>
      <c r="B22" s="59"/>
      <c r="C22" s="59"/>
      <c r="D22" s="59"/>
      <c r="E22" s="59"/>
      <c r="F22" s="59"/>
      <c r="G22" s="59"/>
      <c r="H22" s="60"/>
      <c r="I22" s="2025" t="s">
        <v>1503</v>
      </c>
      <c r="J22" s="2026"/>
      <c r="K22" s="2026"/>
      <c r="L22" s="2026"/>
      <c r="M22" s="2026"/>
      <c r="N22" s="2026"/>
      <c r="O22" s="2026"/>
      <c r="P22" s="2026"/>
      <c r="Q22" s="2026"/>
      <c r="R22" s="2026"/>
      <c r="S22" s="2027"/>
      <c r="T22" s="85" t="s">
        <v>1595</v>
      </c>
      <c r="U22" s="51"/>
      <c r="V22" s="72"/>
      <c r="W22" s="51"/>
      <c r="X22" s="160" t="s">
        <v>1384</v>
      </c>
      <c r="Z22" s="45"/>
      <c r="AA22" s="46"/>
    </row>
    <row r="23" spans="1:27" ht="13.5" customHeight="1" x14ac:dyDescent="0.2">
      <c r="A23" s="2021" t="s">
        <v>2086</v>
      </c>
      <c r="B23" s="2022"/>
      <c r="C23" s="2022"/>
      <c r="D23" s="2022"/>
      <c r="E23" s="2022"/>
      <c r="F23" s="2022"/>
      <c r="G23" s="2022"/>
      <c r="H23" s="2023"/>
      <c r="T23" s="1961" t="s">
        <v>2081</v>
      </c>
      <c r="U23" s="1962"/>
      <c r="V23" s="1962"/>
      <c r="W23" s="1962"/>
      <c r="X23" s="1977">
        <v>43434</v>
      </c>
      <c r="Y23" s="1978"/>
      <c r="Z23" s="1978"/>
      <c r="AA23" s="1979"/>
    </row>
    <row r="24" spans="1:27" ht="14.1" customHeight="1" x14ac:dyDescent="0.2">
      <c r="A24" s="88" t="s">
        <v>697</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551</v>
      </c>
      <c r="U24" s="106"/>
      <c r="V24" s="106"/>
      <c r="W24" s="106"/>
      <c r="X24" s="107"/>
      <c r="Y24" s="107"/>
      <c r="Z24" s="107"/>
      <c r="AA24" s="108"/>
    </row>
    <row r="25" spans="1:27" ht="14.1" customHeight="1" x14ac:dyDescent="0.2">
      <c r="A25" s="1998">
        <v>62084</v>
      </c>
      <c r="B25" s="1999"/>
      <c r="C25" s="1999"/>
      <c r="D25" s="1999"/>
      <c r="E25" s="1999"/>
      <c r="F25" s="1999"/>
      <c r="G25" s="1999"/>
      <c r="H25" s="2000"/>
      <c r="I25" s="113"/>
      <c r="J25" s="2065"/>
      <c r="K25" s="2065"/>
      <c r="L25" s="2065"/>
      <c r="M25" s="2065"/>
      <c r="N25" s="2065"/>
      <c r="O25" s="2065"/>
      <c r="P25" s="2065"/>
      <c r="Q25" s="2065"/>
      <c r="R25" s="2065"/>
      <c r="S25" s="2066"/>
      <c r="T25" s="1958" t="s">
        <v>2082</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6" t="s">
        <v>1590</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1"/>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551</v>
      </c>
      <c r="B39" s="2055"/>
      <c r="C39" s="72"/>
      <c r="D39" s="69"/>
      <c r="E39" s="69"/>
      <c r="F39" s="79"/>
      <c r="G39" s="69"/>
      <c r="H39" s="56"/>
      <c r="I39" s="2054" t="s">
        <v>551</v>
      </c>
      <c r="J39" s="2055"/>
      <c r="K39" s="2055"/>
      <c r="L39" s="2055"/>
      <c r="M39" s="2055"/>
      <c r="N39" s="67"/>
      <c r="O39" s="72"/>
      <c r="P39" s="72"/>
      <c r="Q39" s="78"/>
      <c r="R39" s="72"/>
      <c r="S39" s="56"/>
      <c r="T39" s="72" t="s">
        <v>551</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7"/>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41DB9079-7F95-4228-8A4A-E6D48377DB38}" scale="110" showGridLines="0" topLeftCell="A7">
      <selection activeCell="L31" sqref="L31"/>
      <pageMargins left="0.75" right="0.75" top="1" bottom="0.5" header="0.5" footer="0.5"/>
      <printOptions horizontalCentered="1"/>
      <pageSetup scale="67" orientation="landscape" r:id="rId1"/>
      <headerFooter>
        <oddFooter>&amp;C&amp;"Times New Roman,Regular"
&amp;P</oddFooter>
      </headerFooter>
    </customSheetView>
    <customSheetView guid="{D71D2A76-4AD5-4124-819F-51F94C4C53C9}" scale="110" showGridLines="0" topLeftCell="A7">
      <selection activeCell="L31" sqref="L31"/>
      <pageMargins left="0.75" right="0.75" top="1" bottom="0.5" header="0.5" footer="0.5"/>
      <printOptions horizontalCentered="1"/>
      <pageSetup scale="67" orientation="landscape" r:id="rId2"/>
      <headerFooter>
        <oddFooter>&amp;C&amp;"Times New Roman,Regular"
&amp;P</oddFooter>
      </headerFooter>
    </customSheetView>
  </customSheetViews>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3" display="www.isbe.net/sfms/afr/afr.htm"/>
    <hyperlink ref="I22:S22" r:id="rId4" display="   Send ISBE a File"/>
  </hyperlinks>
  <printOptions horizontalCentered="1"/>
  <pageMargins left="0.75" right="0.75" top="1" bottom="0.5" header="0.5" footer="0.5"/>
  <pageSetup scale="67" orientation="landscape" r:id="rId5"/>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view="pageBreakPreview" colorId="8" zoomScale="130" zoomScaleNormal="110" zoomScaleSheetLayoutView="130" workbookViewId="0">
      <selection activeCell="C17" sqref="C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1901</v>
      </c>
      <c r="B2" s="1550" t="s">
        <v>2033</v>
      </c>
      <c r="C2" s="715" t="s">
        <v>1906</v>
      </c>
      <c r="D2" s="715" t="s">
        <v>1907</v>
      </c>
      <c r="E2" s="715" t="s">
        <v>1908</v>
      </c>
      <c r="F2" s="715" t="s">
        <v>1909</v>
      </c>
    </row>
    <row r="3" spans="1:6" ht="12" customHeight="1" x14ac:dyDescent="0.2">
      <c r="A3" s="2201"/>
      <c r="B3" s="1547"/>
      <c r="C3" s="1548"/>
      <c r="D3" s="1549" t="s">
        <v>274</v>
      </c>
      <c r="E3" s="1548"/>
      <c r="F3" s="1549" t="s">
        <v>275</v>
      </c>
    </row>
    <row r="4" spans="1:6" ht="13.7" customHeight="1" x14ac:dyDescent="0.2">
      <c r="A4" s="716" t="s">
        <v>1216</v>
      </c>
      <c r="B4" s="1771">
        <f>'Revenues 9-14'!C5</f>
        <v>11303401</v>
      </c>
      <c r="C4" s="1546">
        <v>125318</v>
      </c>
      <c r="D4" s="1774">
        <f>B4-C4</f>
        <v>11178083</v>
      </c>
      <c r="E4" s="1546">
        <v>11658500</v>
      </c>
      <c r="F4" s="1774">
        <f>E4-C4</f>
        <v>11533182</v>
      </c>
    </row>
    <row r="5" spans="1:6" ht="13.7" customHeight="1" x14ac:dyDescent="0.2">
      <c r="A5" s="716" t="s">
        <v>924</v>
      </c>
      <c r="B5" s="1772">
        <f>'Revenues 9-14'!D5</f>
        <v>2652831</v>
      </c>
      <c r="C5" s="585">
        <v>29411</v>
      </c>
      <c r="D5" s="1775">
        <f t="shared" ref="D5:D18" si="0">B5-C5</f>
        <v>2623420</v>
      </c>
      <c r="E5" s="585">
        <v>2736179</v>
      </c>
      <c r="F5" s="1775">
        <f>E5-C5</f>
        <v>2706768</v>
      </c>
    </row>
    <row r="6" spans="1:6" ht="13.7" customHeight="1" x14ac:dyDescent="0.2">
      <c r="A6" s="716" t="s">
        <v>430</v>
      </c>
      <c r="B6" s="1772">
        <f>'Revenues 9-14'!E5</f>
        <v>2005315</v>
      </c>
      <c r="C6" s="585">
        <v>22010</v>
      </c>
      <c r="D6" s="1775">
        <f t="shared" si="0"/>
        <v>1983305</v>
      </c>
      <c r="E6" s="585">
        <v>2047613</v>
      </c>
      <c r="F6" s="1775">
        <f t="shared" ref="F6:F18" si="1">E6-C6</f>
        <v>2025603</v>
      </c>
    </row>
    <row r="7" spans="1:6" ht="13.7" customHeight="1" x14ac:dyDescent="0.2">
      <c r="A7" s="716" t="s">
        <v>157</v>
      </c>
      <c r="B7" s="1772">
        <f>'Revenues 9-14'!F5</f>
        <v>922720</v>
      </c>
      <c r="C7" s="585">
        <v>10230</v>
      </c>
      <c r="D7" s="1775">
        <f t="shared" si="0"/>
        <v>912490</v>
      </c>
      <c r="E7" s="585">
        <v>951714</v>
      </c>
      <c r="F7" s="1775">
        <f t="shared" si="1"/>
        <v>941484</v>
      </c>
    </row>
    <row r="8" spans="1:6" ht="13.7" customHeight="1" x14ac:dyDescent="0.2">
      <c r="A8" s="716" t="s">
        <v>1240</v>
      </c>
      <c r="B8" s="1772">
        <f>'Revenues 9-14'!G5</f>
        <v>470152</v>
      </c>
      <c r="C8" s="585">
        <v>5698</v>
      </c>
      <c r="D8" s="1775">
        <f t="shared" si="0"/>
        <v>464454</v>
      </c>
      <c r="E8" s="585">
        <v>530105</v>
      </c>
      <c r="F8" s="1775">
        <f t="shared" si="1"/>
        <v>524407</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0</v>
      </c>
      <c r="C10" s="585"/>
      <c r="D10" s="1775">
        <f t="shared" si="0"/>
        <v>0</v>
      </c>
      <c r="E10" s="585"/>
      <c r="F10" s="1775">
        <f t="shared" si="1"/>
        <v>0</v>
      </c>
    </row>
    <row r="11" spans="1:6" x14ac:dyDescent="0.2">
      <c r="A11" s="716" t="s">
        <v>428</v>
      </c>
      <c r="B11" s="1772">
        <f>'Revenues 9-14'!J5</f>
        <v>610903</v>
      </c>
      <c r="C11" s="585">
        <v>5913</v>
      </c>
      <c r="D11" s="1775">
        <f t="shared" si="0"/>
        <v>604990</v>
      </c>
      <c r="E11" s="585">
        <v>550091</v>
      </c>
      <c r="F11" s="1775">
        <f t="shared" si="1"/>
        <v>544178</v>
      </c>
    </row>
    <row r="12" spans="1:6" ht="13.7" customHeight="1" x14ac:dyDescent="0.2">
      <c r="A12" s="716" t="s">
        <v>159</v>
      </c>
      <c r="B12" s="1772">
        <f>'Revenues 9-14'!K5</f>
        <v>230680</v>
      </c>
      <c r="C12" s="585">
        <v>2557</v>
      </c>
      <c r="D12" s="1775">
        <f t="shared" si="0"/>
        <v>228123</v>
      </c>
      <c r="E12" s="585">
        <v>237929</v>
      </c>
      <c r="F12" s="1775">
        <f t="shared" si="1"/>
        <v>235372</v>
      </c>
    </row>
    <row r="13" spans="1:6" ht="13.7" customHeight="1" x14ac:dyDescent="0.2">
      <c r="A13" s="716" t="s">
        <v>992</v>
      </c>
      <c r="B13" s="1772">
        <f>SUM('Revenues 9-14'!C6:D6)</f>
        <v>230680</v>
      </c>
      <c r="C13" s="585">
        <v>2557</v>
      </c>
      <c r="D13" s="1775">
        <f t="shared" si="0"/>
        <v>228123</v>
      </c>
      <c r="E13" s="585">
        <v>237929</v>
      </c>
      <c r="F13" s="1775">
        <f t="shared" si="1"/>
        <v>235372</v>
      </c>
    </row>
    <row r="14" spans="1:6" ht="13.7" customHeight="1" x14ac:dyDescent="0.2">
      <c r="A14" s="716" t="s">
        <v>429</v>
      </c>
      <c r="B14" s="1772">
        <f>SUM('Revenues 9-14'!C7:D7,'Revenues 9-14'!F7:H7)</f>
        <v>184544</v>
      </c>
      <c r="C14" s="585">
        <v>2046</v>
      </c>
      <c r="D14" s="1775">
        <f t="shared" si="0"/>
        <v>182498</v>
      </c>
      <c r="E14" s="585">
        <v>190343</v>
      </c>
      <c r="F14" s="1775">
        <f t="shared" si="1"/>
        <v>188297</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381963</v>
      </c>
      <c r="C16" s="585">
        <v>4194</v>
      </c>
      <c r="D16" s="1775">
        <f t="shared" si="0"/>
        <v>377769</v>
      </c>
      <c r="E16" s="585">
        <v>390203</v>
      </c>
      <c r="F16" s="1775">
        <f t="shared" si="1"/>
        <v>386009</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18993189</v>
      </c>
      <c r="C19" s="1773">
        <f>SUM(C4:C18)</f>
        <v>209934</v>
      </c>
      <c r="D19" s="1773">
        <f>SUM(D4:D18)</f>
        <v>18783255</v>
      </c>
      <c r="E19" s="1773">
        <f>SUM(E4:E18)</f>
        <v>19530606</v>
      </c>
      <c r="F19" s="1773">
        <f>SUM(F4:F18)</f>
        <v>19320672</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41DB9079-7F95-4228-8A4A-E6D48377DB38}" scale="130" colorId="8" showPageBreaks="1" showGridLines="0" view="pageBreakPreview">
      <selection activeCell="C17" sqref="C17"/>
      <pageMargins left="0.75" right="0.75" top="1.5" bottom="0.5" header="0.5" footer="0.5"/>
      <printOptions horizontalCentered="1"/>
      <pageSetup scale="94" firstPageNumber="61" orientation="landscape" useFirstPageNumber="1" r:id="rId1"/>
      <headerFooter>
        <oddHeader>&amp;C&amp;"Times New Roman,Regular"ROXANA COMMUNITY UNIT SCHOOL DISTRICT NO. 1
SCHEDULE OF AD VALOREM TAX RECEIPTS
FOR THE YEAR ENDED JUNE 30, 2018</oddHeader>
        <oddFooter>&amp;C&amp;"Times New Roman,Regular"See Independent Auditor's Reports
&amp;P</oddFooter>
      </headerFooter>
    </customSheetView>
    <customSheetView guid="{D71D2A76-4AD5-4124-819F-51F94C4C53C9}" scale="130" colorId="8" showPageBreaks="1" showGridLines="0" view="pageBreakPreview">
      <selection activeCell="C17" sqref="C17"/>
      <pageMargins left="0.75" right="0.75" top="1.5" bottom="0.5" header="0.5" footer="0.5"/>
      <printOptions horizontalCentered="1"/>
      <pageSetup scale="94" firstPageNumber="61" orientation="landscape" useFirstPageNumber="1" r:id="rId2"/>
      <headerFooter>
        <oddHeader>&amp;C&amp;"Times New Roman,Regular"ROXANA COMMUNITY UNIT SCHOOL DISTRICT NO. 1
SCHEDULE OF AD VALOREM TAX RECEIPTS
FOR THE YEAR ENDED JUNE 30, 2018</oddHeader>
        <oddFooter>&amp;C&amp;"Times New Roman,Regular"See Independent Auditor's Reports
&amp;P</oddFooter>
      </headerFooter>
    </customSheetView>
  </customSheetViews>
  <mergeCells count="1">
    <mergeCell ref="A2:A3"/>
  </mergeCells>
  <phoneticPr fontId="12" type="noConversion"/>
  <printOptions horizontalCentered="1" gridLinesSet="0"/>
  <pageMargins left="0.75" right="0.75" top="1.5" bottom="0.5" header="0.5" footer="0.5"/>
  <pageSetup scale="94" firstPageNumber="61" orientation="landscape" useFirstPageNumber="1" r:id="rId3"/>
  <headerFooter>
    <oddHeader>&amp;C&amp;"Times New Roman,Regular"ROXANA COMMUNITY UNIT SCHOOL DISTRICT NO. 1
SCHEDULE OF AD VALOREM TAX RECEIPTS
FOR THE YEAR ENDED JUNE 30, 2018</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5" colorId="8" zoomScale="110" zoomScaleNormal="110" workbookViewId="0">
      <selection activeCell="A40" sqref="A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649</v>
      </c>
      <c r="B1" s="2207"/>
      <c r="C1" s="722"/>
    </row>
    <row r="2" spans="1:7" ht="33.75" x14ac:dyDescent="0.2">
      <c r="A2" s="2215" t="s">
        <v>1901</v>
      </c>
      <c r="B2" s="2216"/>
      <c r="C2" s="1909" t="s">
        <v>2034</v>
      </c>
      <c r="D2" s="724" t="s">
        <v>2041</v>
      </c>
      <c r="E2" s="724" t="s">
        <v>2042</v>
      </c>
      <c r="F2" s="1909" t="s">
        <v>2035</v>
      </c>
    </row>
    <row r="3" spans="1:7" ht="15.75" customHeight="1" x14ac:dyDescent="0.2">
      <c r="A3" s="2219" t="s">
        <v>1175</v>
      </c>
      <c r="B3" s="2220"/>
      <c r="C3" s="2208"/>
      <c r="D3" s="2209"/>
      <c r="E3" s="2209"/>
      <c r="F3" s="2210"/>
    </row>
    <row r="4" spans="1:7" ht="12.75" customHeight="1" thickBot="1" x14ac:dyDescent="0.25">
      <c r="A4" s="2217" t="s">
        <v>650</v>
      </c>
      <c r="B4" s="2218"/>
      <c r="C4" s="581"/>
      <c r="D4" s="581"/>
      <c r="E4" s="581"/>
      <c r="F4" s="1777">
        <f>SUM(C4+D4)-E4</f>
        <v>0</v>
      </c>
    </row>
    <row r="5" spans="1:7" ht="15.75" customHeight="1" thickTop="1" x14ac:dyDescent="0.2">
      <c r="A5" s="2202" t="s">
        <v>1171</v>
      </c>
      <c r="B5" s="2203"/>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4" t="s">
        <v>651</v>
      </c>
      <c r="B15" s="2205"/>
      <c r="C15" s="1777">
        <f>SUM(C6:C14)</f>
        <v>0</v>
      </c>
      <c r="D15" s="1777">
        <f>SUM(D6:D14)</f>
        <v>0</v>
      </c>
      <c r="E15" s="1777">
        <f>SUM(E6:E14)</f>
        <v>0</v>
      </c>
      <c r="F15" s="1777">
        <f>SUM(F6:F14)</f>
        <v>0</v>
      </c>
      <c r="G15" s="552"/>
    </row>
    <row r="16" spans="1:7" s="202" customFormat="1" ht="15.75" customHeight="1" thickTop="1" x14ac:dyDescent="0.2">
      <c r="A16" s="2214" t="s">
        <v>1172</v>
      </c>
      <c r="B16" s="2203"/>
      <c r="C16" s="2211"/>
      <c r="D16" s="2212"/>
      <c r="E16" s="2212"/>
      <c r="F16" s="2213"/>
    </row>
    <row r="17" spans="1:11" ht="12.75" customHeight="1" thickBot="1" x14ac:dyDescent="0.25">
      <c r="A17" s="2227" t="s">
        <v>66</v>
      </c>
      <c r="B17" s="2228"/>
      <c r="C17" s="727"/>
      <c r="D17" s="585"/>
      <c r="E17" s="727"/>
      <c r="F17" s="1777">
        <f>SUM(C17+D17)-E17</f>
        <v>0</v>
      </c>
    </row>
    <row r="18" spans="1:11" ht="12.75" customHeight="1" thickTop="1" thickBot="1" x14ac:dyDescent="0.25">
      <c r="A18" s="2227" t="s">
        <v>6</v>
      </c>
      <c r="B18" s="2228"/>
      <c r="C18" s="727"/>
      <c r="D18" s="585"/>
      <c r="E18" s="727"/>
      <c r="F18" s="1777">
        <f>SUM(C18+D18)-E18</f>
        <v>0</v>
      </c>
    </row>
    <row r="19" spans="1:11" ht="12.75" customHeight="1" thickTop="1" thickBot="1" x14ac:dyDescent="0.25">
      <c r="A19" s="2227" t="s">
        <v>405</v>
      </c>
      <c r="B19" s="2228"/>
      <c r="C19" s="727"/>
      <c r="D19" s="585"/>
      <c r="E19" s="727"/>
      <c r="F19" s="1777">
        <f>SUM(C19+D19)-E19</f>
        <v>0</v>
      </c>
    </row>
    <row r="20" spans="1:11" ht="12.75" customHeight="1" thickTop="1" thickBot="1" x14ac:dyDescent="0.25">
      <c r="A20" s="2227" t="s">
        <v>467</v>
      </c>
      <c r="B20" s="2228"/>
      <c r="C20" s="727"/>
      <c r="D20" s="585"/>
      <c r="E20" s="727"/>
      <c r="F20" s="1777">
        <f>SUM(C20+D20)-E20</f>
        <v>0</v>
      </c>
    </row>
    <row r="21" spans="1:11" ht="14.25" thickTop="1" thickBot="1" x14ac:dyDescent="0.25">
      <c r="A21" s="2204" t="s">
        <v>652</v>
      </c>
      <c r="B21" s="2205"/>
      <c r="C21" s="1777">
        <f>SUM(C17:C20)</f>
        <v>0</v>
      </c>
      <c r="D21" s="1777">
        <f>SUM(D17:D20)</f>
        <v>0</v>
      </c>
      <c r="E21" s="1777">
        <f>SUM(E17:E20)</f>
        <v>0</v>
      </c>
      <c r="F21" s="1777">
        <f>SUM(F17:F20)</f>
        <v>0</v>
      </c>
      <c r="G21" s="552"/>
    </row>
    <row r="22" spans="1:11" ht="15.75" customHeight="1" thickTop="1" x14ac:dyDescent="0.2">
      <c r="A22" s="2229" t="s">
        <v>1173</v>
      </c>
      <c r="B22" s="2203"/>
      <c r="C22" s="2211"/>
      <c r="D22" s="2212"/>
      <c r="E22" s="2212"/>
      <c r="F22" s="2213"/>
    </row>
    <row r="23" spans="1:11" ht="13.5" thickBot="1" x14ac:dyDescent="0.25">
      <c r="A23" s="2217" t="s">
        <v>653</v>
      </c>
      <c r="B23" s="2218"/>
      <c r="C23" s="581"/>
      <c r="D23" s="581"/>
      <c r="E23" s="581"/>
      <c r="F23" s="1777">
        <f>SUM(C23+D23)-E23</f>
        <v>0</v>
      </c>
      <c r="G23" s="552"/>
    </row>
    <row r="24" spans="1:11" ht="15.75" customHeight="1" thickTop="1" x14ac:dyDescent="0.2">
      <c r="A24" s="2229" t="s">
        <v>1174</v>
      </c>
      <c r="B24" s="2203"/>
      <c r="C24" s="2211"/>
      <c r="D24" s="2212"/>
      <c r="E24" s="2212"/>
      <c r="F24" s="2213"/>
    </row>
    <row r="25" spans="1:11" ht="13.5" thickBot="1" x14ac:dyDescent="0.25">
      <c r="A25" s="2217" t="s">
        <v>654</v>
      </c>
      <c r="B25" s="2218"/>
      <c r="C25" s="581"/>
      <c r="D25" s="581"/>
      <c r="E25" s="581"/>
      <c r="F25" s="1777">
        <f>SUM(C25+D25)-E25</f>
        <v>0</v>
      </c>
      <c r="G25" s="552"/>
    </row>
    <row r="26" spans="1:11" ht="15.75" customHeight="1" thickTop="1" x14ac:dyDescent="0.2">
      <c r="A26" s="2202" t="s">
        <v>677</v>
      </c>
      <c r="B26" s="2203"/>
      <c r="C26" s="728"/>
      <c r="D26" s="728"/>
      <c r="E26" s="728"/>
      <c r="F26" s="729"/>
    </row>
    <row r="27" spans="1:11" ht="13.5" thickBot="1" x14ac:dyDescent="0.25">
      <c r="A27" s="2204" t="s">
        <v>1129</v>
      </c>
      <c r="B27" s="2205"/>
      <c r="C27" s="585"/>
      <c r="D27" s="585"/>
      <c r="E27" s="585"/>
      <c r="F27" s="1777">
        <f>SUM(C27+D27)-E27</f>
        <v>0</v>
      </c>
      <c r="G27" s="552"/>
    </row>
    <row r="28" spans="1:11" ht="7.5" customHeight="1" thickTop="1" x14ac:dyDescent="0.2">
      <c r="A28" s="594"/>
    </row>
    <row r="29" spans="1:11" ht="23.25" customHeight="1" x14ac:dyDescent="0.2">
      <c r="A29" s="2230" t="s">
        <v>602</v>
      </c>
      <c r="B29" s="2207"/>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2136</v>
      </c>
      <c r="B31" s="734">
        <v>37796</v>
      </c>
      <c r="C31" s="735">
        <v>1050000</v>
      </c>
      <c r="D31" s="736">
        <v>7</v>
      </c>
      <c r="E31" s="735">
        <v>1050000</v>
      </c>
      <c r="F31" s="735"/>
      <c r="G31" s="735"/>
      <c r="H31" s="735"/>
      <c r="I31" s="1778">
        <f>((E31+F31)-H31)+G31</f>
        <v>1050000</v>
      </c>
      <c r="J31" s="735"/>
      <c r="K31" s="737"/>
    </row>
    <row r="32" spans="1:11" ht="12" customHeight="1" x14ac:dyDescent="0.2">
      <c r="A32" s="733" t="s">
        <v>2139</v>
      </c>
      <c r="B32" s="734">
        <v>40701</v>
      </c>
      <c r="C32" s="735">
        <v>5665000</v>
      </c>
      <c r="D32" s="736" t="s">
        <v>2140</v>
      </c>
      <c r="E32" s="735">
        <v>2435000</v>
      </c>
      <c r="F32" s="735"/>
      <c r="G32" s="735"/>
      <c r="H32" s="735">
        <v>250000</v>
      </c>
      <c r="I32" s="1778">
        <f>((E32+F32)-H32)+G32</f>
        <v>2185000</v>
      </c>
      <c r="J32" s="735">
        <v>1592583</v>
      </c>
      <c r="K32" s="737"/>
    </row>
    <row r="33" spans="1:11" ht="12" customHeight="1" x14ac:dyDescent="0.2">
      <c r="A33" s="733" t="s">
        <v>2141</v>
      </c>
      <c r="B33" s="734">
        <v>42003</v>
      </c>
      <c r="C33" s="735">
        <v>5410000</v>
      </c>
      <c r="D33" s="736" t="s">
        <v>2142</v>
      </c>
      <c r="E33" s="735">
        <v>5220000</v>
      </c>
      <c r="F33" s="735"/>
      <c r="G33" s="735"/>
      <c r="H33" s="735">
        <v>150000</v>
      </c>
      <c r="I33" s="1778">
        <f t="shared" ref="I33:I48" si="1">((E33+F33)-H33)+G33</f>
        <v>5070000</v>
      </c>
      <c r="J33" s="735">
        <v>5070000</v>
      </c>
      <c r="K33" s="737"/>
    </row>
    <row r="34" spans="1:11" ht="12" customHeight="1" x14ac:dyDescent="0.2">
      <c r="A34" s="733" t="s">
        <v>2143</v>
      </c>
      <c r="B34" s="734">
        <v>42003</v>
      </c>
      <c r="C34" s="735">
        <v>4090000</v>
      </c>
      <c r="D34" s="736" t="s">
        <v>2142</v>
      </c>
      <c r="E34" s="735">
        <v>4090000</v>
      </c>
      <c r="F34" s="735"/>
      <c r="G34" s="735"/>
      <c r="H34" s="735"/>
      <c r="I34" s="1778">
        <f t="shared" si="1"/>
        <v>4090000</v>
      </c>
      <c r="J34" s="735">
        <v>4090000</v>
      </c>
      <c r="K34" s="738"/>
    </row>
    <row r="35" spans="1:11" ht="12" customHeight="1" x14ac:dyDescent="0.2">
      <c r="A35" s="733" t="s">
        <v>2144</v>
      </c>
      <c r="B35" s="734">
        <v>42026</v>
      </c>
      <c r="C35" s="739">
        <v>5730000</v>
      </c>
      <c r="D35" s="736">
        <v>3</v>
      </c>
      <c r="E35" s="739">
        <v>5690000</v>
      </c>
      <c r="F35" s="739"/>
      <c r="G35" s="739"/>
      <c r="H35" s="739">
        <v>40000</v>
      </c>
      <c r="I35" s="1778">
        <f t="shared" si="1"/>
        <v>5650000</v>
      </c>
      <c r="J35" s="739">
        <v>5650000</v>
      </c>
      <c r="K35" s="738"/>
    </row>
    <row r="36" spans="1:11" ht="12" customHeight="1" x14ac:dyDescent="0.2">
      <c r="A36" s="733" t="s">
        <v>2145</v>
      </c>
      <c r="B36" s="734">
        <v>42082</v>
      </c>
      <c r="C36" s="735">
        <v>450000</v>
      </c>
      <c r="D36" s="736">
        <v>8</v>
      </c>
      <c r="E36" s="735">
        <v>161858</v>
      </c>
      <c r="F36" s="735"/>
      <c r="G36" s="735"/>
      <c r="H36" s="735">
        <v>161858</v>
      </c>
      <c r="I36" s="1778">
        <f t="shared" si="1"/>
        <v>0</v>
      </c>
      <c r="J36" s="735"/>
      <c r="K36" s="740"/>
    </row>
    <row r="37" spans="1:11" ht="12" customHeight="1" x14ac:dyDescent="0.2">
      <c r="A37" s="733" t="s">
        <v>2146</v>
      </c>
      <c r="B37" s="734">
        <v>42789</v>
      </c>
      <c r="C37" s="467">
        <v>3855000</v>
      </c>
      <c r="D37" s="741">
        <v>3</v>
      </c>
      <c r="E37" s="467">
        <v>3855000</v>
      </c>
      <c r="F37" s="467"/>
      <c r="G37" s="467"/>
      <c r="H37" s="467">
        <v>770000</v>
      </c>
      <c r="I37" s="1778">
        <f t="shared" si="1"/>
        <v>3085000</v>
      </c>
      <c r="J37" s="467">
        <v>3085000</v>
      </c>
      <c r="K37" s="738"/>
    </row>
    <row r="38" spans="1:11" ht="12" customHeight="1" x14ac:dyDescent="0.2">
      <c r="A38" s="733" t="s">
        <v>2145</v>
      </c>
      <c r="B38" s="734">
        <v>42810</v>
      </c>
      <c r="C38" s="735">
        <v>450000</v>
      </c>
      <c r="D38" s="742">
        <v>8</v>
      </c>
      <c r="E38" s="743">
        <v>450000</v>
      </c>
      <c r="F38" s="743"/>
      <c r="G38" s="743"/>
      <c r="H38" s="743">
        <v>69480</v>
      </c>
      <c r="I38" s="1778">
        <f t="shared" si="1"/>
        <v>380520</v>
      </c>
      <c r="J38" s="744">
        <v>380520</v>
      </c>
      <c r="K38" s="745"/>
    </row>
    <row r="39" spans="1:11" ht="12" customHeight="1" x14ac:dyDescent="0.2">
      <c r="A39" s="733" t="s">
        <v>2147</v>
      </c>
      <c r="B39" s="734">
        <v>43202</v>
      </c>
      <c r="C39" s="735">
        <v>519000</v>
      </c>
      <c r="D39" s="742">
        <v>3</v>
      </c>
      <c r="E39" s="743"/>
      <c r="F39" s="743">
        <v>519000</v>
      </c>
      <c r="G39" s="743"/>
      <c r="H39" s="743"/>
      <c r="I39" s="1778">
        <f t="shared" si="1"/>
        <v>519000</v>
      </c>
      <c r="J39" s="744">
        <v>519000</v>
      </c>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27219000</v>
      </c>
      <c r="D49" s="746"/>
      <c r="E49" s="1778">
        <f t="shared" ref="E49:J49" si="2">SUM(E31:E48)</f>
        <v>22951858</v>
      </c>
      <c r="F49" s="1778">
        <f t="shared" si="2"/>
        <v>519000</v>
      </c>
      <c r="G49" s="1778">
        <f t="shared" si="2"/>
        <v>0</v>
      </c>
      <c r="H49" s="1778">
        <f t="shared" si="2"/>
        <v>1441338</v>
      </c>
      <c r="I49" s="1778">
        <f t="shared" si="2"/>
        <v>22029520</v>
      </c>
      <c r="J49" s="1778">
        <f t="shared" si="2"/>
        <v>20387103</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1" t="s">
        <v>604</v>
      </c>
      <c r="C52" s="2222"/>
      <c r="D52" s="2222"/>
      <c r="E52" s="750" t="s">
        <v>899</v>
      </c>
      <c r="F52" s="2223" t="s">
        <v>2137</v>
      </c>
      <c r="G52" s="2224"/>
      <c r="H52" s="737"/>
      <c r="I52" s="737"/>
      <c r="J52" s="747"/>
    </row>
    <row r="53" spans="1:11" ht="11.25" customHeight="1" x14ac:dyDescent="0.2">
      <c r="A53" s="751" t="s">
        <v>968</v>
      </c>
      <c r="B53" s="752" t="s">
        <v>1007</v>
      </c>
      <c r="C53" s="747"/>
      <c r="D53" s="738"/>
      <c r="E53" s="750" t="s">
        <v>517</v>
      </c>
      <c r="F53" s="2225" t="s">
        <v>2138</v>
      </c>
      <c r="G53" s="2226"/>
      <c r="H53" s="737"/>
      <c r="I53" s="737"/>
      <c r="J53" s="747"/>
    </row>
    <row r="54" spans="1:11" ht="11.25" customHeight="1" x14ac:dyDescent="0.2">
      <c r="A54" s="753" t="s">
        <v>969</v>
      </c>
      <c r="B54" s="748" t="s">
        <v>1008</v>
      </c>
      <c r="C54" s="747"/>
      <c r="D54" s="738"/>
      <c r="E54" s="750" t="s">
        <v>518</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41DB9079-7F95-4228-8A4A-E6D48377DB38}" scale="110" colorId="8" showGridLines="0" topLeftCell="A25">
      <selection activeCell="A40" sqref="A40"/>
      <pageMargins left="0.75" right="0.75" top="1" bottom="0.5" header="0.5" footer="0.5"/>
      <printOptions horizontalCentered="1"/>
      <pageSetup scale="64" firstPageNumber="24" fitToHeight="0" orientation="landscape" r:id="rId1"/>
      <headerFooter>
        <oddHeader>&amp;C&amp;"Times New Roman,Regular"ROXANA COMMUNITY UNIT SCHOOL DISTRICT NO. 1
SCHEDULE OF SHORT-TERM AND LONG-TERM DEBT
FOR THE YEAR ENDED JUNE 30, 2018</oddHeader>
        <oddFooter>&amp;C&amp;"Times New Roman,Regular"See Independent Auditor's Reports
&amp;P</oddFooter>
      </headerFooter>
    </customSheetView>
    <customSheetView guid="{D71D2A76-4AD5-4124-819F-51F94C4C53C9}" scale="110" colorId="8" showGridLines="0" topLeftCell="A25">
      <selection activeCell="A40" sqref="A40"/>
      <pageMargins left="0.75" right="0.75" top="1" bottom="0.5" header="0.5" footer="0.5"/>
      <printOptions horizontalCentered="1"/>
      <pageSetup scale="64" firstPageNumber="24" fitToHeight="0" orientation="landscape" r:id="rId2"/>
      <headerFooter>
        <oddHeader>&amp;C&amp;"Times New Roman,Regular"ROXANA COMMUNITY UNIT SCHOOL DISTRICT NO. 1
SCHEDULE OF SHORT-TERM AND LONG-TERM DEBT
FOR THE YEAR ENDED JUNE 30, 2018</oddHeader>
        <oddFooter>&amp;C&amp;"Times New Roman,Regular"See Independent Auditor's Reports
&amp;P</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orizontalCentered="1" gridLinesSet="0"/>
  <pageMargins left="0.75" right="0.75" top="1" bottom="0.5" header="0.5" footer="0.5"/>
  <pageSetup scale="64" firstPageNumber="24" fitToHeight="0" orientation="landscape" r:id="rId3"/>
  <headerFooter>
    <oddHeader>&amp;C&amp;"Times New Roman,Regular"ROXANA COMMUNITY UNIT SCHOOL DISTRICT NO. 1
SCHEDULE OF SHORT-TERM AND LONG-TERM DEBT
FOR THE YEAR ENDED JUNE 30, 2018</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BreakPreview" colorId="8" zoomScale="110" zoomScaleNormal="110" zoomScaleSheetLayoutView="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910</v>
      </c>
      <c r="B1" s="2256"/>
      <c r="C1" s="2256"/>
      <c r="D1" s="2256"/>
      <c r="E1" s="2256"/>
      <c r="F1" s="2256"/>
      <c r="G1" s="2257"/>
      <c r="H1" s="1552"/>
      <c r="I1" s="761"/>
      <c r="J1" s="433"/>
    </row>
    <row r="2" spans="1:11" ht="26.25" x14ac:dyDescent="0.2">
      <c r="A2" s="2234" t="s">
        <v>1775</v>
      </c>
      <c r="B2" s="2235"/>
      <c r="C2" s="2235"/>
      <c r="D2" s="2235"/>
      <c r="E2" s="2236"/>
      <c r="F2" s="762" t="s">
        <v>959</v>
      </c>
      <c r="G2" s="763" t="s">
        <v>1772</v>
      </c>
      <c r="H2" s="763" t="s">
        <v>429</v>
      </c>
      <c r="I2" s="763" t="s">
        <v>1219</v>
      </c>
      <c r="J2" s="763" t="s">
        <v>1915</v>
      </c>
      <c r="K2" s="763" t="s">
        <v>140</v>
      </c>
    </row>
    <row r="3" spans="1:11" x14ac:dyDescent="0.2">
      <c r="A3" s="2237" t="s">
        <v>1697</v>
      </c>
      <c r="B3" s="2238"/>
      <c r="C3" s="2238"/>
      <c r="D3" s="2238"/>
      <c r="E3" s="2239"/>
      <c r="F3" s="764"/>
      <c r="G3" s="765"/>
      <c r="H3" s="765"/>
      <c r="I3" s="765"/>
      <c r="J3" s="766"/>
      <c r="K3" s="766"/>
    </row>
    <row r="4" spans="1:11" x14ac:dyDescent="0.2">
      <c r="A4" s="2240" t="s">
        <v>386</v>
      </c>
      <c r="B4" s="2241"/>
      <c r="C4" s="2241"/>
      <c r="D4" s="2241"/>
      <c r="E4" s="2222"/>
      <c r="F4" s="767"/>
      <c r="G4" s="768"/>
      <c r="H4" s="769"/>
      <c r="I4" s="768"/>
      <c r="J4" s="770"/>
      <c r="K4" s="770"/>
    </row>
    <row r="5" spans="1:11" x14ac:dyDescent="0.2">
      <c r="A5" s="2258" t="s">
        <v>1128</v>
      </c>
      <c r="B5" s="2231"/>
      <c r="C5" s="2231"/>
      <c r="D5" s="2231"/>
      <c r="E5" s="2259"/>
      <c r="F5" s="771" t="s">
        <v>902</v>
      </c>
      <c r="G5" s="772"/>
      <c r="H5" s="765">
        <v>184544</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4340</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row>
    <row r="10" spans="1:11" x14ac:dyDescent="0.2">
      <c r="A10" s="2258" t="s">
        <v>1916</v>
      </c>
      <c r="B10" s="2231"/>
      <c r="C10" s="2231"/>
      <c r="D10" s="2231"/>
      <c r="E10" s="2260"/>
      <c r="F10" s="784" t="s">
        <v>916</v>
      </c>
      <c r="G10" s="783"/>
      <c r="H10" s="785"/>
      <c r="I10" s="765"/>
      <c r="J10" s="766"/>
      <c r="K10" s="766"/>
    </row>
    <row r="11" spans="1:11" x14ac:dyDescent="0.2">
      <c r="A11" s="2258" t="s">
        <v>162</v>
      </c>
      <c r="B11" s="2231"/>
      <c r="C11" s="2231"/>
      <c r="D11" s="2231"/>
      <c r="E11" s="2259"/>
      <c r="F11" s="771" t="s">
        <v>906</v>
      </c>
      <c r="G11" s="772"/>
      <c r="H11" s="765"/>
      <c r="I11" s="765"/>
      <c r="J11" s="766"/>
      <c r="K11" s="774"/>
    </row>
    <row r="12" spans="1:11" ht="13.5" thickBot="1" x14ac:dyDescent="0.25">
      <c r="A12" s="2248" t="s">
        <v>960</v>
      </c>
      <c r="B12" s="2249"/>
      <c r="C12" s="2249"/>
      <c r="D12" s="2249"/>
      <c r="E12" s="2250"/>
      <c r="F12" s="1779"/>
      <c r="G12" s="1780">
        <f>SUM(G5:G11)</f>
        <v>0</v>
      </c>
      <c r="H12" s="1780">
        <f>SUM(H5:H11)</f>
        <v>184544</v>
      </c>
      <c r="I12" s="1780">
        <f>SUM(I5:I11)</f>
        <v>0</v>
      </c>
      <c r="J12" s="1780">
        <f>SUM(J5:J11)</f>
        <v>0</v>
      </c>
      <c r="K12" s="1780">
        <f>SUM(K5:K11)</f>
        <v>4340</v>
      </c>
    </row>
    <row r="13" spans="1:11" ht="13.5" thickTop="1" x14ac:dyDescent="0.2">
      <c r="A13" s="2242" t="s">
        <v>387</v>
      </c>
      <c r="B13" s="2243"/>
      <c r="C13" s="2243"/>
      <c r="D13" s="2243"/>
      <c r="E13" s="2244"/>
      <c r="F13" s="786"/>
      <c r="G13" s="787"/>
      <c r="H13" s="788"/>
      <c r="I13" s="789"/>
      <c r="J13" s="789"/>
      <c r="K13" s="789"/>
    </row>
    <row r="14" spans="1:11" x14ac:dyDescent="0.2">
      <c r="A14" s="2264" t="s">
        <v>475</v>
      </c>
      <c r="B14" s="2264"/>
      <c r="C14" s="2264"/>
      <c r="D14" s="2264"/>
      <c r="E14" s="2265"/>
      <c r="F14" s="790" t="s">
        <v>908</v>
      </c>
      <c r="G14" s="783"/>
      <c r="H14" s="765">
        <v>184544</v>
      </c>
      <c r="I14" s="772"/>
      <c r="J14" s="774"/>
      <c r="K14" s="766">
        <v>4340</v>
      </c>
    </row>
    <row r="15" spans="1:11" x14ac:dyDescent="0.2">
      <c r="A15" s="2231" t="s">
        <v>4</v>
      </c>
      <c r="B15" s="2231"/>
      <c r="C15" s="2231"/>
      <c r="D15" s="2231"/>
      <c r="E15" s="2259"/>
      <c r="F15" s="790" t="s">
        <v>909</v>
      </c>
      <c r="G15" s="772"/>
      <c r="H15" s="765"/>
      <c r="I15" s="765"/>
      <c r="J15" s="766"/>
      <c r="K15" s="766"/>
    </row>
    <row r="16" spans="1:11" x14ac:dyDescent="0.2">
      <c r="A16" s="2231" t="s">
        <v>315</v>
      </c>
      <c r="B16" s="2231"/>
      <c r="C16" s="2231"/>
      <c r="D16" s="2231"/>
      <c r="E16" s="2259"/>
      <c r="F16" s="790" t="s">
        <v>979</v>
      </c>
      <c r="G16" s="773"/>
      <c r="H16" s="768"/>
      <c r="I16" s="768"/>
      <c r="J16" s="770"/>
      <c r="K16" s="770"/>
    </row>
    <row r="17" spans="1:11" x14ac:dyDescent="0.2">
      <c r="A17" s="2253" t="s">
        <v>991</v>
      </c>
      <c r="B17" s="2253"/>
      <c r="C17" s="2253"/>
      <c r="D17" s="2253"/>
      <c r="E17" s="2254"/>
      <c r="F17" s="791"/>
      <c r="G17" s="792"/>
      <c r="H17" s="793"/>
      <c r="I17" s="793"/>
      <c r="J17" s="794"/>
      <c r="K17" s="795"/>
    </row>
    <row r="18" spans="1:11" x14ac:dyDescent="0.2">
      <c r="A18" s="2245" t="s">
        <v>385</v>
      </c>
      <c r="B18" s="2246"/>
      <c r="C18" s="2246"/>
      <c r="D18" s="2246"/>
      <c r="E18" s="2247"/>
      <c r="F18" s="790" t="s">
        <v>988</v>
      </c>
      <c r="G18" s="783"/>
      <c r="H18" s="783"/>
      <c r="I18" s="783"/>
      <c r="J18" s="766"/>
      <c r="K18" s="796"/>
    </row>
    <row r="19" spans="1:11" ht="21.75" customHeight="1" x14ac:dyDescent="0.2">
      <c r="A19" s="2266" t="s">
        <v>1912</v>
      </c>
      <c r="B19" s="2266"/>
      <c r="C19" s="2266"/>
      <c r="D19" s="2266"/>
      <c r="E19" s="2267"/>
      <c r="F19" s="790" t="s">
        <v>989</v>
      </c>
      <c r="G19" s="783"/>
      <c r="H19" s="783"/>
      <c r="I19" s="783"/>
      <c r="J19" s="766"/>
      <c r="K19" s="796"/>
    </row>
    <row r="20" spans="1:11" x14ac:dyDescent="0.2">
      <c r="A20" s="2245" t="s">
        <v>1917</v>
      </c>
      <c r="B20" s="2246"/>
      <c r="C20" s="2246"/>
      <c r="D20" s="2246"/>
      <c r="E20" s="2247"/>
      <c r="F20" s="790" t="s">
        <v>990</v>
      </c>
      <c r="G20" s="783"/>
      <c r="H20" s="783"/>
      <c r="I20" s="783"/>
      <c r="J20" s="766"/>
      <c r="K20" s="796"/>
    </row>
    <row r="21" spans="1:11" ht="13.5" thickBot="1" x14ac:dyDescent="0.25">
      <c r="A21" s="2251" t="s">
        <v>658</v>
      </c>
      <c r="B21" s="2251"/>
      <c r="C21" s="2251"/>
      <c r="D21" s="2251"/>
      <c r="E21" s="2251"/>
      <c r="F21" s="1781"/>
      <c r="G21" s="793"/>
      <c r="H21" s="797"/>
      <c r="I21" s="797"/>
      <c r="J21" s="1782">
        <f>SUM(J18:J20)</f>
        <v>0</v>
      </c>
      <c r="K21" s="794"/>
    </row>
    <row r="22" spans="1:11" ht="13.5" thickTop="1" x14ac:dyDescent="0.2">
      <c r="A22" s="2231" t="s">
        <v>1918</v>
      </c>
      <c r="B22" s="2231"/>
      <c r="C22" s="2231"/>
      <c r="D22" s="2231"/>
      <c r="E22" s="2259"/>
      <c r="F22" s="790" t="s">
        <v>916</v>
      </c>
      <c r="G22" s="783"/>
      <c r="H22" s="765"/>
      <c r="I22" s="765"/>
      <c r="J22" s="798"/>
      <c r="K22" s="766"/>
    </row>
    <row r="23" spans="1:11" ht="13.5" thickBot="1" x14ac:dyDescent="0.25">
      <c r="A23" s="2252" t="s">
        <v>961</v>
      </c>
      <c r="B23" s="2251"/>
      <c r="C23" s="2251"/>
      <c r="D23" s="2251"/>
      <c r="E23" s="2251"/>
      <c r="F23" s="1783"/>
      <c r="G23" s="1780">
        <f>SUM(G14:G16,G21,G22)</f>
        <v>0</v>
      </c>
      <c r="H23" s="1780">
        <f>SUM(H14:H16,H21,H22)</f>
        <v>184544</v>
      </c>
      <c r="I23" s="1780">
        <f>SUM(I14:I16,I21,I22)</f>
        <v>0</v>
      </c>
      <c r="J23" s="1780">
        <f>SUM(J14:J16,J21,J22)</f>
        <v>0</v>
      </c>
      <c r="K23" s="1780">
        <f>SUM(K14:K16,K21,K22)</f>
        <v>4340</v>
      </c>
    </row>
    <row r="24" spans="1:11" ht="14.25" thickTop="1" thickBot="1" x14ac:dyDescent="0.25">
      <c r="A24" s="2252" t="s">
        <v>2022</v>
      </c>
      <c r="B24" s="2251"/>
      <c r="C24" s="2251"/>
      <c r="D24" s="2251"/>
      <c r="E24" s="2251"/>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1"/>
      <c r="I31" s="2262"/>
      <c r="J31" s="2262"/>
      <c r="K31" s="2262"/>
    </row>
    <row r="32" spans="1:11" x14ac:dyDescent="0.2">
      <c r="A32" s="810"/>
      <c r="B32" s="237"/>
      <c r="C32" s="237"/>
      <c r="D32" s="237"/>
      <c r="E32" s="806"/>
      <c r="F32" s="812" t="s">
        <v>560</v>
      </c>
      <c r="G32" s="765"/>
      <c r="H32" s="2263"/>
      <c r="I32" s="2262"/>
      <c r="J32" s="2262"/>
      <c r="K32" s="2262"/>
    </row>
    <row r="33" spans="1:11" ht="1.5" customHeight="1" x14ac:dyDescent="0.2">
      <c r="A33" s="813" t="s">
        <v>1230</v>
      </c>
      <c r="B33" s="364"/>
      <c r="C33" s="364"/>
      <c r="D33" s="364"/>
      <c r="E33" s="364"/>
      <c r="F33" s="364"/>
      <c r="G33" s="814"/>
      <c r="H33" s="2263"/>
      <c r="I33" s="2262"/>
      <c r="J33" s="2262"/>
      <c r="K33" s="2262"/>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1" t="s">
        <v>561</v>
      </c>
      <c r="B41" s="2232"/>
      <c r="C41" s="2232"/>
      <c r="D41" s="2232"/>
      <c r="E41" s="2232"/>
      <c r="F41" s="2233"/>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41DB9079-7F95-4228-8A4A-E6D48377DB38}" scale="110" colorId="8" showPageBreaks="1" showGridLines="0" view="pageBreakPreview">
      <selection activeCell="K15" sqref="K15"/>
      <pageMargins left="0.75" right="0.75" top="1.1000000000000001" bottom="0.5" header="0.5" footer="0.5"/>
      <printOptions horizontalCentered="1"/>
      <pageSetup scale="74" firstPageNumber="25" orientation="landscape" r:id="rId1"/>
      <headerFooter>
        <oddHeader>&amp;C&amp;"Times New Roman,Regular"ROXANA COMMUNITY UNIT SCHOOL DISTRICT NO. 1
SCHEDULE OF RESTRICTED LOCAL TAX LEVIES AND SELECTED REVENUE SOURCES
SCHEDULE OF TORT IMMUNITY EXPENDITURES
FOR THE YEAR ENDED JUNE 30, 2018</oddHeader>
        <oddFooter>&amp;C&amp;"Times New Roman,Regular"See Independent Auditor's Reports
&amp;P</oddFooter>
      </headerFooter>
    </customSheetView>
    <customSheetView guid="{D71D2A76-4AD5-4124-819F-51F94C4C53C9}" scale="110" colorId="8" showPageBreaks="1" showGridLines="0" view="pageBreakPreview">
      <selection activeCell="K15" sqref="K15"/>
      <pageMargins left="0.75" right="0.75" top="1.1000000000000001" bottom="0.5" header="0.5" footer="0.5"/>
      <printOptions horizontalCentered="1"/>
      <pageSetup scale="74" firstPageNumber="25" orientation="landscape" r:id="rId2"/>
      <headerFooter>
        <oddHeader>&amp;C&amp;"Times New Roman,Regular"ROXANA COMMUNITY UNIT SCHOOL DISTRICT NO. 1
SCHEDULE OF RESTRICTED LOCAL TAX LEVIES AND SELECTED REVENUE SOURCES
SCHEDULE OF TORT IMMUNITY EXPENDITURES
FOR THE YEAR ENDED JUNE 30, 2018</oddHeader>
        <oddFooter>&amp;C&amp;"Times New Roman,Regular"See Independent Auditor's Reports
&amp;P</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orizontalCentered="1"/>
  <pageMargins left="0.75" right="0.75" top="1.1000000000000001" bottom="0.5" header="0.5" footer="0.5"/>
  <pageSetup scale="74" firstPageNumber="25" orientation="landscape" r:id="rId3"/>
  <headerFooter>
    <oddHeader>&amp;C&amp;"Times New Roman,Regular"ROXANA COMMUNITY UNIT SCHOOL DISTRICT NO. 1
SCHEDULE OF RESTRICTED LOCAL TAX LEVIES AND SELECTED REVENUE SOURCES
SCHEDULE OF TORT IMMUNITY EXPENDITURES
FOR THE YEAR ENDED JUNE 30, 2018</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zoomScaleSheetLayoutView="10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2031</v>
      </c>
      <c r="B1" s="2271"/>
      <c r="C1" s="2272"/>
      <c r="D1" s="827"/>
      <c r="E1" s="828"/>
      <c r="F1" s="828"/>
      <c r="G1" s="829"/>
      <c r="H1" s="830"/>
      <c r="I1" s="831"/>
      <c r="J1" s="2268"/>
      <c r="K1" s="2269"/>
      <c r="L1" s="2269"/>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40021</v>
      </c>
      <c r="D5" s="842"/>
      <c r="E5" s="842"/>
      <c r="F5" s="1782">
        <f>(C5+D5)-E5</f>
        <v>40021</v>
      </c>
      <c r="G5" s="838"/>
      <c r="H5" s="843"/>
      <c r="I5" s="843"/>
      <c r="J5" s="843"/>
      <c r="K5" s="794"/>
      <c r="L5" s="1791">
        <f>F5-K5</f>
        <v>40021</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50748861</v>
      </c>
      <c r="D8" s="845">
        <v>1833376</v>
      </c>
      <c r="E8" s="845"/>
      <c r="F8" s="1782">
        <f>(C8+D8)-E8</f>
        <v>52582237</v>
      </c>
      <c r="G8" s="844">
        <v>50</v>
      </c>
      <c r="H8" s="766">
        <v>15895901</v>
      </c>
      <c r="I8" s="766">
        <v>941365</v>
      </c>
      <c r="J8" s="766"/>
      <c r="K8" s="1791">
        <f>(H8+I8)-J8</f>
        <v>16837266</v>
      </c>
      <c r="L8" s="1791">
        <f>F8-K8</f>
        <v>35744971</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345025</v>
      </c>
      <c r="D10" s="847"/>
      <c r="E10" s="847"/>
      <c r="F10" s="1786">
        <f>(C10+D10)-E10</f>
        <v>345025</v>
      </c>
      <c r="G10" s="844">
        <v>20</v>
      </c>
      <c r="H10" s="848">
        <v>345021</v>
      </c>
      <c r="I10" s="848"/>
      <c r="J10" s="848"/>
      <c r="K10" s="1791">
        <f>(H10+I10)-J10</f>
        <v>345021</v>
      </c>
      <c r="L10" s="1791">
        <f>F10-K10</f>
        <v>4</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6117411</v>
      </c>
      <c r="D12" s="845">
        <v>452480</v>
      </c>
      <c r="E12" s="845">
        <v>159958</v>
      </c>
      <c r="F12" s="1782">
        <f>(C12+D12)-E12</f>
        <v>6409933</v>
      </c>
      <c r="G12" s="844">
        <v>10</v>
      </c>
      <c r="H12" s="766">
        <v>2476378</v>
      </c>
      <c r="I12" s="766">
        <v>599956</v>
      </c>
      <c r="J12" s="766">
        <v>159958</v>
      </c>
      <c r="K12" s="1791">
        <f>(H12+I12)-J12</f>
        <v>2916376</v>
      </c>
      <c r="L12" s="1791">
        <f>F12-K12</f>
        <v>3493557</v>
      </c>
    </row>
    <row r="13" spans="1:14" ht="14.25" thickTop="1" thickBot="1" x14ac:dyDescent="0.25">
      <c r="A13" s="849" t="s">
        <v>1183</v>
      </c>
      <c r="B13" s="841">
        <v>252</v>
      </c>
      <c r="C13" s="845">
        <v>2551207</v>
      </c>
      <c r="D13" s="845">
        <v>212743</v>
      </c>
      <c r="E13" s="845"/>
      <c r="F13" s="1782">
        <f>(C13+D13)-E13</f>
        <v>2763950</v>
      </c>
      <c r="G13" s="844">
        <v>5</v>
      </c>
      <c r="H13" s="766">
        <v>2509905</v>
      </c>
      <c r="I13" s="766">
        <v>235718</v>
      </c>
      <c r="J13" s="766"/>
      <c r="K13" s="1791">
        <f>(H13+I13)-J13</f>
        <v>2745623</v>
      </c>
      <c r="L13" s="1791">
        <f>F13-K13</f>
        <v>18327</v>
      </c>
    </row>
    <row r="14" spans="1:14" ht="14.25" thickTop="1" thickBot="1" x14ac:dyDescent="0.25">
      <c r="A14" s="849" t="s">
        <v>1184</v>
      </c>
      <c r="B14" s="841">
        <v>253</v>
      </c>
      <c r="C14" s="766">
        <v>33368</v>
      </c>
      <c r="D14" s="766"/>
      <c r="E14" s="766"/>
      <c r="F14" s="1782">
        <f>(C14+D14)-E14</f>
        <v>33368</v>
      </c>
      <c r="G14" s="844">
        <v>3</v>
      </c>
      <c r="H14" s="766">
        <v>33368</v>
      </c>
      <c r="I14" s="766"/>
      <c r="J14" s="766"/>
      <c r="K14" s="1791">
        <f>(H14+I14)-J14</f>
        <v>33368</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59835893</v>
      </c>
      <c r="D16" s="1782">
        <f>SUM(D3,D5:D6,D8:D10,D12:D15)</f>
        <v>2498599</v>
      </c>
      <c r="E16" s="1782">
        <f>SUM(E3,E5:E6,E8:E10,E12:E15)</f>
        <v>159958</v>
      </c>
      <c r="F16" s="1782">
        <f>SUM(F3,F5:F6,F8:F10,F12:F15)</f>
        <v>62174534</v>
      </c>
      <c r="G16" s="844"/>
      <c r="H16" s="1782">
        <f>SUM(H3,H6,H8:H10,H12:H14,)</f>
        <v>21260573</v>
      </c>
      <c r="I16" s="1782">
        <f>SUM(I3,I6,I8:I10,I12:I14,)</f>
        <v>1777039</v>
      </c>
      <c r="J16" s="1782">
        <f>SUM(J3,J6,J8:J10,J12:J14,)</f>
        <v>159958</v>
      </c>
      <c r="K16" s="1782">
        <f>(H16+I16)-J16</f>
        <v>22877654</v>
      </c>
      <c r="L16" s="1782">
        <f>F16-K16</f>
        <v>39296880</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1777039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41DB9079-7F95-4228-8A4A-E6D48377DB38}" scale="110" colorId="8" showGridLines="0">
      <selection activeCell="I14" sqref="I14"/>
      <pageMargins left="0.75" right="0.75" top="1.75" bottom="0.5" header="0.5" footer="0.5"/>
      <printOptions horizontalCentered="1"/>
      <pageSetup scale="74" firstPageNumber="26" orientation="landscape" r:id="rId1"/>
      <headerFooter>
        <oddHeader>&amp;C&amp;"Times New Roman,Regular"ROXANA COMMUNITY UNIT SCHOOL DISTRICT NO. 1
SCHEDULE OF CAPITAL OUTLAY AND DEPRECIATION
FOR THE YEAR ENDED JUNE 30, 2018</oddHeader>
        <oddFooter>&amp;C&amp;"Times New Roman,Regular"See Independent Auditor's Reports
&amp;P</oddFooter>
      </headerFooter>
    </customSheetView>
    <customSheetView guid="{D71D2A76-4AD5-4124-819F-51F94C4C53C9}" scale="110" colorId="8" showGridLines="0">
      <selection activeCell="I14" sqref="I14"/>
      <pageMargins left="0.75" right="0.75" top="1.75" bottom="0.5" header="0.5" footer="0.5"/>
      <printOptions horizontalCentered="1"/>
      <pageSetup scale="74" firstPageNumber="26" orientation="landscape" r:id="rId2"/>
      <headerFooter>
        <oddHeader>&amp;C&amp;"Times New Roman,Regular"ROXANA COMMUNITY UNIT SCHOOL DISTRICT NO. 1
SCHEDULE OF CAPITAL OUTLAY AND DEPRECIATION
FOR THE YEAR ENDED JUNE 30, 2018</oddHeader>
        <oddFooter>&amp;C&amp;"Times New Roman,Regular"See Independent Auditor's Reports
&amp;P</oddFooter>
      </headerFooter>
    </customSheetView>
  </customSheetViews>
  <mergeCells count="2">
    <mergeCell ref="J1:L1"/>
    <mergeCell ref="A1:C1"/>
  </mergeCells>
  <phoneticPr fontId="12" type="noConversion"/>
  <printOptions horizontalCentered="1"/>
  <pageMargins left="0.75" right="0.75" top="1.75" bottom="0.5" header="0.5" footer="0.5"/>
  <pageSetup scale="74" firstPageNumber="26" orientation="landscape" r:id="rId3"/>
  <headerFooter>
    <oddHeader>&amp;C&amp;"Times New Roman,Regular"ROXANA COMMUNITY UNIT SCHOOL DISTRICT NO. 1
SCHEDULE OF CAPITAL OUTLAY AND DEPRECIATION
FOR THE YEAR ENDED JUNE 30, 2018</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7" activePane="bottomLeft" state="frozen"/>
      <selection activeCell="AF38" sqref="AF38"/>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497</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2"/>
      <c r="B5" s="2283"/>
      <c r="C5" s="2283"/>
      <c r="D5" s="2283"/>
      <c r="E5" s="2283"/>
      <c r="F5" s="2283"/>
    </row>
    <row r="6" spans="1:7" ht="13.5" customHeight="1" thickBot="1" x14ac:dyDescent="0.25">
      <c r="A6" s="2273" t="s">
        <v>1165</v>
      </c>
      <c r="B6" s="2274"/>
      <c r="C6" s="2274"/>
      <c r="D6" s="2274"/>
      <c r="E6" s="2274"/>
      <c r="F6" s="2275"/>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17813595</v>
      </c>
      <c r="G8" s="866"/>
    </row>
    <row r="9" spans="1:7" x14ac:dyDescent="0.2">
      <c r="A9" s="870" t="s">
        <v>479</v>
      </c>
      <c r="B9" s="871" t="s">
        <v>1985</v>
      </c>
      <c r="C9" s="872"/>
      <c r="D9" s="870" t="s">
        <v>521</v>
      </c>
      <c r="E9" s="869"/>
      <c r="F9" s="1935">
        <f>'Expenditures 15-22'!K151</f>
        <v>2782372</v>
      </c>
      <c r="G9" s="873"/>
    </row>
    <row r="10" spans="1:7" x14ac:dyDescent="0.2">
      <c r="A10" s="870" t="s">
        <v>519</v>
      </c>
      <c r="B10" s="871" t="s">
        <v>1986</v>
      </c>
      <c r="C10" s="872"/>
      <c r="D10" s="870" t="s">
        <v>521</v>
      </c>
      <c r="E10" s="869"/>
      <c r="F10" s="1935">
        <f>'Expenditures 15-22'!K174</f>
        <v>2245638</v>
      </c>
      <c r="G10" s="873"/>
    </row>
    <row r="11" spans="1:7" x14ac:dyDescent="0.2">
      <c r="A11" s="870" t="s">
        <v>480</v>
      </c>
      <c r="B11" s="871" t="s">
        <v>1987</v>
      </c>
      <c r="C11" s="872"/>
      <c r="D11" s="870" t="s">
        <v>521</v>
      </c>
      <c r="E11" s="869"/>
      <c r="F11" s="1935">
        <f>'Expenditures 15-22'!K210</f>
        <v>1217850</v>
      </c>
      <c r="G11" s="873"/>
    </row>
    <row r="12" spans="1:7" x14ac:dyDescent="0.2">
      <c r="A12" s="870" t="s">
        <v>481</v>
      </c>
      <c r="B12" s="871" t="s">
        <v>1988</v>
      </c>
      <c r="C12" s="872"/>
      <c r="D12" s="870" t="s">
        <v>521</v>
      </c>
      <c r="E12" s="869"/>
      <c r="F12" s="1935">
        <f>'Expenditures 15-22'!K295</f>
        <v>908438</v>
      </c>
      <c r="G12" s="873"/>
    </row>
    <row r="13" spans="1:7" x14ac:dyDescent="0.2">
      <c r="A13" s="870" t="s">
        <v>108</v>
      </c>
      <c r="B13" s="871" t="s">
        <v>1989</v>
      </c>
      <c r="C13" s="872"/>
      <c r="D13" s="870" t="s">
        <v>521</v>
      </c>
      <c r="E13" s="869"/>
      <c r="F13" s="1935">
        <f>'Expenditures 15-22'!K342</f>
        <v>617147</v>
      </c>
      <c r="G13" s="874"/>
    </row>
    <row r="14" spans="1:7" ht="12" customHeight="1" thickBot="1" x14ac:dyDescent="0.25">
      <c r="A14" s="1792"/>
      <c r="B14" s="1793"/>
      <c r="C14" s="1794"/>
      <c r="D14" s="1795" t="s">
        <v>521</v>
      </c>
      <c r="E14" s="1796" t="s">
        <v>1014</v>
      </c>
      <c r="F14" s="1797">
        <f>SUM(F8:F13)</f>
        <v>25585040</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270851</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6706</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77697</v>
      </c>
      <c r="G52" s="866"/>
    </row>
    <row r="53" spans="1:7" x14ac:dyDescent="0.2">
      <c r="A53" s="870" t="s">
        <v>478</v>
      </c>
      <c r="B53" s="870" t="s">
        <v>1550</v>
      </c>
      <c r="C53" s="890">
        <f>'Expenditures 15-22'!B102</f>
        <v>4000</v>
      </c>
      <c r="D53" s="889" t="str">
        <f>'Expenditures 15-22'!A102</f>
        <v>Total Payments to Other Govt Units</v>
      </c>
      <c r="E53" s="869"/>
      <c r="F53" s="1939">
        <f>'Expenditures 15-22'!K102</f>
        <v>33827</v>
      </c>
      <c r="G53" s="866"/>
    </row>
    <row r="54" spans="1:7" x14ac:dyDescent="0.2">
      <c r="A54" s="870" t="s">
        <v>478</v>
      </c>
      <c r="B54" s="870" t="s">
        <v>1551</v>
      </c>
      <c r="C54" s="890" t="s">
        <v>1038</v>
      </c>
      <c r="D54" s="886" t="s">
        <v>1156</v>
      </c>
      <c r="E54" s="869"/>
      <c r="F54" s="1939">
        <f>'Expenditures 15-22'!G114</f>
        <v>336120</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160374</v>
      </c>
      <c r="G58" s="866"/>
    </row>
    <row r="59" spans="1:7" x14ac:dyDescent="0.2">
      <c r="A59" s="894" t="s">
        <v>479</v>
      </c>
      <c r="B59" s="857" t="s">
        <v>1992</v>
      </c>
      <c r="C59" s="895" t="s">
        <v>1038</v>
      </c>
      <c r="D59" s="857" t="s">
        <v>308</v>
      </c>
      <c r="F59" s="1942">
        <f>'Expenditures 15-22'!I151</f>
        <v>0</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1441338</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212743</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23080</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0</v>
      </c>
      <c r="G70" s="866"/>
    </row>
    <row r="71" spans="1:8" x14ac:dyDescent="0.2">
      <c r="A71" s="870" t="s">
        <v>481</v>
      </c>
      <c r="B71" s="870" t="s">
        <v>2003</v>
      </c>
      <c r="C71" s="887">
        <f>'Expenditures 15-22'!B224</f>
        <v>1600</v>
      </c>
      <c r="D71" s="888" t="str">
        <f>'Expenditures 15-22'!A224</f>
        <v>Summer School Programs</v>
      </c>
      <c r="E71" s="869"/>
      <c r="F71" s="1939">
        <f>'Expenditures 15-22'!K224</f>
        <v>87</v>
      </c>
      <c r="G71" s="866"/>
    </row>
    <row r="72" spans="1:8" x14ac:dyDescent="0.2">
      <c r="A72" s="870" t="s">
        <v>481</v>
      </c>
      <c r="B72" s="870" t="s">
        <v>2004</v>
      </c>
      <c r="C72" s="887">
        <f>'Expenditures 15-22'!B280</f>
        <v>3000</v>
      </c>
      <c r="D72" s="877" t="s">
        <v>468</v>
      </c>
      <c r="E72" s="869"/>
      <c r="F72" s="1939">
        <f>'Expenditures 15-22'!K280</f>
        <v>0</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2562823</v>
      </c>
      <c r="G76" s="866"/>
    </row>
    <row r="77" spans="1:8" s="894" customFormat="1" ht="12" customHeight="1" thickTop="1" thickBot="1" x14ac:dyDescent="0.25">
      <c r="A77" s="1801"/>
      <c r="B77" s="1798"/>
      <c r="C77" s="1794"/>
      <c r="D77" s="1799" t="s">
        <v>2008</v>
      </c>
      <c r="E77" s="1796"/>
      <c r="F77" s="1802">
        <f>(F14-F76)</f>
        <v>23022217</v>
      </c>
      <c r="G77" s="870"/>
    </row>
    <row r="78" spans="1:8" s="894" customFormat="1" ht="12" customHeight="1" thickTop="1" x14ac:dyDescent="0.2">
      <c r="A78" s="1803"/>
      <c r="B78" s="1798"/>
      <c r="C78" s="1794"/>
      <c r="D78" s="1799" t="s">
        <v>2055</v>
      </c>
      <c r="E78" s="1796"/>
      <c r="F78" s="899">
        <v>1685.07</v>
      </c>
      <c r="G78" s="900"/>
      <c r="H78" s="870"/>
    </row>
    <row r="79" spans="1:8" s="894" customFormat="1" ht="12" customHeight="1" thickBot="1" x14ac:dyDescent="0.25">
      <c r="A79" s="1804"/>
      <c r="B79" s="1798"/>
      <c r="C79" s="1794"/>
      <c r="D79" s="1799" t="s">
        <v>2009</v>
      </c>
      <c r="E79" s="1796" t="s">
        <v>1014</v>
      </c>
      <c r="F79" s="1805">
        <f>IF(F78&gt;0,F77/F78," Complete Line 78")</f>
        <v>13662.469214928757</v>
      </c>
      <c r="G79" s="870"/>
    </row>
    <row r="80" spans="1:8" s="894" customFormat="1" ht="8.25" customHeight="1" thickTop="1" x14ac:dyDescent="0.2">
      <c r="A80" s="901"/>
      <c r="B80" s="870"/>
      <c r="C80" s="872"/>
      <c r="D80" s="902"/>
      <c r="E80" s="869"/>
      <c r="F80" s="903"/>
      <c r="G80" s="870"/>
    </row>
    <row r="81" spans="1:7" s="894" customFormat="1" ht="12" thickBot="1" x14ac:dyDescent="0.25">
      <c r="A81" s="2273" t="s">
        <v>1166</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1134</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64743</v>
      </c>
      <c r="G94" s="913"/>
    </row>
    <row r="95" spans="1:7" x14ac:dyDescent="0.2">
      <c r="A95" s="909" t="s">
        <v>142</v>
      </c>
      <c r="B95" s="909" t="s">
        <v>177</v>
      </c>
      <c r="C95" s="911">
        <v>1700</v>
      </c>
      <c r="D95" s="919" t="str">
        <f>'Revenues 9-14'!A82</f>
        <v>Total District/School Activity Income</v>
      </c>
      <c r="E95" s="907"/>
      <c r="F95" s="1811">
        <f>SUM('Revenues 9-14'!C82,'Revenues 9-14'!D82)</f>
        <v>83344</v>
      </c>
      <c r="G95" s="913"/>
    </row>
    <row r="96" spans="1:7" x14ac:dyDescent="0.2">
      <c r="A96" s="909" t="s">
        <v>478</v>
      </c>
      <c r="B96" s="909" t="s">
        <v>178</v>
      </c>
      <c r="C96" s="911">
        <f>'Revenues 9-14'!B84</f>
        <v>1811</v>
      </c>
      <c r="D96" s="912" t="str">
        <f>'Revenues 9-14'!A84</f>
        <v>Rentals - Regular Textbooks</v>
      </c>
      <c r="E96" s="907"/>
      <c r="F96" s="1811">
        <f>'Revenues 9-14'!C84</f>
        <v>0</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20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371008</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67141</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12320</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24763</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281372</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20519</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774001</v>
      </c>
      <c r="G129" s="931"/>
    </row>
    <row r="130" spans="1:7" x14ac:dyDescent="0.2">
      <c r="A130" s="928" t="s">
        <v>688</v>
      </c>
      <c r="B130" s="928" t="s">
        <v>803</v>
      </c>
      <c r="C130" s="933">
        <v>4300</v>
      </c>
      <c r="D130" s="934" t="str">
        <f>'Revenues 9-14'!A211</f>
        <v>Total Title I</v>
      </c>
      <c r="E130" s="907"/>
      <c r="F130" s="1811">
        <f>SUM('Revenues 9-14'!C211,'Revenues 9-14'!D211,'Revenues 9-14'!F211,'Revenues 9-14'!G211)</f>
        <v>511709</v>
      </c>
      <c r="G130" s="931"/>
    </row>
    <row r="131" spans="1:7" x14ac:dyDescent="0.2">
      <c r="A131" s="928" t="s">
        <v>688</v>
      </c>
      <c r="B131" s="928" t="s">
        <v>804</v>
      </c>
      <c r="C131" s="933">
        <v>4400</v>
      </c>
      <c r="D131" s="934" t="str">
        <f>'Revenues 9-14'!A216</f>
        <v>Total Title IV</v>
      </c>
      <c r="E131" s="907"/>
      <c r="F131" s="1811">
        <f>SUM('Revenues 9-14'!C216,'Revenues 9-14'!D216,'Revenues 9-14'!F216,'Revenues 9-14'!G216)</f>
        <v>14195</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391055</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32934</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67424</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31899</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96863</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2846444</v>
      </c>
    </row>
    <row r="179" spans="1:7" ht="12" customHeight="1" x14ac:dyDescent="0.2">
      <c r="A179" s="1792"/>
      <c r="B179" s="1806"/>
      <c r="C179" s="1807"/>
      <c r="D179" s="1808" t="s">
        <v>2011</v>
      </c>
      <c r="E179" s="1809"/>
      <c r="F179" s="1811">
        <f>'PCTC-OEPP 27-28'!F77-F178</f>
        <v>20175773</v>
      </c>
    </row>
    <row r="180" spans="1:7" ht="12" customHeight="1" x14ac:dyDescent="0.2">
      <c r="A180" s="1792"/>
      <c r="B180" s="1806"/>
      <c r="C180" s="1807"/>
      <c r="D180" s="1808" t="s">
        <v>1920</v>
      </c>
      <c r="E180" s="1809"/>
      <c r="F180" s="1811">
        <f>'Cap Outlay Deprec 26'!I18</f>
        <v>1777039</v>
      </c>
    </row>
    <row r="181" spans="1:7" ht="12" customHeight="1" x14ac:dyDescent="0.2">
      <c r="A181" s="1792"/>
      <c r="B181" s="1806"/>
      <c r="C181" s="1807"/>
      <c r="D181" s="1808" t="s">
        <v>2012</v>
      </c>
      <c r="E181" s="1809"/>
      <c r="F181" s="1811">
        <f>F179+F180</f>
        <v>21952812</v>
      </c>
    </row>
    <row r="182" spans="1:7" ht="12" customHeight="1" x14ac:dyDescent="0.2">
      <c r="A182" s="1792"/>
      <c r="B182" s="1812"/>
      <c r="C182" s="1807"/>
      <c r="D182" s="1808" t="str">
        <f>D78</f>
        <v>9 Month ADA from District Average Daily Attendance/Prior General State Aid Inquiry 2017-2018</v>
      </c>
      <c r="E182" s="1809"/>
      <c r="F182" s="1813">
        <f>'PCTC-OEPP 27-28'!F78</f>
        <v>1685.07</v>
      </c>
      <c r="G182" s="931"/>
    </row>
    <row r="183" spans="1:7" ht="12" customHeight="1" thickBot="1" x14ac:dyDescent="0.25">
      <c r="A183" s="1792"/>
      <c r="B183" s="1812"/>
      <c r="C183" s="1807"/>
      <c r="D183" s="1808" t="s">
        <v>2013</v>
      </c>
      <c r="E183" s="1809" t="s">
        <v>1625</v>
      </c>
      <c r="F183" s="1814">
        <f>F181/F182</f>
        <v>13027.833858534068</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41DB9079-7F95-4228-8A4A-E6D48377DB38}" scale="110" colorId="8" showGridLines="0" printArea="1" hiddenRows="1">
      <pane ySplit="5" topLeftCell="A57" activePane="bottomLeft" state="frozen"/>
      <selection pane="bottomLeft" activeCell="F79" sqref="F79"/>
      <rowBreaks count="1" manualBreakCount="1">
        <brk id="80" max="16383" man="1"/>
      </rowBreaks>
      <pageMargins left="0.75" right="0.75" top="1" bottom="0.5" header="0.5" footer="0.5"/>
      <printOptions horizontalCentered="1"/>
      <pageSetup scale="65" firstPageNumber="27" orientation="portrait" r:id="rId1"/>
      <headerFooter>
        <oddHeader>&amp;C&amp;"Times New Roman,Regular"ROXANA COMMUNITY UNIT SCHOOL DISTRICT NO. 1
ESTIMATED OPERATING EXPENSE PER PUPIL/PER CAPITA TUITION CHARGE COMPUTATIONS
FOR THE YEAR ENDED JUNE 30, 2018</oddHeader>
        <oddFooter>&amp;C&amp;"Times New Roman,Regular"See Independent Auditor's Reports
&amp;P</oddFooter>
      </headerFooter>
    </customSheetView>
    <customSheetView guid="{D71D2A76-4AD5-4124-819F-51F94C4C53C9}" scale="110" colorId="8" showGridLines="0" hiddenRows="1">
      <pane ySplit="5" topLeftCell="A57" activePane="bottomLeft" state="frozen"/>
      <selection pane="bottomLeft" activeCell="F79" sqref="F79"/>
      <rowBreaks count="1" manualBreakCount="1">
        <brk id="80" max="16383" man="1"/>
      </rowBreaks>
      <pageMargins left="0.75" right="0.75" top="1" bottom="0.5" header="0.5" footer="0.5"/>
      <printOptions horizontalCentered="1"/>
      <pageSetup scale="65" firstPageNumber="27" orientation="portrait" r:id="rId2"/>
      <headerFooter>
        <oddHeader>&amp;C&amp;"Times New Roman,Regular"ROXANA COMMUNITY UNIT SCHOOL DISTRICT NO. 1
ESTIMATED OPERATING EXPENSE PER PUPIL/PER CAPITA TUITION CHARGE COMPUTATIONS
FOR THE YEAR ENDED JUNE 30, 2018</oddHeader>
        <oddFooter>&amp;C&amp;"Times New Roman,Regular"See Independent Auditor's Reports
&amp;P</oddFooter>
      </headerFooter>
    </customSheetView>
  </customSheetViews>
  <mergeCells count="5">
    <mergeCell ref="A6:F6"/>
    <mergeCell ref="A1:F1"/>
    <mergeCell ref="A81:F81"/>
    <mergeCell ref="A2:F2"/>
    <mergeCell ref="A5:F5"/>
  </mergeCells>
  <phoneticPr fontId="12" type="noConversion"/>
  <hyperlinks>
    <hyperlink ref="B189" r:id="rId3"/>
  </hyperlinks>
  <printOptions horizontalCentered="1"/>
  <pageMargins left="0.75" right="0.75" top="1" bottom="0.5" header="0.5" footer="0.5"/>
  <pageSetup scale="65" firstPageNumber="27" orientation="portrait" r:id="rId4"/>
  <headerFooter>
    <oddHeader>&amp;C&amp;"Times New Roman,Regular"ROXANA COMMUNITY UNIT SCHOOL DISTRICT NO. 1
ESTIMATED OPERATING EXPENSE PER PUPIL/PER CAPITA TUITION CHARGE COMPUTATIONS
FOR THE YEAR ENDED JUNE 30, 2018</oddHeader>
    <oddFooter>&amp;C&amp;"Times New Roman,Regular"See Independent Auditor's Reports
&amp;P</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1"/>
  <sheetViews>
    <sheetView showGridLines="0" zoomScaleNormal="100" workbookViewId="0">
      <pane ySplit="16" topLeftCell="A17" activePane="bottomLeft" state="frozen"/>
      <selection activeCell="AF38" sqref="AF38"/>
      <selection pane="bottomLeft" activeCell="A128" sqref="A12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7" t="s">
        <v>1921</v>
      </c>
      <c r="B4" s="2288"/>
      <c r="C4" s="2288"/>
      <c r="D4" s="2288"/>
      <c r="E4" s="2288"/>
      <c r="F4" s="2288"/>
      <c r="G4" s="2289"/>
    </row>
    <row r="5" spans="1:7" x14ac:dyDescent="0.25">
      <c r="A5" s="2290"/>
      <c r="B5" s="2291"/>
      <c r="C5" s="2291"/>
      <c r="D5" s="2291"/>
      <c r="E5" s="2291"/>
      <c r="F5" s="2291"/>
      <c r="G5" s="2292"/>
    </row>
    <row r="6" spans="1:7" ht="18.75" x14ac:dyDescent="0.25">
      <c r="A6" s="1556" t="s">
        <v>1922</v>
      </c>
      <c r="B6" s="1557"/>
      <c r="C6" s="1557"/>
      <c r="D6" s="1557"/>
      <c r="E6" s="1557"/>
      <c r="F6" s="1557"/>
      <c r="G6" s="1558"/>
    </row>
    <row r="7" spans="1:7" ht="30.75" customHeight="1" x14ac:dyDescent="0.25">
      <c r="A7" s="2293" t="s">
        <v>2071</v>
      </c>
      <c r="B7" s="2294"/>
      <c r="C7" s="2294"/>
      <c r="D7" s="2294"/>
      <c r="E7" s="2294"/>
      <c r="F7" s="2294"/>
      <c r="G7" s="2295"/>
    </row>
    <row r="8" spans="1:7" ht="15.75" customHeight="1" x14ac:dyDescent="0.25">
      <c r="A8" s="2296" t="s">
        <v>2020</v>
      </c>
      <c r="B8" s="2297"/>
      <c r="C8" s="2297"/>
      <c r="D8" s="2297"/>
      <c r="E8" s="2297"/>
      <c r="F8" s="2297"/>
      <c r="G8" s="2298"/>
    </row>
    <row r="9" spans="1:7" ht="35.25" customHeight="1" x14ac:dyDescent="0.25">
      <c r="A9" s="2293" t="s">
        <v>2019</v>
      </c>
      <c r="B9" s="2294"/>
      <c r="C9" s="2294"/>
      <c r="D9" s="2294"/>
      <c r="E9" s="2294"/>
      <c r="F9" s="2294"/>
      <c r="G9" s="2295"/>
    </row>
    <row r="10" spans="1:7" ht="15" customHeight="1" x14ac:dyDescent="0.25">
      <c r="A10" s="1559" t="s">
        <v>1923</v>
      </c>
      <c r="B10" s="1560"/>
      <c r="C10" s="1560"/>
      <c r="D10" s="1560"/>
      <c r="E10" s="1560"/>
      <c r="F10" s="1560"/>
      <c r="G10" s="1561"/>
    </row>
    <row r="11" spans="1:7" ht="17.25" customHeight="1" x14ac:dyDescent="0.25">
      <c r="A11" s="2293" t="s">
        <v>1937</v>
      </c>
      <c r="B11" s="2294"/>
      <c r="C11" s="2294"/>
      <c r="D11" s="2294"/>
      <c r="E11" s="2294"/>
      <c r="F11" s="2294"/>
      <c r="G11" s="2295"/>
    </row>
    <row r="12" spans="1:7" ht="15" customHeight="1" x14ac:dyDescent="0.25">
      <c r="A12" s="1559" t="s">
        <v>1928</v>
      </c>
      <c r="B12" s="1560"/>
      <c r="C12" s="1560"/>
      <c r="D12" s="1560"/>
      <c r="E12" s="1560"/>
      <c r="F12" s="1560"/>
      <c r="G12" s="1561"/>
    </row>
    <row r="13" spans="1:7" ht="32.25" customHeight="1" x14ac:dyDescent="0.25">
      <c r="A13" s="2284" t="s">
        <v>1929</v>
      </c>
      <c r="B13" s="2285"/>
      <c r="C13" s="2285"/>
      <c r="D13" s="2285"/>
      <c r="E13" s="2285"/>
      <c r="F13" s="2285"/>
      <c r="G13" s="2286"/>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677"/>
      <c r="B17" s="1957" t="s">
        <v>2091</v>
      </c>
      <c r="C17" s="1956" t="s">
        <v>2092</v>
      </c>
      <c r="D17" s="1867">
        <v>1</v>
      </c>
      <c r="E17" s="1562">
        <f t="shared" ref="E17:E141" si="1">IF(D17&lt;=25000,D17,IF(D17&gt;25000,25000,0))</f>
        <v>1</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860"/>
      <c r="C64" s="1956"/>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860"/>
      <c r="C127" s="195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v>
      </c>
      <c r="E141" s="1563">
        <f t="shared" si="1"/>
        <v>1</v>
      </c>
      <c r="F141" s="1817">
        <f>SUM(F17:F140)</f>
        <v>0</v>
      </c>
      <c r="G141" s="1818">
        <f>SUM(G17:G140)</f>
        <v>0</v>
      </c>
    </row>
  </sheetData>
  <sheetProtection sheet="1" selectLockedCells="1"/>
  <customSheetViews>
    <customSheetView guid="{41DB9079-7F95-4228-8A4A-E6D48377DB38}" scale="60" showPageBreaks="1" showGridLines="0" hiddenColumns="1" view="pageBreakPreview">
      <pane ySplit="16" topLeftCell="A17" activePane="bottomLeft" state="frozen"/>
      <selection pane="bottomLeft" activeCell="A128" sqref="A128"/>
      <rowBreaks count="1" manualBreakCount="1">
        <brk id="72" max="16383" man="1"/>
      </rowBreaks>
      <pageMargins left="0.75" right="0.75" top="1.1000000000000001" bottom="0.5" header="0.5" footer="0.5"/>
      <printOptions horizontalCentered="1"/>
      <pageSetup scale="54" firstPageNumber="69" fitToHeight="0" orientation="portrait" r:id="rId1"/>
      <headerFooter>
        <oddHeader>&amp;C&amp;"Times New Roman,Regular"ROXANA COMMUNITY UNIT SCHOOL DISTRICT NO. 1
CURRENT YEAR PAYMENT ON CONTRACTS FOR INDIRECT COST RATE COMPUTATION
FOR THE YEAR ENDED JUNE 30, 2018</oddHeader>
        <oddFooter>&amp;C&amp;"Times New Roman,Regular"See Independent Auditor's Reports
&amp;P</oddFooter>
      </headerFooter>
    </customSheetView>
    <customSheetView guid="{D71D2A76-4AD5-4124-819F-51F94C4C53C9}" scale="60" showPageBreaks="1" showGridLines="0" hiddenColumns="1" view="pageBreakPreview">
      <pane ySplit="16" topLeftCell="A17" activePane="bottomLeft" state="frozen"/>
      <selection pane="bottomLeft" activeCell="A128" sqref="A128"/>
      <rowBreaks count="1" manualBreakCount="1">
        <brk id="72" max="16383" man="1"/>
      </rowBreaks>
      <pageMargins left="0.75" right="0.75" top="1.1000000000000001" bottom="0.5" header="0.5" footer="0.5"/>
      <printOptions horizontalCentered="1"/>
      <pageSetup scale="54" firstPageNumber="69" fitToHeight="0" orientation="portrait" r:id="rId2"/>
      <headerFooter>
        <oddHeader>&amp;C&amp;"Times New Roman,Regular"ROXANA COMMUNITY UNIT SCHOOL DISTRICT NO. 1
CURRENT YEAR PAYMENT ON CONTRACTS FOR INDIRECT COST RATE COMPUTATION
FOR THE YEAR ENDED JUNE 30, 2018</oddHeader>
        <oddFooter>&amp;C&amp;"Times New Roman,Regular"See Independent Auditor's Reports
&amp;P</oddFooter>
      </headerFooter>
    </customSheetView>
  </customSheetViews>
  <mergeCells count="6">
    <mergeCell ref="A13:G13"/>
    <mergeCell ref="A4:G5"/>
    <mergeCell ref="A11:G11"/>
    <mergeCell ref="A7:G7"/>
    <mergeCell ref="A8:G8"/>
    <mergeCell ref="A9:G9"/>
  </mergeCells>
  <printOptions horizontalCentered="1"/>
  <pageMargins left="0.75" right="0.75" top="1.1000000000000001" bottom="0.5" header="0.5" footer="0.5"/>
  <pageSetup scale="54" firstPageNumber="69" fitToHeight="0" orientation="portrait" r:id="rId3"/>
  <headerFooter>
    <oddHeader>&amp;C&amp;"Times New Roman,Regular"ROXANA COMMUNITY UNIT SCHOOL DISTRICT NO. 1
CURRENT YEAR PAYMENT ON CONTRACTS FOR INDIRECT COST RATE COMPUTATION
FOR THE YEAR ENDED JUNE 30, 2018</oddHeader>
    <oddFooter>&amp;C&amp;"Times New Roman,Regular"See Independent Auditor's Reports
&amp;P</oddFooter>
  </headerFooter>
  <rowBreaks count="1" manualBreakCount="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423826</v>
      </c>
      <c r="F10" s="975"/>
      <c r="G10" s="976"/>
      <c r="H10" s="162"/>
      <c r="I10" s="162"/>
    </row>
    <row r="11" spans="1:9" s="669" customFormat="1" ht="22.5" customHeight="1" x14ac:dyDescent="0.2">
      <c r="A11" s="2304" t="s">
        <v>1941</v>
      </c>
      <c r="B11" s="2305"/>
      <c r="C11" s="2305"/>
      <c r="D11" s="2306"/>
      <c r="E11" s="978">
        <v>98607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12468359</v>
      </c>
      <c r="F19" s="1822"/>
      <c r="G19" s="1824">
        <f>'Expenditures 15-22'!K33-SUM('Expenditures 15-22'!G33,'Expenditures 15-22'!I33)+'Expenditures 15-22'!D229</f>
        <v>12468359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1210035</v>
      </c>
      <c r="F21" s="1825"/>
      <c r="G21" s="1828">
        <f>'Expenditures 15-22'!K42-SUM('Expenditures 15-22'!G42,'Expenditures 15-22'!I42)+'Expenditures 15-22'!K120-SUM('Expenditures 15-22'!G120,'Expenditures 15-22'!I120)+'Expenditures 15-22'!K180-SUM('Expenditures 15-22'!G180,'Expenditures 15-22'!I180)+'Expenditures 15-22'!D238</f>
        <v>1210035</v>
      </c>
      <c r="H21" s="988"/>
      <c r="I21" s="162"/>
    </row>
    <row r="22" spans="1:9" s="669" customFormat="1" ht="12" customHeight="1" x14ac:dyDescent="0.2">
      <c r="A22" s="995" t="s">
        <v>584</v>
      </c>
      <c r="B22" s="996"/>
      <c r="C22" s="994">
        <v>2200</v>
      </c>
      <c r="D22" s="1825"/>
      <c r="E22" s="1827">
        <f>'Expenditures 15-22'!K47-SUM('Expenditures 15-22'!G47,'Expenditures 15-22'!I47)+'Expenditures 15-22'!D243</f>
        <v>671494</v>
      </c>
      <c r="F22" s="1825"/>
      <c r="G22" s="1828">
        <f>'Expenditures 15-22'!K47-SUM('Expenditures 15-22'!G47,'Expenditures 15-22'!I47)+'Expenditures 15-22'!D243</f>
        <v>671494</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1142554</v>
      </c>
      <c r="F23" s="1825"/>
      <c r="G23" s="1827">
        <f>'Expenditures 15-22'!K53-SUM('Expenditures 15-22'!G53,'Expenditures 15-22'!I53)+'Expenditures 15-22'!D257+'Expenditures 15-22'!K330-SUM('Expenditures 15-22'!G330,'Expenditures 15-22'!I330)</f>
        <v>1142554</v>
      </c>
      <c r="H23" s="988"/>
      <c r="I23" s="162"/>
    </row>
    <row r="24" spans="1:9" s="669" customFormat="1" ht="12" customHeight="1" x14ac:dyDescent="0.2">
      <c r="A24" s="995" t="s">
        <v>586</v>
      </c>
      <c r="B24" s="996"/>
      <c r="C24" s="994">
        <v>2400</v>
      </c>
      <c r="D24" s="1825"/>
      <c r="E24" s="1827">
        <f>'Expenditures 15-22'!K57-SUM('Expenditures 15-22'!G57,'Expenditures 15-22'!I57)+'Expenditures 15-22'!D261</f>
        <v>1008741</v>
      </c>
      <c r="F24" s="1825"/>
      <c r="G24" s="1828">
        <f>'Expenditures 15-22'!K57-SUM('Expenditures 15-22'!G57,'Expenditures 15-22'!I57)+'Expenditures 15-22'!D261</f>
        <v>1008741</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382302</v>
      </c>
      <c r="E27" s="1827">
        <f>E8</f>
        <v>0</v>
      </c>
      <c r="F27" s="1827">
        <f>'Expenditures 15-22'!K60-SUM('Expenditures 15-22'!G60,'Expenditures 15-22'!I60)+'Expenditures 15-22'!D264-E8</f>
        <v>382302</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2815341</v>
      </c>
      <c r="F28" s="1829">
        <f>'Expenditures 15-22'!K61-SUM('Expenditures 15-22'!G61,'Expenditures 15-22'!I61)+'Expenditures 15-22'!K124-SUM('Expenditures 15-22'!G124,'Expenditures 15-22'!I124)+'Expenditures 15-22'!D266-E9</f>
        <v>2815341</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1134673</v>
      </c>
      <c r="F29" s="1825"/>
      <c r="G29" s="1828">
        <f>'Expenditures 15-22'!K62-SUM('Expenditures 15-22'!G62,'Expenditures 15-22'!I62)+'Expenditures 15-22'!K125-SUM('Expenditures 15-22'!G125,'Expenditures 15-22'!I125)+'Expenditures 15-22'!K182-SUM('Expenditures 15-22'!G182,'Expenditures 15-22'!I182)+'Expenditures 15-22'!D267</f>
        <v>1134673</v>
      </c>
      <c r="H29" s="986"/>
    </row>
    <row r="30" spans="1:9" ht="12" customHeight="1" x14ac:dyDescent="0.2">
      <c r="A30" s="995" t="s">
        <v>102</v>
      </c>
      <c r="B30" s="998"/>
      <c r="C30" s="994">
        <v>2560</v>
      </c>
      <c r="D30" s="1825"/>
      <c r="E30" s="1827">
        <f>'Expenditures 15-22'!K63-SUM('Expenditures 15-22'!G63,'Expenditures 15-22'!I63)+'Expenditures 15-22'!D268-E10</f>
        <v>639339</v>
      </c>
      <c r="F30" s="1825"/>
      <c r="G30" s="1827">
        <f>'Expenditures 15-22'!K63-SUM('Expenditures 15-22'!G63,'Expenditures 15-22'!I63)+'Expenditures 15-22'!D268-E10</f>
        <v>639339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493226</v>
      </c>
      <c r="E37" s="1827">
        <f>E14</f>
        <v>0</v>
      </c>
      <c r="F37" s="1827">
        <f>'Expenditures 15-22'!K71-SUM('Expenditures 15-22'!G71,'Expenditures 15-22'!I71)+'Expenditures 15-22'!D276-E14</f>
        <v>493226</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12390</v>
      </c>
      <c r="F38" s="1825"/>
      <c r="G38" s="1827">
        <f>'Expenditures 15-22'!K73-SUM('Expenditures 15-22'!G73,'Expenditures 15-22'!I73)+'Expenditures 15-22'!K128-SUM('Expenditures 15-22'!G128,'Expenditures 15-22'!I128)+'Expenditures 15-22'!K183-SUM('Expenditures 15-22'!G183,'Expenditures 15-22'!I183)+'Expenditures 15-22'!D278</f>
        <v>12390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77697</v>
      </c>
      <c r="F39" s="1825"/>
      <c r="G39" s="1827">
        <f>'Expenditures 15-22'!K75-SUM('Expenditures 15-22'!G75,'Expenditures 15-22'!I75)+'Expenditures 15-22'!K130-SUM('Expenditures 15-22'!G130,'Expenditures 15-22'!I130)+'Expenditures 15-22'!K185-SUM('Expenditures 15-22'!G185,'Expenditures 15-22'!I185)+'Expenditures 15-22'!D280</f>
        <v>77697</v>
      </c>
    </row>
    <row r="40" spans="1:7" ht="12" customHeight="1" x14ac:dyDescent="0.2">
      <c r="A40" s="991" t="s">
        <v>1926</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875528</v>
      </c>
      <c r="E41" s="1829">
        <f>SUM(E19:E40)</f>
        <v>21180623</v>
      </c>
      <c r="F41" s="1829">
        <f>SUM(F19:F39)</f>
        <v>3690869</v>
      </c>
      <c r="G41" s="1829">
        <f>SUM(G19:G40)</f>
        <v>18365282</v>
      </c>
    </row>
    <row r="42" spans="1:7" x14ac:dyDescent="0.2">
      <c r="A42" s="988"/>
      <c r="B42" s="162"/>
      <c r="C42" s="1002"/>
      <c r="D42" s="2302" t="s">
        <v>542</v>
      </c>
      <c r="E42" s="2303"/>
      <c r="F42" s="1003" t="s">
        <v>543</v>
      </c>
      <c r="G42" s="1004"/>
    </row>
    <row r="43" spans="1:7" ht="12" customHeight="1" x14ac:dyDescent="0.2">
      <c r="A43" s="988"/>
      <c r="B43" s="162"/>
      <c r="C43" s="1002"/>
      <c r="D43" s="1830" t="s">
        <v>492</v>
      </c>
      <c r="E43" s="1831">
        <f>D41</f>
        <v>875528</v>
      </c>
      <c r="F43" s="1830" t="s">
        <v>494</v>
      </c>
      <c r="G43" s="1831">
        <f>F41</f>
        <v>3690869</v>
      </c>
    </row>
    <row r="44" spans="1:7" ht="12" customHeight="1" x14ac:dyDescent="0.2">
      <c r="A44" s="988"/>
      <c r="B44" s="162"/>
      <c r="C44" s="1002"/>
      <c r="D44" s="1830" t="s">
        <v>493</v>
      </c>
      <c r="E44" s="1831">
        <f>E41</f>
        <v>21180623</v>
      </c>
      <c r="F44" s="1830" t="s">
        <v>493</v>
      </c>
      <c r="G44" s="1831">
        <f>G41</f>
        <v>18365282</v>
      </c>
    </row>
    <row r="45" spans="1:7" ht="12" customHeight="1" x14ac:dyDescent="0.2">
      <c r="A45" s="988"/>
      <c r="B45" s="162"/>
      <c r="C45" s="162"/>
      <c r="D45" s="1832" t="s">
        <v>1062</v>
      </c>
      <c r="E45" s="1833">
        <f>(E43/E44)</f>
        <v>4.1336272308892898E-2</v>
      </c>
      <c r="F45" s="1832" t="s">
        <v>1062</v>
      </c>
      <c r="G45" s="1833">
        <f>(G43/G44)</f>
        <v>0.20096990615227145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41DB9079-7F95-4228-8A4A-E6D48377DB38}" scale="110" colorId="8" showGridLines="0" printArea="1">
      <selection activeCell="E11" sqref="E11"/>
      <pageMargins left="0.75" right="0.75" top="1" bottom="0.5" header="0.5" footer="0.5"/>
      <printOptions horizontalCentered="1"/>
      <pageSetup scale="77" firstPageNumber="30" orientation="landscape" r:id="rId1"/>
      <headerFooter>
        <oddHeader>&amp;C&amp;"Times New Roman,Regular"ROXANA COMMUNITY UNIT SCHOOL DISTRICT NO. 1
ESTIMATED INDIRECT COST RATE DATA
FOR THE YEAR ENDED JUNE 30, 2018</oddHeader>
        <oddFooter>&amp;C&amp;"Times New Roman,Regular"See Independent Auditor's Reports
&amp;P</oddFooter>
      </headerFooter>
    </customSheetView>
    <customSheetView guid="{D71D2A76-4AD5-4124-819F-51F94C4C53C9}" scale="110" colorId="8" showGridLines="0">
      <selection activeCell="E11" sqref="E11"/>
      <pageMargins left="0.75" right="0.75" top="1" bottom="0.5" header="0.5" footer="0.5"/>
      <printOptions horizontalCentered="1"/>
      <pageSetup scale="77" firstPageNumber="30" orientation="landscape" r:id="rId2"/>
      <headerFooter>
        <oddHeader>&amp;C&amp;"Times New Roman,Regular"ROXANA COMMUNITY UNIT SCHOOL DISTRICT NO. 1
ESTIMATED INDIRECT COST RATE DATA
FOR THE YEAR ENDED JUNE 30, 2018</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3"/>
  <headerFooter>
    <oddHeader>&amp;C&amp;"Times New Roman,Regular"ROXANA COMMUNITY UNIT SCHOOL DISTRICT NO. 1
ESTIMATED INDIRECT COST RATE DATA
FOR THE YEAR ENDED JUNE 30, 2018</oddHeader>
    <oddFooter>&amp;C&amp;"Times New Roman,Regular"See Independent Auditor's Reports
&amp;P</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topLeftCell="B1" zoomScale="110" zoomScaleNormal="110" workbookViewId="0">
      <pane ySplit="4" topLeftCell="A5" activePane="bottomLeft" state="frozen"/>
      <selection activeCell="AF38" sqref="AF38"/>
      <selection pane="bottomLeft" activeCell="K13" sqref="K1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0" t="s">
        <v>1445</v>
      </c>
      <c r="B1" s="2310"/>
      <c r="C1" s="2310"/>
      <c r="D1" s="2310"/>
      <c r="E1" s="2310"/>
      <c r="F1" s="2310"/>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1" t="s">
        <v>1626</v>
      </c>
      <c r="B5" s="2312"/>
      <c r="C5" s="2313"/>
      <c r="D5" s="2313"/>
      <c r="E5" s="2313"/>
      <c r="F5" s="2313"/>
    </row>
    <row r="6" spans="1:10" ht="12" customHeight="1" x14ac:dyDescent="0.25">
      <c r="A6" s="1875"/>
      <c r="B6" s="1876"/>
      <c r="C6" s="2314" t="str">
        <f>COVER!A17</f>
        <v>Roxana CUSD 1</v>
      </c>
      <c r="D6" s="2314"/>
      <c r="E6" s="2314"/>
      <c r="F6" s="1877"/>
    </row>
    <row r="7" spans="1:10" ht="11.25" customHeight="1" thickBot="1" x14ac:dyDescent="0.3">
      <c r="A7" s="1875"/>
      <c r="B7" s="1876"/>
      <c r="C7" s="2315">
        <f>COVER!A13</f>
        <v>41057001026</v>
      </c>
      <c r="D7" s="2315"/>
      <c r="E7" s="2315"/>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t="s">
        <v>2073</v>
      </c>
      <c r="D15" s="1890" t="s">
        <v>2073</v>
      </c>
      <c r="E15" s="1893" t="s">
        <v>2073</v>
      </c>
      <c r="F15" s="1892" t="s">
        <v>2087</v>
      </c>
      <c r="H15" s="1903">
        <f t="shared" si="0"/>
        <v>5</v>
      </c>
      <c r="I15" s="1903">
        <f t="shared" si="1"/>
        <v>5</v>
      </c>
      <c r="J15" s="1903">
        <f t="shared" si="2"/>
        <v>5</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2073</v>
      </c>
      <c r="D19" s="1890" t="s">
        <v>2073</v>
      </c>
      <c r="E19" s="1893" t="s">
        <v>2073</v>
      </c>
      <c r="F19" s="1892" t="s">
        <v>2088</v>
      </c>
      <c r="H19" s="1903">
        <f t="shared" si="0"/>
        <v>5</v>
      </c>
      <c r="I19" s="1903">
        <f t="shared" si="1"/>
        <v>5</v>
      </c>
      <c r="J19" s="1903">
        <f t="shared" si="2"/>
        <v>5</v>
      </c>
    </row>
    <row r="20" spans="1:12" ht="12" customHeight="1" x14ac:dyDescent="0.2">
      <c r="A20" s="1888" t="s">
        <v>1608</v>
      </c>
      <c r="B20" s="1889"/>
      <c r="C20" s="1890" t="s">
        <v>2073</v>
      </c>
      <c r="D20" s="1890" t="s">
        <v>2073</v>
      </c>
      <c r="E20" s="1893" t="s">
        <v>2073</v>
      </c>
      <c r="F20" s="1892" t="s">
        <v>2089</v>
      </c>
      <c r="H20" s="1903">
        <f t="shared" si="0"/>
        <v>5</v>
      </c>
      <c r="I20" s="1903">
        <f t="shared" si="1"/>
        <v>5</v>
      </c>
      <c r="J20" s="1903">
        <f t="shared" si="2"/>
        <v>5</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c r="D26" s="1890"/>
      <c r="E26" s="1893"/>
      <c r="F26" s="1892"/>
      <c r="H26" s="1903">
        <f t="shared" si="0"/>
        <v>0</v>
      </c>
      <c r="I26" s="1903">
        <f t="shared" si="1"/>
        <v>0</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t="s">
        <v>2073</v>
      </c>
      <c r="D28" s="1890" t="s">
        <v>2073</v>
      </c>
      <c r="E28" s="1893" t="s">
        <v>2073</v>
      </c>
      <c r="F28" s="1892" t="s">
        <v>2090</v>
      </c>
      <c r="H28" s="1903">
        <f t="shared" si="0"/>
        <v>5</v>
      </c>
      <c r="I28" s="1903">
        <f t="shared" si="1"/>
        <v>5</v>
      </c>
      <c r="J28" s="1903">
        <f t="shared" si="2"/>
        <v>5</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t="s">
        <v>2073</v>
      </c>
      <c r="D30" s="1890" t="s">
        <v>2073</v>
      </c>
      <c r="E30" s="1893" t="s">
        <v>2073</v>
      </c>
      <c r="F30" s="1892" t="s">
        <v>2148</v>
      </c>
      <c r="H30" s="1903">
        <f t="shared" si="0"/>
        <v>5</v>
      </c>
      <c r="I30" s="1903">
        <f t="shared" si="1"/>
        <v>5</v>
      </c>
      <c r="J30" s="1903">
        <f t="shared" si="2"/>
        <v>5</v>
      </c>
    </row>
    <row r="31" spans="1:12" ht="12" customHeight="1" x14ac:dyDescent="0.2">
      <c r="A31" s="1888" t="s">
        <v>1619</v>
      </c>
      <c r="B31" s="1889"/>
      <c r="C31" s="1890"/>
      <c r="D31" s="1890"/>
      <c r="E31" s="1893"/>
      <c r="F31" s="1892"/>
      <c r="H31" s="1903">
        <f t="shared" si="0"/>
        <v>0</v>
      </c>
      <c r="I31" s="1903">
        <f t="shared" si="1"/>
        <v>0</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25</v>
      </c>
      <c r="K34" s="1903">
        <f>SUM(H34:J34)</f>
        <v>75</v>
      </c>
    </row>
    <row r="35" spans="1:11" ht="12" customHeight="1" x14ac:dyDescent="0.2">
      <c r="A35" s="1896" t="s">
        <v>1458</v>
      </c>
      <c r="B35" s="1897"/>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8"/>
      <c r="B39" s="1898"/>
      <c r="C39" s="1898"/>
      <c r="D39" s="1898"/>
      <c r="E39" s="1898"/>
      <c r="F39" s="1898"/>
    </row>
    <row r="40" spans="1:11" s="1895" customFormat="1" ht="12" customHeight="1" x14ac:dyDescent="0.25">
      <c r="A40" s="1899" t="s">
        <v>1457</v>
      </c>
      <c r="B40" s="1900"/>
      <c r="C40" s="2324"/>
      <c r="D40" s="2324"/>
      <c r="E40" s="2324"/>
      <c r="F40" s="2325"/>
      <c r="H40" s="1904"/>
      <c r="I40" s="1904"/>
      <c r="J40" s="1904"/>
      <c r="K40" s="1904"/>
    </row>
    <row r="41" spans="1:11" s="1895" customFormat="1" ht="12" customHeight="1" x14ac:dyDescent="0.25">
      <c r="A41" s="2326"/>
      <c r="B41" s="2327"/>
      <c r="C41" s="2327"/>
      <c r="D41" s="2327"/>
      <c r="E41" s="2327"/>
      <c r="F41" s="2328"/>
      <c r="H41" s="1904"/>
      <c r="I41" s="1904"/>
      <c r="J41" s="1904"/>
      <c r="K41" s="1904"/>
    </row>
    <row r="42" spans="1:11" s="1895" customFormat="1" ht="12" customHeight="1" x14ac:dyDescent="0.25">
      <c r="A42" s="2326"/>
      <c r="B42" s="2327"/>
      <c r="C42" s="2327"/>
      <c r="D42" s="2327"/>
      <c r="E42" s="2327"/>
      <c r="F42" s="2328"/>
      <c r="H42" s="1904"/>
      <c r="I42" s="1904"/>
      <c r="J42" s="1904"/>
      <c r="K42" s="1904"/>
    </row>
    <row r="43" spans="1:11" s="1895" customFormat="1" ht="15" x14ac:dyDescent="0.25">
      <c r="A43" s="2318"/>
      <c r="B43" s="2319"/>
      <c r="C43" s="2319"/>
      <c r="D43" s="2319"/>
      <c r="E43" s="2319"/>
      <c r="F43" s="2320"/>
      <c r="H43" s="1904"/>
      <c r="I43" s="1904"/>
      <c r="J43" s="1904"/>
      <c r="K43" s="1904"/>
    </row>
    <row r="44" spans="1:11" s="1895" customFormat="1" ht="12" hidden="1" customHeight="1" x14ac:dyDescent="0.25">
      <c r="A44" s="2318"/>
      <c r="B44" s="2319"/>
      <c r="C44" s="2319"/>
      <c r="D44" s="2319"/>
      <c r="E44" s="2319"/>
      <c r="F44" s="232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customSheetViews>
    <customSheetView guid="{41DB9079-7F95-4228-8A4A-E6D48377DB38}" scale="110" showGridLines="0" printArea="1" hiddenRows="1" topLeftCell="B1">
      <pane ySplit="4" topLeftCell="A5" activePane="bottomLeft" state="frozen"/>
      <selection pane="bottomLeft" activeCell="K13" sqref="K13"/>
      <pageMargins left="0.75" right="0.75" top="1.25" bottom="0.5" header="0.5" footer="0.5"/>
      <printOptions horizontalCentered="1"/>
      <pageSetup scale="76" orientation="landscape" r:id="rId1"/>
      <headerFooter>
        <oddHeader>&amp;C&amp;"Times New Roman,Regular"ROXANA COMMUNITY UNIT SCHOOL DISTRICT NO. 1</oddHeader>
        <oddFooter>&amp;C&amp;"Times New Roman,Regular"See Independent Auditor's Reports
&amp;P</oddFooter>
      </headerFooter>
    </customSheetView>
    <customSheetView guid="{D71D2A76-4AD5-4124-819F-51F94C4C53C9}" scale="110" showGridLines="0" hiddenRows="1" topLeftCell="B1">
      <pane ySplit="4" topLeftCell="A5" activePane="bottomLeft" state="frozen"/>
      <selection pane="bottomLeft" activeCell="K13" sqref="K13"/>
      <pageMargins left="0.75" right="0.75" top="1.25" bottom="0.5" header="0.5" footer="0.5"/>
      <printOptions horizontalCentered="1"/>
      <pageSetup scale="76" orientation="landscape" r:id="rId2"/>
      <headerFooter>
        <oddHeader>&amp;C&amp;"Times New Roman,Regular"ROXANA COMMUNITY UNIT SCHOOL DISTRICT NO. 1</oddHeader>
        <oddFooter>&amp;C&amp;"Times New Roman,Regular"See Independent Auditor's Reports
&amp;P</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25" bottom="0.5" header="0.5" footer="0.5"/>
  <pageSetup scale="76" orientation="landscape" r:id="rId3"/>
  <headerFooter>
    <oddHeader>&amp;C&amp;"Times New Roman,Regular"ROXANA COMMUNITY UNIT SCHOOL DISTRICT NO. 1</oddHeader>
    <oddFooter>&amp;C&amp;"Times New Roman,Regular"See Independent Auditor's Reports
&amp;P</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BreakPreview" topLeftCell="A5" colorId="8" zoomScale="120" zoomScaleNormal="110" zoomScaleSheetLayoutView="12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4" t="str">
        <f>COVER!A17</f>
        <v>Roxana CUSD 1</v>
      </c>
      <c r="J6" s="2335"/>
      <c r="Q6" s="1686"/>
    </row>
    <row r="7" spans="1:17" x14ac:dyDescent="0.2">
      <c r="A7" s="2336" t="s">
        <v>923</v>
      </c>
      <c r="B7" s="2337"/>
      <c r="C7" s="2337"/>
      <c r="D7" s="2337"/>
      <c r="E7" s="2338"/>
      <c r="F7" s="1018"/>
      <c r="G7" s="1010"/>
      <c r="H7" s="1017" t="s">
        <v>389</v>
      </c>
      <c r="I7" s="2339">
        <f>COVER!A13</f>
        <v>41057001026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0" t="s">
        <v>501</v>
      </c>
      <c r="B11" s="2341"/>
      <c r="C11" s="2342"/>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392547</v>
      </c>
      <c r="F12" s="1040"/>
      <c r="G12" s="1834">
        <f t="shared" ref="G12:G18" si="0">SUM(E12:F12)</f>
        <v>392547</v>
      </c>
      <c r="H12" s="1041">
        <v>415500</v>
      </c>
      <c r="I12" s="1040"/>
      <c r="J12" s="1834">
        <f t="shared" ref="J12:J18" si="1">SUM(H12:I12)</f>
        <v>415500</v>
      </c>
    </row>
    <row r="13" spans="1:17" ht="15" customHeight="1" x14ac:dyDescent="0.2">
      <c r="A13" s="1036">
        <v>2</v>
      </c>
      <c r="B13" s="1037" t="s">
        <v>44</v>
      </c>
      <c r="C13" s="1038"/>
      <c r="D13" s="1039">
        <v>2330</v>
      </c>
      <c r="E13" s="1834">
        <f>'Expenditures 15-22'!K51</f>
        <v>165932</v>
      </c>
      <c r="F13" s="1040"/>
      <c r="G13" s="1834">
        <f t="shared" si="0"/>
        <v>165932</v>
      </c>
      <c r="H13" s="1041">
        <v>170275</v>
      </c>
      <c r="I13" s="1040"/>
      <c r="J13" s="1834">
        <f t="shared" si="1"/>
        <v>170275</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558479</v>
      </c>
      <c r="F19" s="1836">
        <f t="shared" si="2"/>
        <v>0</v>
      </c>
      <c r="G19" s="1836">
        <f t="shared" si="2"/>
        <v>558479</v>
      </c>
      <c r="H19" s="1836">
        <f t="shared" si="2"/>
        <v>585775</v>
      </c>
      <c r="I19" s="1836">
        <f t="shared" si="2"/>
        <v>0</v>
      </c>
      <c r="J19" s="1836">
        <f t="shared" si="2"/>
        <v>585775</v>
      </c>
    </row>
    <row r="20" spans="1:10" ht="13.5" thickTop="1" x14ac:dyDescent="0.2">
      <c r="A20" s="1036">
        <v>9</v>
      </c>
      <c r="B20" s="2346" t="s">
        <v>1702</v>
      </c>
      <c r="C20" s="2346"/>
      <c r="D20" s="2347"/>
      <c r="E20" s="1047"/>
      <c r="F20" s="1047"/>
      <c r="G20" s="1047"/>
      <c r="H20" s="1047"/>
      <c r="I20" s="1047"/>
      <c r="J20" s="1837">
        <f>IF(AND(G19&gt;0,J19&gt;0),(((J19-G19)/G19)),"Enter Budget Data")</f>
        <v>4.88756067819918E-2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1092</v>
      </c>
      <c r="D27" s="1053"/>
      <c r="E27" s="1054"/>
      <c r="F27" s="2348" t="s">
        <v>1588</v>
      </c>
      <c r="G27" s="2348"/>
    </row>
    <row r="28" spans="1:10" ht="28.5" customHeight="1" x14ac:dyDescent="0.2">
      <c r="B28" s="1048"/>
      <c r="C28" s="2350"/>
      <c r="D28" s="2350"/>
      <c r="E28" s="1055"/>
      <c r="F28" s="2350"/>
      <c r="G28" s="2350"/>
    </row>
    <row r="29" spans="1:10" x14ac:dyDescent="0.2">
      <c r="B29" s="1048"/>
      <c r="C29" s="1056" t="s">
        <v>1641</v>
      </c>
      <c r="E29" s="1057"/>
      <c r="F29" s="2349" t="s">
        <v>1589</v>
      </c>
      <c r="G29" s="2349"/>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1940</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936</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41DB9079-7F95-4228-8A4A-E6D48377DB38}" scale="120" colorId="8" showPageBreaks="1" showGridLines="0" view="pageBreakPreview" topLeftCell="A5">
      <selection activeCell="H14" sqref="H14"/>
      <pageMargins left="0.75" right="0.75" top="1" bottom="0.5" header="0.5" footer="0.5"/>
      <printOptions horizontalCentered="1"/>
      <pageSetup scale="85" firstPageNumber="31" orientation="landscape" r:id="rId1"/>
      <headerFooter>
        <oddHeader>&amp;C&amp;"Times New Roman,Regular"ROXANA COMMUNITY UNIT SCHOOL DISTRICT NO. 1
LIMITATION OF ADMINISTRATIVE COSTS WORKSHEET
FOR THE YEAR ENDED JUNE 30, 2018</oddHeader>
        <oddFooter>&amp;C&amp;"Times New Roman,Regular"See Independent Auditor's Reports
&amp;P</oddFooter>
      </headerFooter>
    </customSheetView>
    <customSheetView guid="{D71D2A76-4AD5-4124-819F-51F94C4C53C9}" scale="120" colorId="8" showPageBreaks="1" showGridLines="0" view="pageBreakPreview" topLeftCell="A5">
      <selection activeCell="H14" sqref="H14"/>
      <pageMargins left="0.75" right="0.75" top="1" bottom="0.5" header="0.5" footer="0.5"/>
      <printOptions horizontalCentered="1"/>
      <pageSetup scale="85" firstPageNumber="31" orientation="landscape" r:id="rId2"/>
      <headerFooter>
        <oddHeader>&amp;C&amp;"Times New Roman,Regular"ROXANA COMMUNITY UNIT SCHOOL DISTRICT NO. 1
LIMITATION OF ADMINISTRATIVE COSTS WORKSHEET
FOR THE YEAR ENDED JUNE 30, 2018</oddHeader>
        <oddFooter>&amp;C&amp;"Times New Roman,Regular"See Independent Auditor's Reports
&amp;P</oddFoot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3"/>
  <headerFooter>
    <oddHeader>&amp;C&amp;"Times New Roman,Regular"ROXANA COMMUNITY UNIT SCHOOL DISTRICT NO. 1
LIMITATION OF ADMINISTRATIVE COSTS WORKSHEET
FOR THE YEAR ENDED JUNE 30, 2018</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0" sqref="A2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2156</v>
      </c>
    </row>
    <row r="6" spans="1:2" x14ac:dyDescent="0.2">
      <c r="A6" s="1069">
        <v>2</v>
      </c>
      <c r="B6" s="329" t="s">
        <v>2157</v>
      </c>
    </row>
    <row r="7" spans="1:2" x14ac:dyDescent="0.2">
      <c r="A7" s="1069">
        <v>3</v>
      </c>
      <c r="B7" s="329" t="s">
        <v>2158</v>
      </c>
    </row>
    <row r="8" spans="1:2" x14ac:dyDescent="0.2">
      <c r="A8" s="1069">
        <v>4</v>
      </c>
      <c r="B8" s="329" t="s">
        <v>2159</v>
      </c>
    </row>
    <row r="9" spans="1:2" x14ac:dyDescent="0.2">
      <c r="A9" s="1070">
        <v>5</v>
      </c>
      <c r="B9" s="329" t="s">
        <v>2160</v>
      </c>
    </row>
    <row r="10" spans="1:2" x14ac:dyDescent="0.2">
      <c r="A10" s="1070">
        <v>6</v>
      </c>
      <c r="B10" s="329" t="s">
        <v>2161</v>
      </c>
    </row>
    <row r="11" spans="1:2" x14ac:dyDescent="0.2">
      <c r="A11" s="1070">
        <v>7</v>
      </c>
      <c r="B11" s="329" t="s">
        <v>2162</v>
      </c>
    </row>
    <row r="12" spans="1:2" x14ac:dyDescent="0.2">
      <c r="A12" s="1070">
        <v>8</v>
      </c>
      <c r="B12" s="329" t="s">
        <v>2163</v>
      </c>
    </row>
    <row r="13" spans="1:2" x14ac:dyDescent="0.2">
      <c r="A13" s="1070">
        <v>9</v>
      </c>
      <c r="B13" s="329" t="s">
        <v>2164</v>
      </c>
    </row>
    <row r="14" spans="1:2" x14ac:dyDescent="0.2">
      <c r="A14" s="1070">
        <v>10</v>
      </c>
      <c r="B14" s="329" t="s">
        <v>2165</v>
      </c>
    </row>
    <row r="15" spans="1:2" x14ac:dyDescent="0.2">
      <c r="A15" s="1070">
        <v>11</v>
      </c>
      <c r="B15" s="329" t="s">
        <v>2166</v>
      </c>
    </row>
    <row r="16" spans="1:2" x14ac:dyDescent="0.2">
      <c r="A16" s="1070">
        <v>12</v>
      </c>
      <c r="B16" s="329" t="s">
        <v>2167</v>
      </c>
    </row>
    <row r="17" spans="1:2" x14ac:dyDescent="0.2">
      <c r="A17" s="1070">
        <v>13</v>
      </c>
      <c r="B17" s="329" t="s">
        <v>2169</v>
      </c>
    </row>
    <row r="18" spans="1:2" x14ac:dyDescent="0.2">
      <c r="A18" s="1070">
        <v>14</v>
      </c>
      <c r="B18" s="329" t="s">
        <v>2168</v>
      </c>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Roxana CUSD 1</v>
      </c>
    </row>
    <row r="65" spans="2:2" x14ac:dyDescent="0.2">
      <c r="B65" s="1071">
        <f>COVER!A13</f>
        <v>41057001026</v>
      </c>
    </row>
  </sheetData>
  <customSheetViews>
    <customSheetView guid="{41DB9079-7F95-4228-8A4A-E6D48377DB38}" scale="110" showGridLines="0" printArea="1">
      <selection activeCell="A20" sqref="A20"/>
      <pageMargins left="0.75" right="0.75" top="1.1000000000000001" bottom="0.5" header="0.5" footer="0.5"/>
      <printOptions horizontalCentered="1"/>
      <pageSetup scale="80" firstPageNumber="32" orientation="portrait" r:id="rId1"/>
      <headerFooter>
        <oddHeader>&amp;C&amp;"Times New Roman,Regular"ROXANA COMMUNITY UNIT SCHOOL DISTRICT NO. 1
ITEMIZATION SCHEDULE
FOR THE YEAR ENDED JUNE 30, 2018</oddHeader>
        <oddFooter>&amp;C&amp;"Times New Roman,Regular"See Independent Auditor's Reports
&amp;P</oddFooter>
      </headerFooter>
    </customSheetView>
    <customSheetView guid="{D71D2A76-4AD5-4124-819F-51F94C4C53C9}" scale="110" showGridLines="0">
      <selection activeCell="A20" sqref="A20"/>
      <pageMargins left="0.75" right="0.75" top="1.1000000000000001" bottom="0.5" header="0.5" footer="0.5"/>
      <printOptions horizontalCentered="1"/>
      <pageSetup scale="80" firstPageNumber="32" orientation="portrait" r:id="rId2"/>
      <headerFooter>
        <oddHeader>&amp;C&amp;"Times New Roman,Regular"ROXANA COMMUNITY UNIT SCHOOL DISTRICT NO. 1
ITEMIZATION SCHEDULE
FOR THE YEAR ENDED JUNE 30, 2018</oddHeader>
        <oddFooter>&amp;C&amp;"Times New Roman,Regular"See Independent Auditor's Reports
&amp;P</oddFooter>
      </headerFooter>
    </customSheetView>
  </customSheetViews>
  <phoneticPr fontId="12" type="noConversion"/>
  <printOptions horizontalCentered="1"/>
  <pageMargins left="0.75" right="0.75" top="1.1000000000000001" bottom="0.5" header="0.5" footer="0.5"/>
  <pageSetup scale="80" firstPageNumber="32" orientation="portrait" r:id="rId3"/>
  <headerFooter>
    <oddHeader>&amp;C&amp;"Times New Roman,Regular"ROXANA COMMUNITY UNIT SCHOOL DISTRICT NO. 1
ITEMIZATION SCHEDULE
FOR THE YEAR ENDED JUNE 30, 2018</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view="pageBreakPreview" zoomScale="60" zoomScaleNormal="110" workbookViewId="0">
      <selection activeCell="D59" sqref="D5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0" t="s">
        <v>1124</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714</v>
      </c>
      <c r="B40" s="2067"/>
      <c r="C40" s="2067"/>
      <c r="D40" s="2067"/>
      <c r="E40" s="2067"/>
    </row>
    <row r="41" spans="1:5" x14ac:dyDescent="0.2">
      <c r="A41" s="2068" t="s">
        <v>1705</v>
      </c>
      <c r="B41" s="2068"/>
      <c r="C41" s="2068"/>
      <c r="D41" s="2068"/>
      <c r="E41" s="2068"/>
    </row>
    <row r="42" spans="1:5" ht="12.75" customHeight="1" x14ac:dyDescent="0.2">
      <c r="A42" s="2069" t="s">
        <v>1079</v>
      </c>
      <c r="B42" s="2069"/>
      <c r="C42" s="2069"/>
      <c r="D42" s="2069"/>
      <c r="E42" s="2069"/>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41DB9079-7F95-4228-8A4A-E6D48377DB38}" scale="60" showPageBreaks="1" showGridLines="0" hiddenRows="1" view="pageBreakPreview">
      <selection activeCell="D59" sqref="D59"/>
      <pageMargins left="0.75" right="0.75" top="1" bottom="0.5" header="0.5" footer="0.5"/>
      <printOptions horizontalCentered="1"/>
      <pageSetup scale="72" fitToHeight="0" orientation="portrait" r:id="rId1"/>
      <headerFooter>
        <oddHeader>&amp;C&amp;"Times New Roman,Regular"ROXANA COMMUNITY UNIT SCHOOL DISTRICT NO. 1</oddHeader>
        <oddFooter>&amp;C&amp;"Times New Roman,Regular"
&amp;P</oddFooter>
      </headerFooter>
    </customSheetView>
    <customSheetView guid="{D71D2A76-4AD5-4124-819F-51F94C4C53C9}" scale="60" showPageBreaks="1" showGridLines="0" hiddenRows="1" view="pageBreakPreview">
      <selection activeCell="D59" sqref="D59"/>
      <pageMargins left="0.75" right="0.75" top="1" bottom="0.5" header="0.5" footer="0.5"/>
      <printOptions horizontalCentered="1"/>
      <pageSetup scale="72" fitToHeight="0" orientation="portrait" r:id="rId2"/>
      <headerFooter>
        <oddHeader>&amp;C&amp;"Times New Roman,Regular"ROXANA COMMUNITY UNIT SCHOOL DISTRICT NO. 1</oddHeader>
        <oddFooter>&amp;C&amp;"Times New Roman,Regular"
&amp;P</oddFooter>
      </headerFooter>
    </customSheetView>
  </customSheetViews>
  <mergeCells count="4">
    <mergeCell ref="A40:E40"/>
    <mergeCell ref="A41:E41"/>
    <mergeCell ref="A42:E42"/>
    <mergeCell ref="A35:E35"/>
  </mergeCells>
  <hyperlinks>
    <hyperlink ref="B71" r:id="rId3" display="Federal Single Audit 2 CFR 200.500"/>
    <hyperlink ref="A42" r:id="rId4"/>
    <hyperlink ref="B54" r:id="rId5"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rintOptions horizontalCentered="1"/>
  <pageMargins left="0.75" right="0.75" top="1" bottom="0.5" header="0.5" footer="0.5"/>
  <pageSetup scale="72" fitToHeight="0" orientation="portrait" r:id="rId6"/>
  <headerFooter>
    <oddHeader>&amp;C&amp;"Times New Roman,Regular"ROXANA COMMUNITY UNIT SCHOOL DISTRICT NO. 1</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F38" sqref="AF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41DB9079-7F95-4228-8A4A-E6D48377DB38}" scale="110" colorId="8" showGridLines="0">
      <selection activeCell="AF38" sqref="AF38"/>
      <pageMargins left="0.75" right="0.75" top="1" bottom="0.5" header="0.5" footer="0.5"/>
      <printOptions horizontalCentered="1"/>
      <pageSetup scale="75" firstPageNumber="33" orientation="landscape" r:id="rId1"/>
      <headerFooter>
        <oddHeader>&amp;C
&amp;"Times New Roman,Regular"FOR THE YEAR ENDED JUNE 30, 2018</oddHeader>
        <oddFooter>&amp;C&amp;"Times New Roman,Regular"See Independent Auditor's Reports
&amp;P</oddFooter>
      </headerFooter>
    </customSheetView>
    <customSheetView guid="{D71D2A76-4AD5-4124-819F-51F94C4C53C9}" scale="110" colorId="8" showGridLines="0">
      <selection activeCell="AF38" sqref="AF38"/>
      <pageMargins left="0.75" right="0.75" top="1" bottom="0.5" header="0.5" footer="0.5"/>
      <printOptions horizontalCentered="1"/>
      <pageSetup scale="75" firstPageNumber="33" orientation="landscape" r:id="rId2"/>
      <headerFooter>
        <oddHeader>&amp;C
&amp;"Times New Roman,Regular"FOR THE YEAR ENDED JUNE 30, 2018</oddHeader>
        <oddFooter>&amp;C&amp;"Times New Roman,Regular"See Independent Auditor's Reports
&amp;P</oddFooter>
      </headerFooter>
    </customSheetView>
  </customSheetViews>
  <phoneticPr fontId="12" type="noConversion"/>
  <printOptions horizontalCentered="1"/>
  <pageMargins left="0.75" right="0.75" top="1" bottom="0.5" header="0.5" footer="0.5"/>
  <pageSetup scale="75" firstPageNumber="33" orientation="landscape" r:id="rId3"/>
  <headerFooter>
    <oddHeader>&amp;C
&amp;"Times New Roman,Regular"FOR THE YEAR ENDED JUNE 30, 2018</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customSheetViews>
    <customSheetView guid="{41DB9079-7F95-4228-8A4A-E6D48377DB38}" scale="110" showGridLines="0">
      <selection activeCell="AF38" sqref="AF38"/>
      <pageMargins left="0.75" right="0.75" top="1" bottom="0.5" header="0.5" footer="0.5"/>
      <printOptions horizontalCentered="1"/>
      <pageSetup scale="75" firstPageNumber="34" orientation="landscape" r:id="rId1"/>
      <headerFooter>
        <oddHeader>&amp;C
&amp;"Times New Roman,Regular"FOR THE YEAR ENDED JUNE 30, 2018</oddHeader>
        <oddFooter>&amp;C&amp;"Times New Roman,Regular"See Independent Auditor's Reports
&amp;P</oddFooter>
      </headerFooter>
    </customSheetView>
    <customSheetView guid="{D71D2A76-4AD5-4124-819F-51F94C4C53C9}" scale="110" showGridLines="0">
      <selection activeCell="AF38" sqref="AF38"/>
      <pageMargins left="0.75" right="0.75" top="1" bottom="0.5" header="0.5" footer="0.5"/>
      <printOptions horizontalCentered="1"/>
      <pageSetup scale="75" firstPageNumber="34" orientation="landscape" r:id="rId2"/>
      <headerFooter>
        <oddHeader>&amp;C
&amp;"Times New Roman,Regular"FOR THE YEAR ENDED JUNE 30, 2018</oddHeader>
        <oddFooter>&amp;C&amp;"Times New Roman,Regular"See Independent Auditor's Reports
&amp;P</oddFooter>
      </headerFooter>
    </customSheetView>
  </customSheetViews>
  <mergeCells count="1">
    <mergeCell ref="A18:B18"/>
  </mergeCells>
  <phoneticPr fontId="12" type="noConversion"/>
  <printOptions horizontalCentered="1"/>
  <pageMargins left="0.75" right="0.75" top="1" bottom="0.5" header="0.5" footer="0.5"/>
  <pageSetup scale="75" firstPageNumber="34" orientation="landscape" r:id="rId3"/>
  <headerFooter>
    <oddHeader>&amp;C
&amp;"Times New Roman,Regular"FOR THE YEAR ENDED JUNE 30, 2018</oddHeader>
    <oddFooter>&amp;C&amp;"Times New Roman,Regular"See Independent Auditor's Reports
&amp;P</oddFooter>
  </headerFooter>
  <drawing r:id="rId4"/>
  <legacyDrawing r:id="rId5"/>
  <oleObjects>
    <mc:AlternateContent xmlns:mc="http://schemas.openxmlformats.org/markup-compatibility/2006">
      <mc:Choice Requires="x14">
        <oleObject progId="Acrobat Document" dvAspect="DVASPECT_ICON" shapeId="51201" r:id="rId6">
          <objectPr defaultSize="0" r:id="rId7">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51201"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view="pageBreakPreview" zoomScale="60" zoomScaleNormal="110" workbookViewId="0">
      <selection activeCell="AF38" sqref="AF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2052</v>
      </c>
      <c r="B4" s="2374"/>
      <c r="C4" s="2374"/>
      <c r="D4" s="2374"/>
      <c r="E4" s="2374"/>
      <c r="F4" s="2375"/>
      <c r="G4" s="1075"/>
      <c r="H4" s="1075"/>
    </row>
    <row r="5" spans="1:8" ht="14.25" customHeight="1" x14ac:dyDescent="0.2">
      <c r="A5" s="2376" t="s">
        <v>2053</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18058334</v>
      </c>
      <c r="C8" s="1838">
        <f>'Acct Summary 7-8'!D8</f>
        <v>2703992</v>
      </c>
      <c r="D8" s="1838">
        <f>'Acct Summary 7-8'!F8</f>
        <v>1249065</v>
      </c>
      <c r="E8" s="1838">
        <f>'Acct Summary 7-8'!I8</f>
        <v>27733</v>
      </c>
      <c r="F8" s="1838">
        <f>SUM(B8:E8)</f>
        <v>22039124</v>
      </c>
    </row>
    <row r="9" spans="1:8" s="1080" customFormat="1" ht="14.25" customHeight="1" thickBot="1" x14ac:dyDescent="0.25">
      <c r="A9" s="1079" t="s">
        <v>1435</v>
      </c>
      <c r="B9" s="1839">
        <f>'Acct Summary 7-8'!C17</f>
        <v>17813595</v>
      </c>
      <c r="C9" s="1839">
        <f>'Acct Summary 7-8'!D17</f>
        <v>2782372</v>
      </c>
      <c r="D9" s="1839">
        <f>'Acct Summary 7-8'!F17</f>
        <v>1217850</v>
      </c>
      <c r="E9" s="1838"/>
      <c r="F9" s="1838">
        <f>SUM(B9:E9)</f>
        <v>21813817</v>
      </c>
    </row>
    <row r="10" spans="1:8" s="1080" customFormat="1" ht="14.25" thickTop="1" thickBot="1" x14ac:dyDescent="0.25">
      <c r="A10" s="1081" t="s">
        <v>1436</v>
      </c>
      <c r="B10" s="1840">
        <f>(B8-B9)</f>
        <v>244739</v>
      </c>
      <c r="C10" s="1840">
        <f>(C8-C9)</f>
        <v>-78380</v>
      </c>
      <c r="D10" s="1840">
        <f>(D8-D9)</f>
        <v>31215</v>
      </c>
      <c r="E10" s="1839">
        <f>(E8-E9)</f>
        <v>27733</v>
      </c>
      <c r="F10" s="1841">
        <f>SUM(F8-F9)</f>
        <v>225307</v>
      </c>
    </row>
    <row r="11" spans="1:8" s="1080" customFormat="1" ht="14.25" thickTop="1" thickBot="1" x14ac:dyDescent="0.25">
      <c r="A11" s="1082" t="s">
        <v>1784</v>
      </c>
      <c r="B11" s="1842">
        <f>'Acct Summary 7-8'!C81</f>
        <v>12006408</v>
      </c>
      <c r="C11" s="1842">
        <f>'Acct Summary 7-8'!D81</f>
        <v>1853235</v>
      </c>
      <c r="D11" s="1842">
        <f>'Acct Summary 7-8'!F81</f>
        <v>1139425</v>
      </c>
      <c r="E11" s="1842">
        <f>'Acct Summary 7-8'!I81</f>
        <v>2341625</v>
      </c>
      <c r="F11" s="1843">
        <f>SUM(B11:E11)</f>
        <v>17340693</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41DB9079-7F95-4228-8A4A-E6D48377DB38}" scale="60" showPageBreaks="1" showGridLines="0" zeroValues="0" hiddenRows="1" view="pageBreakPreview">
      <selection activeCell="AF38" sqref="AF38"/>
      <pageMargins left="0.75" right="0.75" top="1.5" bottom="0.5" header="0.5" footer="0.5"/>
      <printOptions horizontalCentered="1"/>
      <pageSetup firstPageNumber="19" fitToHeight="0" orientation="landscape" r:id="rId1"/>
      <headerFooter>
        <oddHeader>&amp;C&amp;"Times New Roman,Regular"ROXANA COMMUNITY UNIT SCHOOL DISTRICT NO. 1
DEFICIT ANNUAL FINANCIAL REPORT (AFR) SUMMARY INFORMATION
FOR THE YEAR ENDED JUNE 30, 2018</oddHeader>
        <oddFooter>&amp;C&amp;"Times New Roman,Regular"See Independent Auditor's Reports
&amp;P</oddFooter>
      </headerFooter>
    </customSheetView>
    <customSheetView guid="{D71D2A76-4AD5-4124-819F-51F94C4C53C9}" scale="60" showPageBreaks="1" showGridLines="0" zeroValues="0" hiddenRows="1" view="pageBreakPreview">
      <selection activeCell="AF38" sqref="AF38"/>
      <pageMargins left="0.75" right="0.75" top="1.5" bottom="0.5" header="0.5" footer="0.5"/>
      <printOptions horizontalCentered="1"/>
      <pageSetup firstPageNumber="19" fitToHeight="0" orientation="landscape" r:id="rId2"/>
      <headerFooter>
        <oddHeader>&amp;C&amp;"Times New Roman,Regular"ROXANA COMMUNITY UNIT SCHOOL DISTRICT NO. 1
DEFICIT ANNUAL FINANCIAL REPORT (AFR) SUMMARY INFORMATION
FOR THE YEAR ENDED JUNE 30, 2018</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3"/>
  <headerFooter>
    <oddHeader>&amp;C&amp;"Times New Roman,Regular"ROXANA COMMUNITY UNIT SCHOOL DISTRICT NO. 1
DEFICIT ANNUAL FINANCIAL REPORT (AFR) SUMMARY INFORMATION
FOR THE YEAR ENDED JUNE 30, 2018</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AF38" sqref="AF3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685</v>
      </c>
      <c r="B3" s="2380"/>
      <c r="C3" s="2380"/>
      <c r="D3" s="2381"/>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0" t="s">
        <v>1583</v>
      </c>
      <c r="D7" s="2391"/>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2" t="s">
        <v>1064</v>
      </c>
      <c r="B15" s="2383"/>
      <c r="C15" s="2383"/>
      <c r="D15" s="2384"/>
    </row>
    <row r="16" spans="1:4" s="669" customFormat="1" ht="24" customHeight="1" x14ac:dyDescent="0.2">
      <c r="A16" s="2385" t="s">
        <v>683</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4" t="s">
        <v>331</v>
      </c>
      <c r="D21" s="2395"/>
    </row>
    <row r="22" spans="1:10" ht="12.75" x14ac:dyDescent="0.2">
      <c r="A22" s="1140"/>
      <c r="B22" s="1141">
        <v>2</v>
      </c>
      <c r="C22" s="2392" t="s">
        <v>1604</v>
      </c>
      <c r="D22" s="2393"/>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6" t="s">
        <v>556</v>
      </c>
      <c r="D43" s="2397"/>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88" t="s">
        <v>816</v>
      </c>
      <c r="D56" s="2389"/>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388" t="s">
        <v>1796</v>
      </c>
      <c r="D70" s="2389"/>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41DB9079-7F95-4228-8A4A-E6D48377DB38}" scale="110" colorId="8" showGridLines="0" hiddenRows="1" topLeftCell="A14">
      <selection activeCell="AF38" sqref="AF38"/>
      <pageMargins left="0.75" right="0.75" top="1" bottom="0.5" header="0.5" footer="0.5"/>
      <printOptions horizontalCentered="1"/>
      <pageSetup scale="75" firstPageNumber="32" orientation="landscape" r:id="rId1"/>
      <headerFooter>
        <oddHeader>&amp;C
&amp;"Times New Roman,Regular"FOR THE YEAR ENDED JUNE 30, 2018</oddHeader>
        <oddFooter>&amp;C&amp;"Times New Roman,Regular"See Independent Auditor's Reports
&amp;P</oddFooter>
      </headerFooter>
    </customSheetView>
    <customSheetView guid="{D71D2A76-4AD5-4124-819F-51F94C4C53C9}" scale="110" colorId="8" showGridLines="0" hiddenRows="1" topLeftCell="A14">
      <selection activeCell="AF38" sqref="AF38"/>
      <pageMargins left="0.75" right="0.75" top="1" bottom="0.5" header="0.5" footer="0.5"/>
      <printOptions horizontalCentered="1"/>
      <pageSetup scale="75" firstPageNumber="32" orientation="landscape" r:id="rId2"/>
      <headerFooter>
        <oddHeader>&amp;C
&amp;"Times New Roman,Regular"FOR THE YEAR ENDED JUNE 30, 2018</oddHeader>
        <oddFooter>&amp;C&amp;"Times New Roman,Regular"See Independent Auditor's Reports
&amp;P</oddFooter>
      </headerFooter>
    </customSheetView>
  </customSheetViews>
  <mergeCells count="9">
    <mergeCell ref="A3:D3"/>
    <mergeCell ref="A15:D15"/>
    <mergeCell ref="A16:D16"/>
    <mergeCell ref="C56:D56"/>
    <mergeCell ref="C70:D70"/>
    <mergeCell ref="C7:D7"/>
    <mergeCell ref="C22:D22"/>
    <mergeCell ref="C21:D21"/>
    <mergeCell ref="C43:D43"/>
  </mergeCells>
  <phoneticPr fontId="12" type="noConversion"/>
  <printOptions horizontalCentered="1"/>
  <pageMargins left="0.75" right="0.75" top="1" bottom="0.5" header="0.5" footer="0.5"/>
  <pageSetup scale="75" firstPageNumber="32" orientation="landscape" r:id="rId3"/>
  <headerFooter>
    <oddHeader>&amp;C
&amp;"Times New Roman,Regular"FOR THE YEAR ENDED JUNE 30, 2018</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41057001026</v>
      </c>
    </row>
    <row r="3" spans="1:2" x14ac:dyDescent="0.2">
      <c r="A3" t="s">
        <v>1012</v>
      </c>
      <c r="B3" s="138" t="str">
        <f>COVER!A15</f>
        <v>MADISON</v>
      </c>
    </row>
    <row r="4" spans="1:2" x14ac:dyDescent="0.2">
      <c r="A4" t="s">
        <v>1063</v>
      </c>
      <c r="B4" s="138" t="str">
        <f>COVER!A17</f>
        <v>Roxana CUSD 1</v>
      </c>
    </row>
    <row r="5" spans="1:2" x14ac:dyDescent="0.2">
      <c r="A5" t="s">
        <v>727</v>
      </c>
      <c r="B5" s="138">
        <f>COVER!A38</f>
        <v>0</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066-005060</v>
      </c>
    </row>
    <row r="16" spans="1:2" x14ac:dyDescent="0.2">
      <c r="A16" t="s">
        <v>441</v>
      </c>
      <c r="B16" s="138" t="str">
        <f>COVER!T13</f>
        <v>DENNIS ROSE &amp; ASSOCIATES, P.C.</v>
      </c>
    </row>
    <row r="17" spans="1:2" x14ac:dyDescent="0.2">
      <c r="A17" t="s">
        <v>938</v>
      </c>
      <c r="B17" s="138" t="str">
        <f>COVER!T15</f>
        <v>DENNIS ROSE</v>
      </c>
    </row>
    <row r="18" spans="1:2" x14ac:dyDescent="0.2">
      <c r="A18" t="s">
        <v>1211</v>
      </c>
      <c r="B18" s="138" t="str">
        <f>COVER!T17</f>
        <v xml:space="preserve">1904 STATE STREET </v>
      </c>
    </row>
    <row r="19" spans="1:2" x14ac:dyDescent="0.2">
      <c r="A19" t="s">
        <v>940</v>
      </c>
      <c r="B19" s="138" t="str">
        <f>COVER!T25</f>
        <v>DROSECPA@DRA-CPA.COM</v>
      </c>
    </row>
    <row r="20" spans="1:2" x14ac:dyDescent="0.2">
      <c r="A20" t="s">
        <v>941</v>
      </c>
      <c r="B20" s="138" t="str">
        <f>COVER!T19</f>
        <v>ALTON</v>
      </c>
    </row>
    <row r="21" spans="1:2" x14ac:dyDescent="0.2">
      <c r="A21" t="s">
        <v>499</v>
      </c>
      <c r="B21" s="138" t="str">
        <f>COVER!X19</f>
        <v>IL</v>
      </c>
    </row>
    <row r="22" spans="1:2" x14ac:dyDescent="0.2">
      <c r="A22" t="s">
        <v>942</v>
      </c>
      <c r="B22" s="138">
        <f>COVER!Z19</f>
        <v>62002</v>
      </c>
    </row>
    <row r="23" spans="1:2" x14ac:dyDescent="0.2">
      <c r="A23" t="s">
        <v>1213</v>
      </c>
      <c r="B23" s="138" t="str">
        <f>COVER!T21</f>
        <v>618-465-4999</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12006408</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12006408</v>
      </c>
      <c r="D92" s="2" t="str">
        <f t="shared" si="0"/>
        <v>Error?</v>
      </c>
    </row>
    <row r="93" spans="1:4" x14ac:dyDescent="0.2">
      <c r="A93" s="5">
        <v>32</v>
      </c>
      <c r="B93" s="138">
        <f>'Assets-Liab 5-6'!C41</f>
        <v>12006408</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1853235</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1853235</v>
      </c>
      <c r="D123" s="2" t="str">
        <f t="shared" si="0"/>
        <v>Error?</v>
      </c>
    </row>
    <row r="124" spans="1:4" x14ac:dyDescent="0.2">
      <c r="A124" s="5">
        <v>63</v>
      </c>
      <c r="B124" s="138">
        <f>'Assets-Liab 5-6'!D41</f>
        <v>1853235</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1544888</v>
      </c>
      <c r="D129" s="2" t="str">
        <f t="shared" si="1"/>
        <v>Error?</v>
      </c>
    </row>
    <row r="130" spans="1:4" x14ac:dyDescent="0.2">
      <c r="A130" s="5">
        <v>69</v>
      </c>
      <c r="B130" s="138">
        <f>'Assets-Liab 5-6'!E12</f>
        <v>0</v>
      </c>
      <c r="D130" s="2" t="str">
        <f t="shared" si="1"/>
        <v>Error?</v>
      </c>
    </row>
    <row r="131" spans="1:4" x14ac:dyDescent="0.2">
      <c r="A131" s="5">
        <v>70</v>
      </c>
      <c r="B131" s="138">
        <f>'Assets-Liab 5-6'!E13</f>
        <v>1642417</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1642417</v>
      </c>
      <c r="D140" s="2" t="str">
        <f t="shared" si="1"/>
        <v>Error?</v>
      </c>
    </row>
    <row r="141" spans="1:4" x14ac:dyDescent="0.2">
      <c r="A141" s="5">
        <v>80</v>
      </c>
      <c r="B141" s="138">
        <f>'Assets-Liab 5-6'!E41</f>
        <v>1642417</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1139425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1139425</v>
      </c>
      <c r="D170" s="2" t="str">
        <f t="shared" si="1"/>
        <v>Error?</v>
      </c>
    </row>
    <row r="171" spans="1:4" x14ac:dyDescent="0.2">
      <c r="A171" s="5">
        <v>110</v>
      </c>
      <c r="B171" s="138">
        <f>'Assets-Liab 5-6'!F41</f>
        <v>1139425</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725598</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424341</v>
      </c>
      <c r="D189" s="2" t="str">
        <f t="shared" si="1"/>
        <v>Error?</v>
      </c>
    </row>
    <row r="190" spans="1:4" x14ac:dyDescent="0.2">
      <c r="A190" s="5">
        <v>129</v>
      </c>
      <c r="B190" s="138">
        <f>'Assets-Liab 5-6'!G41</f>
        <v>725598</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669051</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669051</v>
      </c>
      <c r="D212" s="2" t="str">
        <f t="shared" si="2"/>
        <v>Error?</v>
      </c>
    </row>
    <row r="213" spans="1:4" x14ac:dyDescent="0.2">
      <c r="A213" s="12">
        <v>152</v>
      </c>
      <c r="B213" s="138">
        <f>'Assets-Liab 5-6'!H41</f>
        <v>669051</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40021</v>
      </c>
      <c r="D273" s="2" t="str">
        <f t="shared" si="3"/>
        <v>Error?</v>
      </c>
    </row>
    <row r="274" spans="1:4" x14ac:dyDescent="0.2">
      <c r="A274" s="5">
        <v>213</v>
      </c>
      <c r="B274" s="138">
        <f>'Assets-Liab 5-6'!M17</f>
        <v>52582237</v>
      </c>
      <c r="D274" s="2" t="str">
        <f t="shared" si="3"/>
        <v>Error?</v>
      </c>
    </row>
    <row r="275" spans="1:4" x14ac:dyDescent="0.2">
      <c r="A275" s="5">
        <v>214</v>
      </c>
      <c r="B275" s="138">
        <f>'Assets-Liab 5-6'!M18</f>
        <v>345025</v>
      </c>
      <c r="D275" s="2" t="str">
        <f t="shared" si="3"/>
        <v>Error?</v>
      </c>
    </row>
    <row r="276" spans="1:4" x14ac:dyDescent="0.2">
      <c r="A276" s="5">
        <v>215</v>
      </c>
      <c r="B276" s="138">
        <f>'Assets-Liab 5-6'!M19</f>
        <v>9207251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62174534</v>
      </c>
      <c r="C279" s="2" t="s">
        <v>593</v>
      </c>
      <c r="D279" s="2" t="str">
        <f t="shared" si="3"/>
        <v>Error?</v>
      </c>
    </row>
    <row r="280" spans="1:4" x14ac:dyDescent="0.2">
      <c r="A280" s="5">
        <v>219</v>
      </c>
      <c r="B280" s="138">
        <f>'Assets-Liab 5-6'!M40</f>
        <v>62174534</v>
      </c>
      <c r="D280" s="2" t="str">
        <f t="shared" si="3"/>
        <v>Error?</v>
      </c>
    </row>
    <row r="281" spans="1:4" x14ac:dyDescent="0.2">
      <c r="A281" s="5">
        <v>220</v>
      </c>
      <c r="B281" s="138">
        <f>'Assets-Liab 5-6'!M41</f>
        <v>62174534</v>
      </c>
      <c r="C281" s="2" t="s">
        <v>593</v>
      </c>
      <c r="D281" s="2" t="str">
        <f t="shared" si="3"/>
        <v>Error?</v>
      </c>
    </row>
    <row r="282" spans="1:4" x14ac:dyDescent="0.2">
      <c r="A282" s="5">
        <v>221</v>
      </c>
      <c r="B282" s="138">
        <f>'Assets-Liab 5-6'!N21</f>
        <v>1642417</v>
      </c>
      <c r="D282" s="2" t="str">
        <f t="shared" si="3"/>
        <v>Error?</v>
      </c>
    </row>
    <row r="283" spans="1:4" x14ac:dyDescent="0.2">
      <c r="A283" s="5">
        <v>222</v>
      </c>
      <c r="B283" s="138">
        <f>'Assets-Liab 5-6'!N22</f>
        <v>20387103</v>
      </c>
      <c r="D283" s="2" t="str">
        <f t="shared" si="3"/>
        <v>Error?</v>
      </c>
    </row>
    <row r="284" spans="1:4" x14ac:dyDescent="0.2">
      <c r="A284" s="5">
        <v>223</v>
      </c>
      <c r="B284" s="138">
        <f>'Assets-Liab 5-6'!N23</f>
        <v>22029520</v>
      </c>
      <c r="C284" s="2" t="s">
        <v>593</v>
      </c>
      <c r="D284" s="2" t="str">
        <f t="shared" si="3"/>
        <v>Error?</v>
      </c>
    </row>
    <row r="285" spans="1:4" x14ac:dyDescent="0.2">
      <c r="A285" s="5">
        <v>224</v>
      </c>
      <c r="B285" s="138">
        <f>'Assets-Liab 5-6'!N36</f>
        <v>22029520</v>
      </c>
      <c r="D285" s="2" t="str">
        <f t="shared" si="3"/>
        <v>Error?</v>
      </c>
    </row>
    <row r="286" spans="1:4" x14ac:dyDescent="0.2">
      <c r="A286" s="10">
        <v>225</v>
      </c>
      <c r="D286" s="2" t="str">
        <f t="shared" si="3"/>
        <v>OK</v>
      </c>
    </row>
    <row r="287" spans="1:4" x14ac:dyDescent="0.2">
      <c r="A287" s="5">
        <v>226</v>
      </c>
      <c r="B287" s="138">
        <f>'Assets-Liab 5-6'!N37</f>
        <v>22029520</v>
      </c>
      <c r="C287" s="2" t="s">
        <v>593</v>
      </c>
      <c r="D287" s="2" t="str">
        <f t="shared" si="3"/>
        <v>Error?</v>
      </c>
    </row>
    <row r="288" spans="1:4" x14ac:dyDescent="0.2">
      <c r="A288" s="5">
        <v>227</v>
      </c>
      <c r="B288" s="138">
        <f>'Assets-Liab 5-6'!N41</f>
        <v>22029520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27500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6405981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474686</v>
      </c>
      <c r="D717" s="2" t="str">
        <f t="shared" si="10"/>
        <v>Error?</v>
      </c>
    </row>
    <row r="718" spans="1:4" x14ac:dyDescent="0.2">
      <c r="A718" s="5">
        <v>657</v>
      </c>
      <c r="B718" s="138">
        <f>'Expenditures 15-22'!C14</f>
        <v>232149</v>
      </c>
      <c r="D718" s="2" t="str">
        <f t="shared" si="10"/>
        <v>Error?</v>
      </c>
    </row>
    <row r="719" spans="1:4" x14ac:dyDescent="0.2">
      <c r="A719" s="5">
        <v>658</v>
      </c>
      <c r="B719" s="138">
        <f>'Expenditures 15-22'!C15</f>
        <v>6014</v>
      </c>
      <c r="D719" s="2" t="str">
        <f t="shared" si="10"/>
        <v>Error?</v>
      </c>
    </row>
    <row r="720" spans="1:4" x14ac:dyDescent="0.2">
      <c r="A720" s="5">
        <v>659</v>
      </c>
      <c r="B720" s="138">
        <f>'Expenditures 15-22'!C33</f>
        <v>9287012</v>
      </c>
      <c r="C720" s="2" t="s">
        <v>593</v>
      </c>
      <c r="D720" s="2" t="str">
        <f t="shared" si="10"/>
        <v>Error?</v>
      </c>
    </row>
    <row r="721" spans="1:4" x14ac:dyDescent="0.2">
      <c r="A721" s="5">
        <v>660</v>
      </c>
      <c r="B721" s="138">
        <f>'Expenditures 15-22'!C36</f>
        <v>287122</v>
      </c>
      <c r="D721" s="2" t="str">
        <f t="shared" si="10"/>
        <v>Error?</v>
      </c>
    </row>
    <row r="722" spans="1:4" x14ac:dyDescent="0.2">
      <c r="A722" s="5">
        <v>661</v>
      </c>
      <c r="B722" s="138">
        <f>'Expenditures 15-22'!C37</f>
        <v>153094</v>
      </c>
      <c r="D722" s="2" t="str">
        <f t="shared" si="10"/>
        <v>Error?</v>
      </c>
    </row>
    <row r="723" spans="1:4" x14ac:dyDescent="0.2">
      <c r="A723" s="5">
        <v>662</v>
      </c>
      <c r="B723" s="138">
        <f>'Expenditures 15-22'!C38</f>
        <v>126293</v>
      </c>
      <c r="D723" s="2" t="str">
        <f t="shared" si="10"/>
        <v>Error?</v>
      </c>
    </row>
    <row r="724" spans="1:4" x14ac:dyDescent="0.2">
      <c r="A724" s="5">
        <v>663</v>
      </c>
      <c r="B724" s="138">
        <f>'Expenditures 15-22'!C39</f>
        <v>75610</v>
      </c>
      <c r="D724" s="2" t="str">
        <f t="shared" si="10"/>
        <v>Error?</v>
      </c>
    </row>
    <row r="725" spans="1:4" x14ac:dyDescent="0.2">
      <c r="A725" s="5">
        <v>664</v>
      </c>
      <c r="B725" s="138">
        <f>'Expenditures 15-22'!C40</f>
        <v>234931</v>
      </c>
      <c r="D725" s="2" t="str">
        <f t="shared" si="10"/>
        <v>Error?</v>
      </c>
    </row>
    <row r="726" spans="1:4" x14ac:dyDescent="0.2">
      <c r="A726" s="5">
        <v>665</v>
      </c>
      <c r="B726" s="138">
        <f>'Expenditures 15-22'!C41</f>
        <v>100593</v>
      </c>
      <c r="D726" s="2" t="str">
        <f t="shared" si="10"/>
        <v>Error?</v>
      </c>
    </row>
    <row r="727" spans="1:4" x14ac:dyDescent="0.2">
      <c r="A727" s="5">
        <v>666</v>
      </c>
      <c r="B727" s="138">
        <f>'Expenditures 15-22'!C42</f>
        <v>977643</v>
      </c>
      <c r="C727" s="2" t="s">
        <v>593</v>
      </c>
      <c r="D727" s="2" t="str">
        <f t="shared" si="10"/>
        <v>Error?</v>
      </c>
    </row>
    <row r="728" spans="1:4" x14ac:dyDescent="0.2">
      <c r="A728" s="5">
        <v>667</v>
      </c>
      <c r="B728" s="138">
        <f>'Expenditures 15-22'!C44</f>
        <v>205558</v>
      </c>
      <c r="D728" s="2" t="str">
        <f t="shared" si="10"/>
        <v>Error?</v>
      </c>
    </row>
    <row r="729" spans="1:4" x14ac:dyDescent="0.2">
      <c r="A729" s="5">
        <v>668</v>
      </c>
      <c r="B729" s="138">
        <f>'Expenditures 15-22'!C45</f>
        <v>231346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436904</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198242</v>
      </c>
      <c r="D733" s="2" t="str">
        <f t="shared" si="10"/>
        <v>Error?</v>
      </c>
    </row>
    <row r="734" spans="1:4" x14ac:dyDescent="0.2">
      <c r="A734" s="5">
        <v>673</v>
      </c>
      <c r="B734" s="138">
        <f>'Expenditures 15-22'!C53</f>
        <v>331974</v>
      </c>
      <c r="C734" s="2" t="s">
        <v>593</v>
      </c>
      <c r="D734" s="2" t="str">
        <f t="shared" si="10"/>
        <v>Error?</v>
      </c>
    </row>
    <row r="735" spans="1:4" x14ac:dyDescent="0.2">
      <c r="A735" s="5">
        <v>674</v>
      </c>
      <c r="B735" s="138">
        <f>'Expenditures 15-22'!C55</f>
        <v>785294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785294</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255312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513007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768319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247419</v>
      </c>
      <c r="D751" s="2" t="str">
        <f t="shared" si="10"/>
        <v>Error?</v>
      </c>
    </row>
    <row r="752" spans="1:4" x14ac:dyDescent="0.2">
      <c r="A752" s="10">
        <v>691</v>
      </c>
      <c r="D752" s="2" t="str">
        <f t="shared" si="10"/>
        <v>OK</v>
      </c>
    </row>
    <row r="753" spans="1:4" x14ac:dyDescent="0.2">
      <c r="A753" s="5">
        <v>692</v>
      </c>
      <c r="B753" s="138">
        <f>'Expenditures 15-22'!C72</f>
        <v>247419</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3547553</v>
      </c>
      <c r="C755" s="2" t="s">
        <v>593</v>
      </c>
      <c r="D755" s="2" t="str">
        <f t="shared" si="10"/>
        <v>Error?</v>
      </c>
    </row>
    <row r="756" spans="1:4" x14ac:dyDescent="0.2">
      <c r="A756" s="5">
        <v>695</v>
      </c>
      <c r="B756" s="138">
        <f>'Expenditures 15-22'!C75</f>
        <v>56305</v>
      </c>
      <c r="D756" s="2" t="str">
        <f t="shared" si="10"/>
        <v>Error?</v>
      </c>
    </row>
    <row r="757" spans="1:4" x14ac:dyDescent="0.2">
      <c r="A757" s="5">
        <v>696</v>
      </c>
      <c r="B757" s="138">
        <f>'Expenditures 15-22'!C114</f>
        <v>12890870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1382495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116074</v>
      </c>
      <c r="D775" s="2" t="str">
        <f t="shared" si="11"/>
        <v>Error?</v>
      </c>
    </row>
    <row r="776" spans="1:4" x14ac:dyDescent="0.2">
      <c r="A776" s="5">
        <v>715</v>
      </c>
      <c r="B776" s="138">
        <f>'Expenditures 15-22'!D14</f>
        <v>20891</v>
      </c>
      <c r="D776" s="2" t="str">
        <f t="shared" si="11"/>
        <v>Error?</v>
      </c>
    </row>
    <row r="777" spans="1:4" x14ac:dyDescent="0.2">
      <c r="A777" s="5">
        <v>716</v>
      </c>
      <c r="B777" s="138">
        <f>'Expenditures 15-22'!D15</f>
        <v>692</v>
      </c>
      <c r="D777" s="2" t="str">
        <f t="shared" si="11"/>
        <v>Error?</v>
      </c>
    </row>
    <row r="778" spans="1:4" x14ac:dyDescent="0.2">
      <c r="A778" s="5">
        <v>717</v>
      </c>
      <c r="B778" s="138">
        <f>'Expenditures 15-22'!D33</f>
        <v>1916059</v>
      </c>
      <c r="C778" s="2" t="s">
        <v>593</v>
      </c>
      <c r="D778" s="2" t="str">
        <f t="shared" si="11"/>
        <v>Error?</v>
      </c>
    </row>
    <row r="779" spans="1:4" x14ac:dyDescent="0.2">
      <c r="A779" s="5">
        <v>718</v>
      </c>
      <c r="B779" s="138">
        <f>'Expenditures 15-22'!D36</f>
        <v>51662</v>
      </c>
      <c r="D779" s="2" t="str">
        <f t="shared" si="11"/>
        <v>Error?</v>
      </c>
    </row>
    <row r="780" spans="1:4" x14ac:dyDescent="0.2">
      <c r="A780" s="5">
        <v>719</v>
      </c>
      <c r="B780" s="138">
        <f>'Expenditures 15-22'!D37</f>
        <v>34705</v>
      </c>
      <c r="D780" s="2" t="str">
        <f t="shared" si="11"/>
        <v>Error?</v>
      </c>
    </row>
    <row r="781" spans="1:4" x14ac:dyDescent="0.2">
      <c r="A781" s="5">
        <v>720</v>
      </c>
      <c r="B781" s="138">
        <f>'Expenditures 15-22'!D38</f>
        <v>25962</v>
      </c>
      <c r="D781" s="2" t="str">
        <f t="shared" si="11"/>
        <v>Error?</v>
      </c>
    </row>
    <row r="782" spans="1:4" x14ac:dyDescent="0.2">
      <c r="A782" s="5">
        <v>721</v>
      </c>
      <c r="B782" s="138">
        <f>'Expenditures 15-22'!D39</f>
        <v>16530</v>
      </c>
      <c r="D782" s="2" t="str">
        <f t="shared" si="11"/>
        <v>Error?</v>
      </c>
    </row>
    <row r="783" spans="1:4" x14ac:dyDescent="0.2">
      <c r="A783" s="5">
        <v>722</v>
      </c>
      <c r="B783" s="138">
        <f>'Expenditures 15-22'!D40</f>
        <v>51115</v>
      </c>
      <c r="D783" s="2" t="str">
        <f t="shared" si="11"/>
        <v>Error?</v>
      </c>
    </row>
    <row r="784" spans="1:4" x14ac:dyDescent="0.2">
      <c r="A784" s="5">
        <v>723</v>
      </c>
      <c r="B784" s="138">
        <f>'Expenditures 15-22'!D41</f>
        <v>11208</v>
      </c>
      <c r="D784" s="2" t="str">
        <f t="shared" si="11"/>
        <v>Error?</v>
      </c>
    </row>
    <row r="785" spans="1:4" x14ac:dyDescent="0.2">
      <c r="A785" s="5">
        <v>724</v>
      </c>
      <c r="B785" s="138">
        <f>'Expenditures 15-22'!D42</f>
        <v>191182</v>
      </c>
      <c r="C785" s="2" t="s">
        <v>593</v>
      </c>
      <c r="D785" s="2" t="str">
        <f t="shared" si="11"/>
        <v>Error?</v>
      </c>
    </row>
    <row r="786" spans="1:4" x14ac:dyDescent="0.2">
      <c r="A786" s="5">
        <v>725</v>
      </c>
      <c r="B786" s="138">
        <f>'Expenditures 15-22'!D44</f>
        <v>45395</v>
      </c>
      <c r="D786" s="2" t="str">
        <f t="shared" si="11"/>
        <v>Error?</v>
      </c>
    </row>
    <row r="787" spans="1:4" x14ac:dyDescent="0.2">
      <c r="A787" s="5">
        <v>726</v>
      </c>
      <c r="B787" s="138">
        <f>'Expenditures 15-22'!D45</f>
        <v>40469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85864</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40713</v>
      </c>
      <c r="D791" s="2" t="str">
        <f t="shared" si="11"/>
        <v>Error?</v>
      </c>
    </row>
    <row r="792" spans="1:4" x14ac:dyDescent="0.2">
      <c r="A792" s="5">
        <v>731</v>
      </c>
      <c r="B792" s="138">
        <f>'Expenditures 15-22'!D53</f>
        <v>64227</v>
      </c>
      <c r="C792" s="2" t="s">
        <v>593</v>
      </c>
      <c r="D792" s="2" t="str">
        <f t="shared" si="11"/>
        <v>Error?</v>
      </c>
    </row>
    <row r="793" spans="1:4" x14ac:dyDescent="0.2">
      <c r="A793" s="5">
        <v>732</v>
      </c>
      <c r="B793" s="138">
        <f>'Expenditures 15-22'!D55</f>
        <v>140478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140478</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56986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27717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84703</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26088</v>
      </c>
      <c r="D809" s="2" t="str">
        <f t="shared" si="11"/>
        <v>Error?</v>
      </c>
    </row>
    <row r="810" spans="1:4" x14ac:dyDescent="0.2">
      <c r="A810" s="10">
        <v>749</v>
      </c>
      <c r="D810" s="2" t="str">
        <f t="shared" si="11"/>
        <v>OK</v>
      </c>
    </row>
    <row r="811" spans="1:4" x14ac:dyDescent="0.2">
      <c r="A811" s="5">
        <v>750</v>
      </c>
      <c r="B811" s="138">
        <f>'Expenditures 15-22'!D72</f>
        <v>26088</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592542</v>
      </c>
      <c r="C813" s="2" t="s">
        <v>593</v>
      </c>
      <c r="D813" s="2" t="str">
        <f t="shared" si="11"/>
        <v>Error?</v>
      </c>
    </row>
    <row r="814" spans="1:4" x14ac:dyDescent="0.2">
      <c r="A814" s="5">
        <v>753</v>
      </c>
      <c r="B814" s="138">
        <f>'Expenditures 15-22'!D75</f>
        <v>5887</v>
      </c>
      <c r="D814" s="2" t="str">
        <f t="shared" si="11"/>
        <v>Error?</v>
      </c>
    </row>
    <row r="815" spans="1:4" x14ac:dyDescent="0.2">
      <c r="A815" s="5">
        <v>754</v>
      </c>
      <c r="B815" s="138">
        <f>'Expenditures 15-22'!D114</f>
        <v>2514488</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28961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766</v>
      </c>
      <c r="D833" s="2" t="str">
        <f t="shared" si="12"/>
        <v>Error?</v>
      </c>
    </row>
    <row r="834" spans="1:4" x14ac:dyDescent="0.2">
      <c r="A834" s="5">
        <v>773</v>
      </c>
      <c r="B834" s="138">
        <f>'Expenditures 15-22'!E14</f>
        <v>57764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221324</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5561</v>
      </c>
      <c r="D838" s="2" t="str">
        <f t="shared" si="12"/>
        <v>Error?</v>
      </c>
    </row>
    <row r="839" spans="1:4" x14ac:dyDescent="0.2">
      <c r="A839" s="5">
        <v>778</v>
      </c>
      <c r="B839" s="138">
        <f>'Expenditures 15-22'!E38</f>
        <v>534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712</v>
      </c>
      <c r="D842" s="2" t="str">
        <f t="shared" si="12"/>
        <v>Error?</v>
      </c>
    </row>
    <row r="843" spans="1:4" x14ac:dyDescent="0.2">
      <c r="A843" s="5">
        <v>782</v>
      </c>
      <c r="B843" s="138">
        <f>'Expenditures 15-22'!E42</f>
        <v>6807</v>
      </c>
      <c r="C843" s="2" t="s">
        <v>593</v>
      </c>
      <c r="D843" s="2" t="str">
        <f t="shared" si="12"/>
        <v>Error?</v>
      </c>
    </row>
    <row r="844" spans="1:4" x14ac:dyDescent="0.2">
      <c r="A844" s="5">
        <v>783</v>
      </c>
      <c r="B844" s="138">
        <f>'Expenditures 15-22'!E44</f>
        <v>60695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24195</v>
      </c>
      <c r="D846" s="2" t="str">
        <f t="shared" si="12"/>
        <v>Error?</v>
      </c>
    </row>
    <row r="847" spans="1:4" x14ac:dyDescent="0.2">
      <c r="A847" s="5">
        <v>786</v>
      </c>
      <c r="B847" s="138">
        <f>'Expenditures 15-22'!E47</f>
        <v>84890</v>
      </c>
      <c r="C847" s="2" t="s">
        <v>593</v>
      </c>
      <c r="D847" s="2" t="str">
        <f t="shared" si="12"/>
        <v>Error?</v>
      </c>
    </row>
    <row r="848" spans="1:4" x14ac:dyDescent="0.2">
      <c r="A848" s="5">
        <v>787</v>
      </c>
      <c r="B848" s="138">
        <f>'Expenditures 15-22'!E49</f>
        <v>65867</v>
      </c>
      <c r="D848" s="2" t="str">
        <f t="shared" si="12"/>
        <v>Error?</v>
      </c>
    </row>
    <row r="849" spans="1:4" x14ac:dyDescent="0.2">
      <c r="A849" s="5">
        <v>788</v>
      </c>
      <c r="B849" s="138">
        <f>'Expenditures 15-22'!E50</f>
        <v>58392</v>
      </c>
      <c r="D849" s="2" t="str">
        <f t="shared" si="12"/>
        <v>Error?</v>
      </c>
    </row>
    <row r="850" spans="1:4" x14ac:dyDescent="0.2">
      <c r="A850" s="5">
        <v>789</v>
      </c>
      <c r="B850" s="138">
        <f>'Expenditures 15-22'!E53</f>
        <v>129141</v>
      </c>
      <c r="C850" s="2" t="s">
        <v>593</v>
      </c>
      <c r="D850" s="2" t="str">
        <f t="shared" si="12"/>
        <v>Error?</v>
      </c>
    </row>
    <row r="851" spans="1:4" x14ac:dyDescent="0.2">
      <c r="A851" s="5">
        <v>790</v>
      </c>
      <c r="B851" s="138">
        <f>'Expenditures 15-22'!E55</f>
        <v>27120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27120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18810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10000</v>
      </c>
      <c r="D857" s="2" t="str">
        <f t="shared" si="12"/>
        <v>Error?</v>
      </c>
    </row>
    <row r="858" spans="1:4" x14ac:dyDescent="0.2">
      <c r="A858" s="5">
        <v>797</v>
      </c>
      <c r="B858" s="138">
        <f>'Expenditures 15-22'!E63</f>
        <v>11014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39824</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68714</v>
      </c>
      <c r="D867" s="2" t="str">
        <f t="shared" si="12"/>
        <v>Error?</v>
      </c>
    </row>
    <row r="868" spans="1:4" x14ac:dyDescent="0.2">
      <c r="A868" s="10">
        <v>807</v>
      </c>
      <c r="D868" s="2" t="str">
        <f t="shared" si="12"/>
        <v>OK</v>
      </c>
    </row>
    <row r="869" spans="1:4" x14ac:dyDescent="0.2">
      <c r="A869" s="5">
        <v>808</v>
      </c>
      <c r="B869" s="138">
        <f>'Expenditures 15-22'!E72</f>
        <v>68714</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356496</v>
      </c>
      <c r="C871" s="2" t="s">
        <v>593</v>
      </c>
      <c r="D871" s="2" t="str">
        <f t="shared" si="12"/>
        <v>Error?</v>
      </c>
    </row>
    <row r="872" spans="1:4" x14ac:dyDescent="0.2">
      <c r="A872" s="5">
        <v>811</v>
      </c>
      <c r="B872" s="138">
        <f>'Expenditures 15-22'!E75</f>
        <v>1886</v>
      </c>
      <c r="D872" s="2" t="str">
        <f t="shared" si="12"/>
        <v>Error?</v>
      </c>
    </row>
    <row r="873" spans="1:4" x14ac:dyDescent="0.2">
      <c r="A873" s="5">
        <v>812</v>
      </c>
      <c r="B873" s="138">
        <f>'Expenditures 15-22'!E114</f>
        <v>579706</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202043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61038</v>
      </c>
      <c r="D891" s="2" t="str">
        <f t="shared" si="12"/>
        <v>Error?</v>
      </c>
    </row>
    <row r="892" spans="1:4" x14ac:dyDescent="0.2">
      <c r="A892" s="5">
        <v>831</v>
      </c>
      <c r="B892" s="138">
        <f>'Expenditures 15-22'!F14</f>
        <v>32999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446534</v>
      </c>
      <c r="C894" s="2" t="s">
        <v>593</v>
      </c>
      <c r="D894" s="2" t="str">
        <f t="shared" si="12"/>
        <v>Error?</v>
      </c>
    </row>
    <row r="895" spans="1:4" x14ac:dyDescent="0.2">
      <c r="A895" s="5">
        <v>834</v>
      </c>
      <c r="B895" s="138">
        <f>'Expenditures 15-22'!F36</f>
        <v>380</v>
      </c>
      <c r="D895" s="2" t="str">
        <f t="shared" ref="D895:D958" si="13">IF(ISBLANK(B895),"OK",IF(A895-B895=0,"OK","Error?"))</f>
        <v>Error?</v>
      </c>
    </row>
    <row r="896" spans="1:4" x14ac:dyDescent="0.2">
      <c r="A896" s="5">
        <v>835</v>
      </c>
      <c r="B896" s="138">
        <f>'Expenditures 15-22'!F37</f>
        <v>1000</v>
      </c>
      <c r="D896" s="2" t="str">
        <f t="shared" si="13"/>
        <v>Error?</v>
      </c>
    </row>
    <row r="897" spans="1:4" x14ac:dyDescent="0.2">
      <c r="A897" s="5">
        <v>836</v>
      </c>
      <c r="B897" s="138">
        <f>'Expenditures 15-22'!F38</f>
        <v>1944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892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4216</v>
      </c>
      <c r="C901" s="2" t="s">
        <v>593</v>
      </c>
      <c r="D901" s="2" t="str">
        <f t="shared" si="13"/>
        <v>Error?</v>
      </c>
    </row>
    <row r="902" spans="1:4" x14ac:dyDescent="0.2">
      <c r="A902" s="5">
        <v>841</v>
      </c>
      <c r="B902" s="138">
        <f>'Expenditures 15-22'!F44</f>
        <v>7908</v>
      </c>
      <c r="D902" s="2" t="str">
        <f t="shared" si="13"/>
        <v>Error?</v>
      </c>
    </row>
    <row r="903" spans="1:4" x14ac:dyDescent="0.2">
      <c r="A903" s="5">
        <v>842</v>
      </c>
      <c r="B903" s="138">
        <f>'Expenditures 15-22'!F45</f>
        <v>6978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14886</v>
      </c>
      <c r="C905" s="2" t="s">
        <v>593</v>
      </c>
      <c r="D905" s="2" t="str">
        <f t="shared" si="13"/>
        <v>Error?</v>
      </c>
    </row>
    <row r="906" spans="1:4" x14ac:dyDescent="0.2">
      <c r="A906" s="5">
        <v>845</v>
      </c>
      <c r="B906" s="138">
        <f>'Expenditures 15-22'!F49</f>
        <v>1381</v>
      </c>
      <c r="D906" s="2" t="str">
        <f t="shared" si="13"/>
        <v>Error?</v>
      </c>
    </row>
    <row r="907" spans="1:4" x14ac:dyDescent="0.2">
      <c r="A907" s="5">
        <v>846</v>
      </c>
      <c r="B907" s="138">
        <f>'Expenditures 15-22'!F50</f>
        <v>56826</v>
      </c>
      <c r="D907" s="2" t="str">
        <f t="shared" si="13"/>
        <v>Error?</v>
      </c>
    </row>
    <row r="908" spans="1:4" x14ac:dyDescent="0.2">
      <c r="A908" s="5">
        <v>847</v>
      </c>
      <c r="B908" s="138">
        <f>'Expenditures 15-22'!F53</f>
        <v>60749</v>
      </c>
      <c r="C908" s="2" t="s">
        <v>593</v>
      </c>
      <c r="D908" s="2" t="str">
        <f t="shared" si="13"/>
        <v>Error?</v>
      </c>
    </row>
    <row r="909" spans="1:4" x14ac:dyDescent="0.2">
      <c r="A909" s="5">
        <v>848</v>
      </c>
      <c r="B909" s="138">
        <f>'Expenditures 15-22'!F55</f>
        <v>6215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6215</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1925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412812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414737</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94880</v>
      </c>
      <c r="D925" s="2" t="str">
        <f t="shared" si="13"/>
        <v>Error?</v>
      </c>
    </row>
    <row r="926" spans="1:4" x14ac:dyDescent="0.2">
      <c r="A926" s="10">
        <v>865</v>
      </c>
      <c r="D926" s="2" t="str">
        <f t="shared" si="13"/>
        <v>OK</v>
      </c>
    </row>
    <row r="927" spans="1:4" x14ac:dyDescent="0.2">
      <c r="A927" s="5">
        <v>866</v>
      </c>
      <c r="B927" s="138">
        <f>'Expenditures 15-22'!F72</f>
        <v>94880</v>
      </c>
      <c r="C927" s="2" t="s">
        <v>593</v>
      </c>
      <c r="D927" s="2" t="str">
        <f t="shared" si="13"/>
        <v>Error?</v>
      </c>
    </row>
    <row r="928" spans="1:4" x14ac:dyDescent="0.2">
      <c r="A928" s="5">
        <v>867</v>
      </c>
      <c r="B928" s="138">
        <f>'Expenditures 15-22'!F73</f>
        <v>253</v>
      </c>
      <c r="D928" s="2" t="str">
        <f t="shared" si="13"/>
        <v>Error?</v>
      </c>
    </row>
    <row r="929" spans="1:4" x14ac:dyDescent="0.2">
      <c r="A929" s="5">
        <v>868</v>
      </c>
      <c r="B929" s="138">
        <f>'Expenditures 15-22'!F74</f>
        <v>595936</v>
      </c>
      <c r="C929" s="2" t="s">
        <v>593</v>
      </c>
      <c r="D929" s="2" t="str">
        <f t="shared" si="13"/>
        <v>Error?</v>
      </c>
    </row>
    <row r="930" spans="1:4" x14ac:dyDescent="0.2">
      <c r="A930" s="5">
        <v>869</v>
      </c>
      <c r="B930" s="138">
        <f>'Expenditures 15-22'!F75</f>
        <v>13619</v>
      </c>
      <c r="D930" s="2" t="str">
        <f t="shared" si="13"/>
        <v>Error?</v>
      </c>
    </row>
    <row r="931" spans="1:4" x14ac:dyDescent="0.2">
      <c r="A931" s="5">
        <v>870</v>
      </c>
      <c r="B931" s="138">
        <f>'Expenditures 15-22'!F114</f>
        <v>1056089</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64915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42567</v>
      </c>
      <c r="D949" s="2" t="str">
        <f t="shared" si="13"/>
        <v>Error?</v>
      </c>
    </row>
    <row r="950" spans="1:4" x14ac:dyDescent="0.2">
      <c r="A950" s="5">
        <v>889</v>
      </c>
      <c r="B950" s="138">
        <f>'Expenditures 15-22'!G14</f>
        <v>5952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155593</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3585</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3585</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32786</v>
      </c>
      <c r="D965" s="2" t="str">
        <f t="shared" si="14"/>
        <v>Error?</v>
      </c>
    </row>
    <row r="966" spans="1:4" x14ac:dyDescent="0.2">
      <c r="A966" s="5">
        <v>905</v>
      </c>
      <c r="B966" s="138">
        <f>'Expenditures 15-22'!G53</f>
        <v>34048</v>
      </c>
      <c r="C966" s="2" t="s">
        <v>593</v>
      </c>
      <c r="D966" s="2" t="str">
        <f t="shared" si="14"/>
        <v>Error?</v>
      </c>
    </row>
    <row r="967" spans="1:4" x14ac:dyDescent="0.2">
      <c r="A967" s="5">
        <v>906</v>
      </c>
      <c r="B967" s="138">
        <f>'Expenditures 15-22'!G55</f>
        <v>7131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7131</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41426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41426</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93049</v>
      </c>
      <c r="D983" s="2" t="str">
        <f t="shared" si="14"/>
        <v>Error?</v>
      </c>
    </row>
    <row r="984" spans="1:4" x14ac:dyDescent="0.2">
      <c r="A984" s="10">
        <v>923</v>
      </c>
      <c r="D984" s="2" t="str">
        <f t="shared" si="14"/>
        <v>OK</v>
      </c>
    </row>
    <row r="985" spans="1:4" x14ac:dyDescent="0.2">
      <c r="A985" s="5">
        <v>924</v>
      </c>
      <c r="B985" s="138">
        <f>'Expenditures 15-22'!G72</f>
        <v>93049</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179239</v>
      </c>
      <c r="C987" s="2" t="s">
        <v>593</v>
      </c>
      <c r="D987" s="2" t="str">
        <f t="shared" si="14"/>
        <v>Error?</v>
      </c>
    </row>
    <row r="988" spans="1:4" x14ac:dyDescent="0.2">
      <c r="A988" s="5">
        <v>927</v>
      </c>
      <c r="B988" s="138">
        <f>'Expenditures 15-22'!G75</f>
        <v>1288</v>
      </c>
      <c r="D988" s="2" t="str">
        <f t="shared" si="14"/>
        <v>Error?</v>
      </c>
    </row>
    <row r="989" spans="1:4" x14ac:dyDescent="0.2">
      <c r="A989" s="5">
        <v>928</v>
      </c>
      <c r="B989" s="138">
        <f>'Expenditures 15-22'!G114</f>
        <v>336120</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1670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10436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349337</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675</v>
      </c>
      <c r="D1015" s="2" t="str">
        <f t="shared" si="14"/>
        <v>Error?</v>
      </c>
    </row>
    <row r="1016" spans="1:4" x14ac:dyDescent="0.2">
      <c r="A1016" s="5">
        <v>955</v>
      </c>
      <c r="B1016" s="138">
        <f>'Expenditures 15-22'!H41</f>
        <v>1822</v>
      </c>
      <c r="D1016" s="2" t="str">
        <f t="shared" si="14"/>
        <v>Error?</v>
      </c>
    </row>
    <row r="1017" spans="1:4" x14ac:dyDescent="0.2">
      <c r="A1017" s="5">
        <v>956</v>
      </c>
      <c r="B1017" s="138">
        <f>'Expenditures 15-22'!H42</f>
        <v>2497</v>
      </c>
      <c r="C1017" s="2" t="s">
        <v>593</v>
      </c>
      <c r="D1017" s="2" t="str">
        <f t="shared" si="14"/>
        <v>Error?</v>
      </c>
    </row>
    <row r="1018" spans="1:4" x14ac:dyDescent="0.2">
      <c r="A1018" s="5">
        <v>957</v>
      </c>
      <c r="B1018" s="138">
        <f>'Expenditures 15-22'!H44</f>
        <v>1878</v>
      </c>
      <c r="D1018" s="2" t="str">
        <f t="shared" si="14"/>
        <v>Error?</v>
      </c>
    </row>
    <row r="1019" spans="1:4" x14ac:dyDescent="0.2">
      <c r="A1019" s="5">
        <v>958</v>
      </c>
      <c r="B1019" s="138">
        <f>'Expenditures 15-22'!H45</f>
        <v>12727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14605</v>
      </c>
      <c r="C1021" s="2" t="s">
        <v>593</v>
      </c>
      <c r="D1021" s="2" t="str">
        <f t="shared" si="14"/>
        <v>Error?</v>
      </c>
    </row>
    <row r="1022" spans="1:4" x14ac:dyDescent="0.2">
      <c r="A1022" s="5">
        <v>961</v>
      </c>
      <c r="B1022" s="138">
        <f>'Expenditures 15-22'!H49</f>
        <v>6307</v>
      </c>
      <c r="D1022" s="2" t="str">
        <f t="shared" si="14"/>
        <v>Error?</v>
      </c>
    </row>
    <row r="1023" spans="1:4" x14ac:dyDescent="0.2">
      <c r="A1023" s="5">
        <v>962</v>
      </c>
      <c r="B1023" s="138">
        <f>'Expenditures 15-22'!H50</f>
        <v>5588</v>
      </c>
      <c r="D1023" s="2" t="str">
        <f t="shared" ref="D1023:D1086" si="15">IF(ISBLANK(B1023),"OK",IF(A1023-B1023=0,"OK","Error?"))</f>
        <v>Error?</v>
      </c>
    </row>
    <row r="1024" spans="1:4" x14ac:dyDescent="0.2">
      <c r="A1024" s="5">
        <v>963</v>
      </c>
      <c r="B1024" s="138">
        <f>'Expenditures 15-22'!H53</f>
        <v>11895</v>
      </c>
      <c r="C1024" s="2" t="s">
        <v>593</v>
      </c>
      <c r="D1024" s="2" t="str">
        <f t="shared" si="15"/>
        <v>Error?</v>
      </c>
    </row>
    <row r="1025" spans="1:4" x14ac:dyDescent="0.2">
      <c r="A1025" s="5">
        <v>964</v>
      </c>
      <c r="B1025" s="138">
        <f>'Expenditures 15-22'!H55</f>
        <v>2310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2310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1458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1632</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32939</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33827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416103</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8086719</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695131</v>
      </c>
      <c r="C1105" s="2" t="s">
        <v>593</v>
      </c>
      <c r="D1105" s="2" t="str">
        <f t="shared" si="16"/>
        <v>Error?</v>
      </c>
    </row>
    <row r="1106" spans="1:4" x14ac:dyDescent="0.2">
      <c r="A1106" s="5">
        <v>1045</v>
      </c>
      <c r="B1106" s="138">
        <f>'Expenditures 15-22'!K14</f>
        <v>360191</v>
      </c>
      <c r="C1106" s="2" t="s">
        <v>593</v>
      </c>
      <c r="D1106" s="2" t="str">
        <f t="shared" si="16"/>
        <v>Error?</v>
      </c>
    </row>
    <row r="1107" spans="1:4" x14ac:dyDescent="0.2">
      <c r="A1107" s="5">
        <v>1046</v>
      </c>
      <c r="B1107" s="138">
        <f>'Expenditures 15-22'!K15</f>
        <v>6706</v>
      </c>
      <c r="C1107" s="2" t="s">
        <v>593</v>
      </c>
      <c r="D1107" s="2" t="str">
        <f t="shared" si="16"/>
        <v>Error?</v>
      </c>
    </row>
    <row r="1108" spans="1:4" x14ac:dyDescent="0.2">
      <c r="A1108" s="5">
        <v>1047</v>
      </c>
      <c r="B1108" s="138">
        <f>'Expenditures 15-22'!K33</f>
        <v>12376513</v>
      </c>
      <c r="C1108" s="2" t="s">
        <v>593</v>
      </c>
      <c r="D1108" s="2" t="str">
        <f t="shared" si="16"/>
        <v>Error?</v>
      </c>
    </row>
    <row r="1109" spans="1:4" x14ac:dyDescent="0.2">
      <c r="A1109" s="5">
        <v>1048</v>
      </c>
      <c r="B1109" s="138">
        <f>'Expenditures 15-22'!K36</f>
        <v>339164</v>
      </c>
      <c r="C1109" s="2" t="s">
        <v>593</v>
      </c>
      <c r="D1109" s="2" t="str">
        <f t="shared" si="16"/>
        <v>Error?</v>
      </c>
    </row>
    <row r="1110" spans="1:4" x14ac:dyDescent="0.2">
      <c r="A1110" s="5">
        <v>1049</v>
      </c>
      <c r="B1110" s="138">
        <f>'Expenditures 15-22'!K37</f>
        <v>194360</v>
      </c>
      <c r="C1110" s="2" t="s">
        <v>593</v>
      </c>
      <c r="D1110" s="2" t="str">
        <f t="shared" si="16"/>
        <v>Error?</v>
      </c>
    </row>
    <row r="1111" spans="1:4" x14ac:dyDescent="0.2">
      <c r="A1111" s="5">
        <v>1050</v>
      </c>
      <c r="B1111" s="138">
        <f>'Expenditures 15-22'!K38</f>
        <v>158318</v>
      </c>
      <c r="C1111" s="2" t="s">
        <v>593</v>
      </c>
      <c r="D1111" s="2" t="str">
        <f t="shared" si="16"/>
        <v>Error?</v>
      </c>
    </row>
    <row r="1112" spans="1:4" x14ac:dyDescent="0.2">
      <c r="A1112" s="5">
        <v>1051</v>
      </c>
      <c r="B1112" s="138">
        <f>'Expenditures 15-22'!K39</f>
        <v>92140</v>
      </c>
      <c r="C1112" s="2" t="s">
        <v>593</v>
      </c>
      <c r="D1112" s="2" t="str">
        <f t="shared" si="16"/>
        <v>Error?</v>
      </c>
    </row>
    <row r="1113" spans="1:4" x14ac:dyDescent="0.2">
      <c r="A1113" s="5">
        <v>1052</v>
      </c>
      <c r="B1113" s="138">
        <f>'Expenditures 15-22'!K40</f>
        <v>287613</v>
      </c>
      <c r="C1113" s="2" t="s">
        <v>593</v>
      </c>
      <c r="D1113" s="2" t="str">
        <f t="shared" si="16"/>
        <v>Error?</v>
      </c>
    </row>
    <row r="1114" spans="1:4" x14ac:dyDescent="0.2">
      <c r="A1114" s="5">
        <v>1053</v>
      </c>
      <c r="B1114" s="138">
        <f>'Expenditures 15-22'!K41</f>
        <v>114335</v>
      </c>
      <c r="C1114" s="2" t="s">
        <v>593</v>
      </c>
      <c r="D1114" s="2" t="str">
        <f t="shared" si="16"/>
        <v>Error?</v>
      </c>
    </row>
    <row r="1115" spans="1:4" x14ac:dyDescent="0.2">
      <c r="A1115" s="5">
        <v>1054</v>
      </c>
      <c r="B1115" s="138">
        <f>'Expenditures 15-22'!K42</f>
        <v>1185930</v>
      </c>
      <c r="C1115" s="2" t="s">
        <v>593</v>
      </c>
      <c r="D1115" s="2" t="str">
        <f t="shared" si="16"/>
        <v>Error?</v>
      </c>
    </row>
    <row r="1116" spans="1:4" x14ac:dyDescent="0.2">
      <c r="A1116" s="5">
        <v>1055</v>
      </c>
      <c r="B1116" s="138">
        <f>'Expenditures 15-22'!K44</f>
        <v>321434</v>
      </c>
      <c r="C1116" s="2" t="s">
        <v>593</v>
      </c>
      <c r="D1116" s="2" t="str">
        <f t="shared" si="16"/>
        <v>Error?</v>
      </c>
    </row>
    <row r="1117" spans="1:4" x14ac:dyDescent="0.2">
      <c r="A1117" s="5">
        <v>1056</v>
      </c>
      <c r="B1117" s="138">
        <f>'Expenditures 15-22'!K45</f>
        <v>291520</v>
      </c>
      <c r="C1117" s="2" t="s">
        <v>593</v>
      </c>
      <c r="D1117" s="2" t="str">
        <f t="shared" si="16"/>
        <v>Error?</v>
      </c>
    </row>
    <row r="1118" spans="1:4" x14ac:dyDescent="0.2">
      <c r="A1118" s="5">
        <v>1057</v>
      </c>
      <c r="B1118" s="138">
        <f>'Expenditures 15-22'!K46</f>
        <v>24195</v>
      </c>
      <c r="C1118" s="2" t="s">
        <v>593</v>
      </c>
      <c r="D1118" s="2" t="str">
        <f t="shared" si="16"/>
        <v>Error?</v>
      </c>
    </row>
    <row r="1119" spans="1:4" x14ac:dyDescent="0.2">
      <c r="A1119" s="5">
        <v>1058</v>
      </c>
      <c r="B1119" s="138">
        <f>'Expenditures 15-22'!K47</f>
        <v>637149</v>
      </c>
      <c r="C1119" s="2" t="s">
        <v>593</v>
      </c>
      <c r="D1119" s="2" t="str">
        <f t="shared" si="16"/>
        <v>Error?</v>
      </c>
    </row>
    <row r="1120" spans="1:4" x14ac:dyDescent="0.2">
      <c r="A1120" s="5">
        <v>1059</v>
      </c>
      <c r="B1120" s="138">
        <f>'Expenditures 15-22'!K49</f>
        <v>73555</v>
      </c>
      <c r="C1120" s="2" t="s">
        <v>593</v>
      </c>
      <c r="D1120" s="2" t="str">
        <f t="shared" si="16"/>
        <v>Error?</v>
      </c>
    </row>
    <row r="1121" spans="1:4" x14ac:dyDescent="0.2">
      <c r="A1121" s="5">
        <v>1060</v>
      </c>
      <c r="B1121" s="138">
        <f>'Expenditures 15-22'!K50</f>
        <v>392547</v>
      </c>
      <c r="C1121" s="2" t="s">
        <v>593</v>
      </c>
      <c r="D1121" s="2" t="str">
        <f t="shared" si="16"/>
        <v>Error?</v>
      </c>
    </row>
    <row r="1122" spans="1:4" x14ac:dyDescent="0.2">
      <c r="A1122" s="5">
        <v>1061</v>
      </c>
      <c r="B1122" s="138">
        <f>'Expenditures 15-22'!K53</f>
        <v>632034</v>
      </c>
      <c r="C1122" s="2" t="s">
        <v>593</v>
      </c>
      <c r="D1122" s="2" t="str">
        <f t="shared" si="16"/>
        <v>Error?</v>
      </c>
    </row>
    <row r="1123" spans="1:4" x14ac:dyDescent="0.2">
      <c r="A1123" s="5">
        <v>1062</v>
      </c>
      <c r="B1123" s="138">
        <f>'Expenditures 15-22'!K55</f>
        <v>969181</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969181</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353392</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10000</v>
      </c>
      <c r="C1129" s="2" t="s">
        <v>593</v>
      </c>
      <c r="D1129" s="2" t="str">
        <f t="shared" si="16"/>
        <v>Error?</v>
      </c>
    </row>
    <row r="1130" spans="1:4" x14ac:dyDescent="0.2">
      <c r="A1130" s="5">
        <v>1069</v>
      </c>
      <c r="B1130" s="138">
        <f>'Expenditures 15-22'!K63</f>
        <v>1006181</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1369573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530150</v>
      </c>
      <c r="C1139" s="2" t="s">
        <v>593</v>
      </c>
      <c r="D1139" s="2" t="str">
        <f t="shared" si="16"/>
        <v>Error?</v>
      </c>
    </row>
    <row r="1140" spans="1:4" x14ac:dyDescent="0.2">
      <c r="A1140" s="10">
        <v>1079</v>
      </c>
      <c r="D1140" s="2" t="str">
        <f t="shared" si="16"/>
        <v>OK</v>
      </c>
    </row>
    <row r="1141" spans="1:4" x14ac:dyDescent="0.2">
      <c r="A1141" s="5">
        <v>1080</v>
      </c>
      <c r="B1141" s="138">
        <f>'Expenditures 15-22'!K72</f>
        <v>530150</v>
      </c>
      <c r="C1141" s="2" t="s">
        <v>593</v>
      </c>
      <c r="D1141" s="2" t="str">
        <f t="shared" si="16"/>
        <v>Error?</v>
      </c>
    </row>
    <row r="1142" spans="1:4" x14ac:dyDescent="0.2">
      <c r="A1142" s="5">
        <v>1081</v>
      </c>
      <c r="B1142" s="138">
        <f>'Expenditures 15-22'!K73</f>
        <v>253</v>
      </c>
      <c r="C1142" s="2" t="s">
        <v>593</v>
      </c>
      <c r="D1142" s="2" t="str">
        <f t="shared" si="16"/>
        <v>Error?</v>
      </c>
    </row>
    <row r="1143" spans="1:4" x14ac:dyDescent="0.2">
      <c r="A1143" s="5">
        <v>1082</v>
      </c>
      <c r="B1143" s="138">
        <f>'Expenditures 15-22'!K74</f>
        <v>5324270</v>
      </c>
      <c r="C1143" s="2" t="s">
        <v>593</v>
      </c>
      <c r="D1143" s="2" t="str">
        <f t="shared" si="16"/>
        <v>Error?</v>
      </c>
    </row>
    <row r="1144" spans="1:4" x14ac:dyDescent="0.2">
      <c r="A1144" s="5">
        <v>1083</v>
      </c>
      <c r="B1144" s="138">
        <f>'Expenditures 15-22'!K75</f>
        <v>78985</v>
      </c>
      <c r="C1144" s="2" t="s">
        <v>593</v>
      </c>
      <c r="D1144" s="2" t="str">
        <f t="shared" si="16"/>
        <v>Error?</v>
      </c>
    </row>
    <row r="1145" spans="1:4" x14ac:dyDescent="0.2">
      <c r="A1145" s="5">
        <v>1084</v>
      </c>
      <c r="B1145" s="138">
        <f>'Expenditures 15-22'!K102</f>
        <v>33827</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17813595</v>
      </c>
      <c r="C1152" s="2" t="s">
        <v>593</v>
      </c>
      <c r="D1152" s="2" t="str">
        <f t="shared" si="17"/>
        <v>Error?</v>
      </c>
    </row>
    <row r="1153" spans="1:4" x14ac:dyDescent="0.2">
      <c r="A1153" s="5">
        <v>1092</v>
      </c>
      <c r="B1153" s="138">
        <f>'Expenditures 15-22'!K115</f>
        <v>244739</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839056</v>
      </c>
      <c r="D1221" s="2" t="str">
        <f t="shared" si="18"/>
        <v>Error?</v>
      </c>
    </row>
    <row r="1222" spans="1:4" x14ac:dyDescent="0.2">
      <c r="A1222" s="10">
        <v>1161</v>
      </c>
      <c r="D1222" s="2" t="str">
        <f t="shared" si="18"/>
        <v>OK</v>
      </c>
    </row>
    <row r="1223" spans="1:4" x14ac:dyDescent="0.2">
      <c r="A1223" s="5">
        <v>1162</v>
      </c>
      <c r="B1223" s="138">
        <f>'Expenditures 15-22'!C127</f>
        <v>839056</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839056</v>
      </c>
      <c r="C1225" s="2" t="s">
        <v>593</v>
      </c>
      <c r="D1225" s="2" t="str">
        <f t="shared" si="18"/>
        <v>Error?</v>
      </c>
    </row>
    <row r="1226" spans="1:4" x14ac:dyDescent="0.2">
      <c r="A1226" s="5">
        <v>1165</v>
      </c>
      <c r="B1226" s="138">
        <f>'Expenditures 15-22'!C151</f>
        <v>839056</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96524</v>
      </c>
      <c r="D1229" s="2" t="str">
        <f t="shared" si="18"/>
        <v>Error?</v>
      </c>
    </row>
    <row r="1230" spans="1:4" x14ac:dyDescent="0.2">
      <c r="A1230" s="10">
        <v>1169</v>
      </c>
      <c r="D1230" s="2" t="str">
        <f t="shared" si="18"/>
        <v>OK</v>
      </c>
    </row>
    <row r="1231" spans="1:4" x14ac:dyDescent="0.2">
      <c r="A1231" s="5">
        <v>1170</v>
      </c>
      <c r="B1231" s="138">
        <f>'Expenditures 15-22'!D127</f>
        <v>96524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96524</v>
      </c>
      <c r="C1233" s="2" t="s">
        <v>593</v>
      </c>
      <c r="D1233" s="2" t="str">
        <f t="shared" si="18"/>
        <v>Error?</v>
      </c>
    </row>
    <row r="1234" spans="1:4" x14ac:dyDescent="0.2">
      <c r="A1234" s="5">
        <v>1173</v>
      </c>
      <c r="B1234" s="138">
        <f>'Expenditures 15-22'!D151</f>
        <v>96524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242071</v>
      </c>
      <c r="D1237" s="2" t="str">
        <f t="shared" si="18"/>
        <v>Error?</v>
      </c>
    </row>
    <row r="1238" spans="1:4" x14ac:dyDescent="0.2">
      <c r="A1238" s="10">
        <v>1177</v>
      </c>
      <c r="D1238" s="2" t="str">
        <f t="shared" si="18"/>
        <v>OK</v>
      </c>
    </row>
    <row r="1239" spans="1:4" x14ac:dyDescent="0.2">
      <c r="A1239" s="5">
        <v>1178</v>
      </c>
      <c r="B1239" s="138">
        <f>'Expenditures 15-22'!E127</f>
        <v>242071</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242071</v>
      </c>
      <c r="C1241" s="2" t="s">
        <v>593</v>
      </c>
      <c r="D1241" s="2" t="str">
        <f t="shared" si="18"/>
        <v>Error?</v>
      </c>
    </row>
    <row r="1242" spans="1:4" x14ac:dyDescent="0.2">
      <c r="A1242" s="5">
        <v>1181</v>
      </c>
      <c r="B1242" s="138">
        <f>'Expenditures 15-22'!E151</f>
        <v>242071</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636508</v>
      </c>
      <c r="D1245" s="2" t="str">
        <f t="shared" si="18"/>
        <v>Error?</v>
      </c>
    </row>
    <row r="1246" spans="1:4" x14ac:dyDescent="0.2">
      <c r="A1246" s="10">
        <v>1185</v>
      </c>
      <c r="D1246" s="2" t="str">
        <f t="shared" si="18"/>
        <v>OK</v>
      </c>
    </row>
    <row r="1247" spans="1:4" x14ac:dyDescent="0.2">
      <c r="A1247" s="5">
        <v>1186</v>
      </c>
      <c r="B1247" s="138">
        <f>'Expenditures 15-22'!F127</f>
        <v>636508</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636508</v>
      </c>
      <c r="C1249" s="2" t="s">
        <v>593</v>
      </c>
      <c r="D1249" s="2" t="str">
        <f t="shared" si="18"/>
        <v>Error?</v>
      </c>
    </row>
    <row r="1250" spans="1:4" x14ac:dyDescent="0.2">
      <c r="A1250" s="5">
        <v>1189</v>
      </c>
      <c r="B1250" s="138">
        <f>'Expenditures 15-22'!F151</f>
        <v>636508</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160374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160374</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160374</v>
      </c>
      <c r="C1258" s="2" t="s">
        <v>593</v>
      </c>
      <c r="D1258" s="2" t="str">
        <f t="shared" si="18"/>
        <v>Error?</v>
      </c>
    </row>
    <row r="1259" spans="1:4" x14ac:dyDescent="0.2">
      <c r="A1259" s="5">
        <v>1198</v>
      </c>
      <c r="B1259" s="138">
        <f>'Expenditures 15-22'!G151</f>
        <v>160374</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806988</v>
      </c>
      <c r="D1262" s="2" t="str">
        <f t="shared" si="18"/>
        <v>Error?</v>
      </c>
    </row>
    <row r="1263" spans="1:4" x14ac:dyDescent="0.2">
      <c r="A1263" s="10">
        <v>1202</v>
      </c>
      <c r="D1263" s="2" t="str">
        <f t="shared" si="18"/>
        <v>OK</v>
      </c>
    </row>
    <row r="1264" spans="1:4" x14ac:dyDescent="0.2">
      <c r="A1264" s="5">
        <v>1203</v>
      </c>
      <c r="B1264" s="138">
        <f>'Expenditures 15-22'!H127</f>
        <v>806988</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806988</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806988</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2782372</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2782372</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2782372</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2782372</v>
      </c>
      <c r="C1288" s="2" t="s">
        <v>593</v>
      </c>
      <c r="D1288" s="2" t="str">
        <f t="shared" si="19"/>
        <v>Error?</v>
      </c>
    </row>
    <row r="1289" spans="1:4" x14ac:dyDescent="0.2">
      <c r="A1289" s="5">
        <v>1228</v>
      </c>
      <c r="B1289" s="138">
        <f>'Expenditures 15-22'!K152</f>
        <v>-78380</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787999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1441338</v>
      </c>
      <c r="D1315" s="2" t="str">
        <f t="shared" si="19"/>
        <v>Error?</v>
      </c>
    </row>
    <row r="1316" spans="1:4" x14ac:dyDescent="0.2">
      <c r="A1316" s="5">
        <v>1255</v>
      </c>
      <c r="B1316" s="138">
        <f>'Expenditures 15-22'!H171</f>
        <v>16301</v>
      </c>
      <c r="D1316" s="2" t="str">
        <f t="shared" si="19"/>
        <v>Error?</v>
      </c>
    </row>
    <row r="1317" spans="1:4" x14ac:dyDescent="0.2">
      <c r="A1317" s="5">
        <v>1256</v>
      </c>
      <c r="B1317" s="138">
        <f>'Expenditures 15-22'!H172</f>
        <v>2245638</v>
      </c>
      <c r="C1317" s="2" t="s">
        <v>593</v>
      </c>
      <c r="D1317" s="2" t="str">
        <f t="shared" si="19"/>
        <v>Error?</v>
      </c>
    </row>
    <row r="1318" spans="1:4" x14ac:dyDescent="0.2">
      <c r="A1318" s="5">
        <v>1257</v>
      </c>
      <c r="B1318" s="138">
        <f>'Expenditures 15-22'!H174</f>
        <v>2245638</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787999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1441338</v>
      </c>
      <c r="C1329" s="2" t="s">
        <v>593</v>
      </c>
      <c r="D1329" s="2" t="str">
        <f t="shared" si="19"/>
        <v>Error?</v>
      </c>
    </row>
    <row r="1330" spans="1:4" x14ac:dyDescent="0.2">
      <c r="A1330" s="5">
        <v>1269</v>
      </c>
      <c r="B1330" s="138">
        <f>'Expenditures 15-22'!K171</f>
        <v>16301</v>
      </c>
      <c r="C1330" s="2" t="s">
        <v>593</v>
      </c>
      <c r="D1330" s="2" t="str">
        <f t="shared" si="19"/>
        <v>Error?</v>
      </c>
    </row>
    <row r="1331" spans="1:4" x14ac:dyDescent="0.2">
      <c r="A1331" s="5">
        <v>1270</v>
      </c>
      <c r="B1331" s="138">
        <f>'Expenditures 15-22'!K172</f>
        <v>2245638</v>
      </c>
      <c r="C1331" s="2" t="s">
        <v>593</v>
      </c>
      <c r="D1331" s="2" t="str">
        <f t="shared" si="19"/>
        <v>Error?</v>
      </c>
    </row>
    <row r="1332" spans="1:4" x14ac:dyDescent="0.2">
      <c r="A1332" s="5">
        <v>1271</v>
      </c>
      <c r="B1332" s="138">
        <f>'Expenditures 15-22'!K174</f>
        <v>2245638</v>
      </c>
      <c r="C1332" s="2" t="s">
        <v>593</v>
      </c>
      <c r="D1332" s="2" t="str">
        <f t="shared" si="19"/>
        <v>Error?</v>
      </c>
    </row>
    <row r="1333" spans="1:4" x14ac:dyDescent="0.2">
      <c r="A1333" s="5">
        <v>1272</v>
      </c>
      <c r="B1333" s="138">
        <f>'Expenditures 15-22'!K175</f>
        <v>-209524</v>
      </c>
      <c r="C1333" s="2" t="s">
        <v>593</v>
      </c>
      <c r="D1333" s="2" t="str">
        <f t="shared" si="19"/>
        <v>Error?</v>
      </c>
    </row>
    <row r="1334" spans="1:4" x14ac:dyDescent="0.2">
      <c r="A1334" s="10">
        <v>1273</v>
      </c>
      <c r="D1334" s="2" t="str">
        <f t="shared" si="19"/>
        <v>OK</v>
      </c>
    </row>
    <row r="1335" spans="1:4" x14ac:dyDescent="0.2">
      <c r="A1335" s="5">
        <v>1274</v>
      </c>
      <c r="B1335" s="138">
        <f>'Expenditures 15-22'!C182</f>
        <v>509683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509683</v>
      </c>
      <c r="C1339" s="2" t="s">
        <v>593</v>
      </c>
      <c r="D1339" s="2" t="str">
        <f t="shared" si="19"/>
        <v>Error?</v>
      </c>
    </row>
    <row r="1340" spans="1:4" x14ac:dyDescent="0.2">
      <c r="A1340" s="5">
        <v>1279</v>
      </c>
      <c r="B1340" s="138">
        <f>'Expenditures 15-22'!C210</f>
        <v>509683</v>
      </c>
      <c r="C1340" s="2" t="s">
        <v>593</v>
      </c>
      <c r="D1340" s="2" t="str">
        <f t="shared" si="19"/>
        <v>Error?</v>
      </c>
    </row>
    <row r="1341" spans="1:4" x14ac:dyDescent="0.2">
      <c r="A1341" s="5">
        <v>1280</v>
      </c>
      <c r="B1341" s="138">
        <f>'Expenditures 15-22'!D182</f>
        <v>29984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29984</v>
      </c>
      <c r="C1345" s="2" t="s">
        <v>593</v>
      </c>
      <c r="D1345" s="2" t="str">
        <f t="shared" si="20"/>
        <v>Error?</v>
      </c>
    </row>
    <row r="1346" spans="1:4" x14ac:dyDescent="0.2">
      <c r="A1346" s="5">
        <v>1285</v>
      </c>
      <c r="B1346" s="138">
        <f>'Expenditures 15-22'!D210</f>
        <v>29984</v>
      </c>
      <c r="C1346" s="2" t="s">
        <v>593</v>
      </c>
      <c r="D1346" s="2" t="str">
        <f t="shared" si="20"/>
        <v>Error?</v>
      </c>
    </row>
    <row r="1347" spans="1:4" x14ac:dyDescent="0.2">
      <c r="A1347" s="5">
        <v>1286</v>
      </c>
      <c r="B1347" s="138">
        <f>'Expenditures 15-22'!E182</f>
        <v>62309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62309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62309</v>
      </c>
      <c r="C1353" s="2" t="s">
        <v>593</v>
      </c>
      <c r="D1353" s="2" t="str">
        <f t="shared" si="20"/>
        <v>Error?</v>
      </c>
    </row>
    <row r="1354" spans="1:4" x14ac:dyDescent="0.2">
      <c r="A1354" s="5">
        <v>1293</v>
      </c>
      <c r="B1354" s="138">
        <f>'Expenditures 15-22'!F182</f>
        <v>102466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102466</v>
      </c>
      <c r="C1358" s="2" t="s">
        <v>593</v>
      </c>
      <c r="D1358" s="2" t="str">
        <f t="shared" si="20"/>
        <v>Error?</v>
      </c>
    </row>
    <row r="1359" spans="1:4" x14ac:dyDescent="0.2">
      <c r="A1359" s="5">
        <v>1298</v>
      </c>
      <c r="B1359" s="138">
        <f>'Expenditures 15-22'!F210</f>
        <v>102466</v>
      </c>
      <c r="C1359" s="2" t="s">
        <v>593</v>
      </c>
      <c r="D1359" s="2" t="str">
        <f t="shared" si="20"/>
        <v>Error?</v>
      </c>
    </row>
    <row r="1360" spans="1:4" x14ac:dyDescent="0.2">
      <c r="A1360" s="5">
        <v>1299</v>
      </c>
      <c r="B1360" s="138">
        <f>'Expenditures 15-22'!G182</f>
        <v>212743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212743</v>
      </c>
      <c r="C1364" s="2" t="s">
        <v>593</v>
      </c>
      <c r="D1364" s="2" t="str">
        <f t="shared" si="20"/>
        <v>Error?</v>
      </c>
    </row>
    <row r="1365" spans="1:4" x14ac:dyDescent="0.2">
      <c r="A1365" s="5">
        <v>1304</v>
      </c>
      <c r="B1365" s="138">
        <f>'Expenditures 15-22'!G210</f>
        <v>212743</v>
      </c>
      <c r="C1365" s="2" t="s">
        <v>593</v>
      </c>
      <c r="D1365" s="2" t="str">
        <f t="shared" si="20"/>
        <v>Error?</v>
      </c>
    </row>
    <row r="1366" spans="1:4" x14ac:dyDescent="0.2">
      <c r="A1366" s="5">
        <v>1305</v>
      </c>
      <c r="B1366" s="138">
        <f>'Expenditures 15-22'!H182</f>
        <v>300665</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300665</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300665</v>
      </c>
      <c r="C1376" s="2" t="s">
        <v>593</v>
      </c>
      <c r="D1376" s="2" t="str">
        <f t="shared" si="20"/>
        <v>Error?</v>
      </c>
    </row>
    <row r="1377" spans="1:4" x14ac:dyDescent="0.2">
      <c r="A1377" s="5">
        <v>1316</v>
      </c>
      <c r="B1377" s="138">
        <f>'Expenditures 15-22'!K182</f>
        <v>1217850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1217850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1217850</v>
      </c>
      <c r="C1388" s="2" t="s">
        <v>593</v>
      </c>
      <c r="D1388" s="2" t="str">
        <f t="shared" si="20"/>
        <v>Error?</v>
      </c>
    </row>
    <row r="1389" spans="1:4" x14ac:dyDescent="0.2">
      <c r="A1389" s="5">
        <v>1328</v>
      </c>
      <c r="B1389" s="138">
        <f>'Expenditures 15-22'!K211</f>
        <v>31215</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930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6410</v>
      </c>
      <c r="D1407" s="2" t="str">
        <f t="shared" ref="D1407:D1470" si="21">IF(ISBLANK(B1407),"OK",IF(A1407-B1407=0,"OK","Error?"))</f>
        <v>Error?</v>
      </c>
    </row>
    <row r="1408" spans="1:4" x14ac:dyDescent="0.2">
      <c r="A1408" s="5">
        <v>1347</v>
      </c>
      <c r="B1408" s="138">
        <f>'Expenditures 15-22'!D223</f>
        <v>7872</v>
      </c>
      <c r="D1408" s="2" t="str">
        <f t="shared" si="21"/>
        <v>Error?</v>
      </c>
    </row>
    <row r="1409" spans="1:4" x14ac:dyDescent="0.2">
      <c r="A1409" s="5">
        <v>1348</v>
      </c>
      <c r="B1409" s="138">
        <f>'Expenditures 15-22'!D224</f>
        <v>87</v>
      </c>
      <c r="D1409" s="2" t="str">
        <f t="shared" si="21"/>
        <v>Error?</v>
      </c>
    </row>
    <row r="1410" spans="1:4" x14ac:dyDescent="0.2">
      <c r="A1410" s="5">
        <v>1349</v>
      </c>
      <c r="B1410" s="138">
        <f>'Expenditures 15-22'!D229</f>
        <v>247439</v>
      </c>
      <c r="C1410" s="2" t="s">
        <v>593</v>
      </c>
      <c r="D1410" s="2" t="str">
        <f t="shared" si="21"/>
        <v>Error?</v>
      </c>
    </row>
    <row r="1411" spans="1:4" x14ac:dyDescent="0.2">
      <c r="A1411" s="5">
        <v>1350</v>
      </c>
      <c r="B1411" s="138">
        <f>'Expenditures 15-22'!D232</f>
        <v>4189</v>
      </c>
      <c r="D1411" s="2" t="str">
        <f t="shared" si="21"/>
        <v>Error?</v>
      </c>
    </row>
    <row r="1412" spans="1:4" x14ac:dyDescent="0.2">
      <c r="A1412" s="5">
        <v>1351</v>
      </c>
      <c r="B1412" s="138">
        <f>'Expenditures 15-22'!D233</f>
        <v>4048</v>
      </c>
      <c r="D1412" s="2" t="str">
        <f t="shared" si="21"/>
        <v>Error?</v>
      </c>
    </row>
    <row r="1413" spans="1:4" x14ac:dyDescent="0.2">
      <c r="A1413" s="5">
        <v>1352</v>
      </c>
      <c r="B1413" s="138">
        <f>'Expenditures 15-22'!D234</f>
        <v>12645</v>
      </c>
      <c r="D1413" s="2" t="str">
        <f t="shared" si="21"/>
        <v>Error?</v>
      </c>
    </row>
    <row r="1414" spans="1:4" x14ac:dyDescent="0.2">
      <c r="A1414" s="5">
        <v>1353</v>
      </c>
      <c r="B1414" s="138">
        <f>'Expenditures 15-22'!D235</f>
        <v>1061</v>
      </c>
      <c r="D1414" s="2" t="str">
        <f t="shared" si="21"/>
        <v>Error?</v>
      </c>
    </row>
    <row r="1415" spans="1:4" x14ac:dyDescent="0.2">
      <c r="A1415" s="5">
        <v>1354</v>
      </c>
      <c r="B1415" s="138">
        <f>'Expenditures 15-22'!D236</f>
        <v>3189</v>
      </c>
      <c r="D1415" s="2" t="str">
        <f t="shared" si="21"/>
        <v>Error?</v>
      </c>
    </row>
    <row r="1416" spans="1:4" x14ac:dyDescent="0.2">
      <c r="A1416" s="5">
        <v>1355</v>
      </c>
      <c r="B1416" s="138">
        <f>'Expenditures 15-22'!D237</f>
        <v>2558</v>
      </c>
      <c r="D1416" s="2" t="str">
        <f t="shared" si="21"/>
        <v>Error?</v>
      </c>
    </row>
    <row r="1417" spans="1:4" x14ac:dyDescent="0.2">
      <c r="A1417" s="5">
        <v>1356</v>
      </c>
      <c r="B1417" s="138">
        <f>'Expenditures 15-22'!D238</f>
        <v>27690</v>
      </c>
      <c r="C1417" s="2" t="s">
        <v>593</v>
      </c>
      <c r="D1417" s="2" t="str">
        <f t="shared" si="21"/>
        <v>Error?</v>
      </c>
    </row>
    <row r="1418" spans="1:4" x14ac:dyDescent="0.2">
      <c r="A1418" s="5">
        <v>1357</v>
      </c>
      <c r="B1418" s="138">
        <f>'Expenditures 15-22'!D240</f>
        <v>17463</v>
      </c>
      <c r="D1418" s="2" t="str">
        <f t="shared" si="21"/>
        <v>Error?</v>
      </c>
    </row>
    <row r="1419" spans="1:4" x14ac:dyDescent="0.2">
      <c r="A1419" s="5">
        <v>1358</v>
      </c>
      <c r="B1419" s="138">
        <f>'Expenditures 15-22'!D241</f>
        <v>16882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34345</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14436</v>
      </c>
      <c r="D1423" s="2" t="str">
        <f t="shared" si="21"/>
        <v>Error?</v>
      </c>
    </row>
    <row r="1424" spans="1:4" x14ac:dyDescent="0.2">
      <c r="A1424" s="5">
        <v>1363</v>
      </c>
      <c r="B1424" s="138">
        <f>'Expenditures 15-22'!D257</f>
        <v>43782</v>
      </c>
      <c r="C1424" s="2" t="s">
        <v>593</v>
      </c>
      <c r="D1424" s="2" t="str">
        <f t="shared" si="21"/>
        <v>Error?</v>
      </c>
    </row>
    <row r="1425" spans="1:4" x14ac:dyDescent="0.2">
      <c r="A1425" s="5">
        <v>1364</v>
      </c>
      <c r="B1425" s="138">
        <f>'Expenditures 15-22'!D259</f>
        <v>46691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46691</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28910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193343</v>
      </c>
      <c r="D1431" s="2" t="str">
        <f t="shared" si="21"/>
        <v>Error?</v>
      </c>
    </row>
    <row r="1432" spans="1:4" x14ac:dyDescent="0.2">
      <c r="A1432" s="5">
        <v>1371</v>
      </c>
      <c r="B1432" s="138">
        <f>'Expenditures 15-22'!D267</f>
        <v>119566</v>
      </c>
      <c r="D1432" s="2" t="str">
        <f t="shared" si="21"/>
        <v>Error?</v>
      </c>
    </row>
    <row r="1433" spans="1:4" x14ac:dyDescent="0.2">
      <c r="A1433" s="5">
        <v>1372</v>
      </c>
      <c r="B1433" s="138">
        <f>'Expenditures 15-22'!D268</f>
        <v>98410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440229</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56125</v>
      </c>
      <c r="D1442" s="2" t="str">
        <f t="shared" si="21"/>
        <v>Error?</v>
      </c>
    </row>
    <row r="1443" spans="1:4" x14ac:dyDescent="0.2">
      <c r="A1443" s="10">
        <v>1382</v>
      </c>
      <c r="D1443" s="2" t="str">
        <f t="shared" si="21"/>
        <v>OK</v>
      </c>
    </row>
    <row r="1444" spans="1:4" x14ac:dyDescent="0.2">
      <c r="A1444" s="5">
        <v>1383</v>
      </c>
      <c r="B1444" s="138">
        <f>'Expenditures 15-22'!D277</f>
        <v>56125</v>
      </c>
      <c r="C1444" s="2" t="s">
        <v>593</v>
      </c>
      <c r="D1444" s="2" t="str">
        <f t="shared" si="21"/>
        <v>Error?</v>
      </c>
    </row>
    <row r="1445" spans="1:4" x14ac:dyDescent="0.2">
      <c r="A1445" s="5">
        <v>1384</v>
      </c>
      <c r="B1445" s="138">
        <f>'Expenditures 15-22'!D278</f>
        <v>12137</v>
      </c>
      <c r="D1445" s="2" t="str">
        <f t="shared" si="21"/>
        <v>Error?</v>
      </c>
    </row>
    <row r="1446" spans="1:4" x14ac:dyDescent="0.2">
      <c r="A1446" s="5">
        <v>1385</v>
      </c>
      <c r="B1446" s="138">
        <f>'Expenditures 15-22'!D279</f>
        <v>660999</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908438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930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6410</v>
      </c>
      <c r="C1471" s="2" t="s">
        <v>593</v>
      </c>
      <c r="D1471" s="2" t="str">
        <f t="shared" ref="D1471:D1534" si="22">IF(ISBLANK(B1471),"OK",IF(A1471-B1471=0,"OK","Error?"))</f>
        <v>Error?</v>
      </c>
    </row>
    <row r="1472" spans="1:4" x14ac:dyDescent="0.2">
      <c r="A1472" s="5">
        <v>1411</v>
      </c>
      <c r="B1472" s="138">
        <f>'Expenditures 15-22'!K223</f>
        <v>7872</v>
      </c>
      <c r="C1472" s="2" t="s">
        <v>593</v>
      </c>
      <c r="D1472" s="2" t="str">
        <f t="shared" si="22"/>
        <v>Error?</v>
      </c>
    </row>
    <row r="1473" spans="1:4" x14ac:dyDescent="0.2">
      <c r="A1473" s="5">
        <v>1412</v>
      </c>
      <c r="B1473" s="138">
        <f>'Expenditures 15-22'!K224</f>
        <v>87</v>
      </c>
      <c r="C1473" s="2" t="s">
        <v>593</v>
      </c>
      <c r="D1473" s="2" t="str">
        <f t="shared" si="22"/>
        <v>Error?</v>
      </c>
    </row>
    <row r="1474" spans="1:4" x14ac:dyDescent="0.2">
      <c r="A1474" s="5">
        <v>1413</v>
      </c>
      <c r="B1474" s="138">
        <f>'Expenditures 15-22'!K229</f>
        <v>247439</v>
      </c>
      <c r="C1474" s="2" t="s">
        <v>593</v>
      </c>
      <c r="D1474" s="2" t="str">
        <f t="shared" si="22"/>
        <v>Error?</v>
      </c>
    </row>
    <row r="1475" spans="1:4" x14ac:dyDescent="0.2">
      <c r="A1475" s="5">
        <v>1414</v>
      </c>
      <c r="B1475" s="138">
        <f>'Expenditures 15-22'!K232</f>
        <v>4189</v>
      </c>
      <c r="C1475" s="2" t="s">
        <v>593</v>
      </c>
      <c r="D1475" s="2" t="str">
        <f t="shared" si="22"/>
        <v>Error?</v>
      </c>
    </row>
    <row r="1476" spans="1:4" x14ac:dyDescent="0.2">
      <c r="A1476" s="5">
        <v>1415</v>
      </c>
      <c r="B1476" s="138">
        <f>'Expenditures 15-22'!K233</f>
        <v>4048</v>
      </c>
      <c r="C1476" s="2" t="s">
        <v>593</v>
      </c>
      <c r="D1476" s="2" t="str">
        <f t="shared" si="22"/>
        <v>Error?</v>
      </c>
    </row>
    <row r="1477" spans="1:4" x14ac:dyDescent="0.2">
      <c r="A1477" s="5">
        <v>1416</v>
      </c>
      <c r="B1477" s="138">
        <f>'Expenditures 15-22'!K234</f>
        <v>12645</v>
      </c>
      <c r="C1477" s="2" t="s">
        <v>593</v>
      </c>
      <c r="D1477" s="2" t="str">
        <f t="shared" si="22"/>
        <v>Error?</v>
      </c>
    </row>
    <row r="1478" spans="1:4" x14ac:dyDescent="0.2">
      <c r="A1478" s="5">
        <v>1417</v>
      </c>
      <c r="B1478" s="138">
        <f>'Expenditures 15-22'!K235</f>
        <v>1061</v>
      </c>
      <c r="C1478" s="2" t="s">
        <v>593</v>
      </c>
      <c r="D1478" s="2" t="str">
        <f t="shared" si="22"/>
        <v>Error?</v>
      </c>
    </row>
    <row r="1479" spans="1:4" x14ac:dyDescent="0.2">
      <c r="A1479" s="5">
        <v>1418</v>
      </c>
      <c r="B1479" s="138">
        <f>'Expenditures 15-22'!K236</f>
        <v>3189</v>
      </c>
      <c r="C1479" s="2" t="s">
        <v>593</v>
      </c>
      <c r="D1479" s="2" t="str">
        <f t="shared" si="22"/>
        <v>Error?</v>
      </c>
    </row>
    <row r="1480" spans="1:4" x14ac:dyDescent="0.2">
      <c r="A1480" s="5">
        <v>1419</v>
      </c>
      <c r="B1480" s="138">
        <f>'Expenditures 15-22'!K237</f>
        <v>2558</v>
      </c>
      <c r="C1480" s="2" t="s">
        <v>593</v>
      </c>
      <c r="D1480" s="2" t="str">
        <f t="shared" si="22"/>
        <v>Error?</v>
      </c>
    </row>
    <row r="1481" spans="1:4" x14ac:dyDescent="0.2">
      <c r="A1481" s="5">
        <v>1420</v>
      </c>
      <c r="B1481" s="138">
        <f>'Expenditures 15-22'!K238</f>
        <v>27690</v>
      </c>
      <c r="C1481" s="2" t="s">
        <v>593</v>
      </c>
      <c r="D1481" s="2" t="str">
        <f t="shared" si="22"/>
        <v>Error?</v>
      </c>
    </row>
    <row r="1482" spans="1:4" x14ac:dyDescent="0.2">
      <c r="A1482" s="5">
        <v>1421</v>
      </c>
      <c r="B1482" s="138">
        <f>'Expenditures 15-22'!K240</f>
        <v>17463</v>
      </c>
      <c r="C1482" s="2" t="s">
        <v>593</v>
      </c>
      <c r="D1482" s="2" t="str">
        <f t="shared" si="22"/>
        <v>Error?</v>
      </c>
    </row>
    <row r="1483" spans="1:4" x14ac:dyDescent="0.2">
      <c r="A1483" s="5">
        <v>1422</v>
      </c>
      <c r="B1483" s="138">
        <f>'Expenditures 15-22'!K241</f>
        <v>16882</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34345</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14436</v>
      </c>
      <c r="C1487" s="2" t="s">
        <v>593</v>
      </c>
      <c r="D1487" s="2" t="str">
        <f t="shared" si="22"/>
        <v>Error?</v>
      </c>
    </row>
    <row r="1488" spans="1:4" x14ac:dyDescent="0.2">
      <c r="A1488" s="5">
        <v>1427</v>
      </c>
      <c r="B1488" s="138">
        <f>'Expenditures 15-22'!K257</f>
        <v>43782</v>
      </c>
      <c r="C1488" s="2" t="s">
        <v>593</v>
      </c>
      <c r="D1488" s="2" t="str">
        <f t="shared" si="22"/>
        <v>Error?</v>
      </c>
    </row>
    <row r="1489" spans="1:4" x14ac:dyDescent="0.2">
      <c r="A1489" s="5">
        <v>1428</v>
      </c>
      <c r="B1489" s="138">
        <f>'Expenditures 15-22'!K259</f>
        <v>46691</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46691</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28910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193343</v>
      </c>
      <c r="C1495" s="2" t="s">
        <v>593</v>
      </c>
      <c r="D1495" s="2" t="str">
        <f t="shared" si="22"/>
        <v>Error?</v>
      </c>
    </row>
    <row r="1496" spans="1:4" x14ac:dyDescent="0.2">
      <c r="A1496" s="5">
        <v>1435</v>
      </c>
      <c r="B1496" s="138">
        <f>'Expenditures 15-22'!K267</f>
        <v>119566</v>
      </c>
      <c r="C1496" s="2" t="s">
        <v>593</v>
      </c>
      <c r="D1496" s="2" t="str">
        <f t="shared" si="22"/>
        <v>Error?</v>
      </c>
    </row>
    <row r="1497" spans="1:4" x14ac:dyDescent="0.2">
      <c r="A1497" s="5">
        <v>1436</v>
      </c>
      <c r="B1497" s="138">
        <f>'Expenditures 15-22'!K268</f>
        <v>98410</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440229</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56125</v>
      </c>
      <c r="C1506" s="2" t="s">
        <v>593</v>
      </c>
      <c r="D1506" s="2" t="str">
        <f t="shared" si="22"/>
        <v>Error?</v>
      </c>
    </row>
    <row r="1507" spans="1:4" x14ac:dyDescent="0.2">
      <c r="A1507" s="10">
        <v>1446</v>
      </c>
      <c r="D1507" s="2" t="str">
        <f t="shared" si="22"/>
        <v>OK</v>
      </c>
    </row>
    <row r="1508" spans="1:4" x14ac:dyDescent="0.2">
      <c r="A1508" s="5">
        <v>1447</v>
      </c>
      <c r="B1508" s="138">
        <f>'Expenditures 15-22'!K277</f>
        <v>56125</v>
      </c>
      <c r="C1508" s="2" t="s">
        <v>593</v>
      </c>
      <c r="D1508" s="2" t="str">
        <f t="shared" si="22"/>
        <v>Error?</v>
      </c>
    </row>
    <row r="1509" spans="1:4" x14ac:dyDescent="0.2">
      <c r="A1509" s="5">
        <v>1448</v>
      </c>
      <c r="B1509" s="138">
        <f>'Expenditures 15-22'!K278</f>
        <v>12137</v>
      </c>
      <c r="C1509" s="2" t="s">
        <v>593</v>
      </c>
      <c r="D1509" s="2" t="str">
        <f t="shared" si="22"/>
        <v>Error?</v>
      </c>
    </row>
    <row r="1510" spans="1:4" x14ac:dyDescent="0.2">
      <c r="A1510" s="5">
        <v>1449</v>
      </c>
      <c r="B1510" s="138">
        <f>'Expenditures 15-22'!K279</f>
        <v>660999</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908438</v>
      </c>
      <c r="C1517" s="2" t="s">
        <v>593</v>
      </c>
      <c r="D1517" s="2" t="str">
        <f t="shared" si="22"/>
        <v>Error?</v>
      </c>
    </row>
    <row r="1518" spans="1:4" x14ac:dyDescent="0.2">
      <c r="A1518" s="5">
        <v>1457</v>
      </c>
      <c r="B1518" s="138">
        <f>'Expenditures 15-22'!K296</f>
        <v>32392</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43596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43596</v>
      </c>
      <c r="C1535" s="2" t="s">
        <v>593</v>
      </c>
      <c r="D1535" s="2" t="str">
        <f t="shared" ref="D1535:D1598" si="23">IF(ISBLANK(B1535),"OK",IF(A1535-B1535=0,"OK","Error?"))</f>
        <v>Error?</v>
      </c>
    </row>
    <row r="1536" spans="1:4" x14ac:dyDescent="0.2">
      <c r="A1536" s="5">
        <v>1475</v>
      </c>
      <c r="B1536" s="138">
        <f>'Expenditures 15-22'!E312</f>
        <v>43596</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1442002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1442002</v>
      </c>
      <c r="C1547" s="2" t="s">
        <v>593</v>
      </c>
      <c r="D1547" s="2" t="str">
        <f t="shared" si="23"/>
        <v>Error?</v>
      </c>
    </row>
    <row r="1548" spans="1:4" x14ac:dyDescent="0.2">
      <c r="A1548" s="5">
        <v>1487</v>
      </c>
      <c r="B1548" s="138">
        <f>'Expenditures 15-22'!G312</f>
        <v>1442002</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1485598</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1485598</v>
      </c>
      <c r="C1559" s="2" t="s">
        <v>593</v>
      </c>
      <c r="D1559" s="2" t="str">
        <f t="shared" si="23"/>
        <v>Error?</v>
      </c>
    </row>
    <row r="1560" spans="1:4" x14ac:dyDescent="0.2">
      <c r="A1560" s="5">
        <v>1499</v>
      </c>
      <c r="B1560" s="138">
        <f>'Expenditures 15-22'!K312</f>
        <v>1485598</v>
      </c>
      <c r="C1560" s="2" t="s">
        <v>593</v>
      </c>
      <c r="D1560" s="2" t="str">
        <f t="shared" si="23"/>
        <v>Error?</v>
      </c>
    </row>
    <row r="1561" spans="1:4" x14ac:dyDescent="0.2">
      <c r="A1561" s="5">
        <v>1500</v>
      </c>
      <c r="B1561" s="138">
        <f>'Expenditures 15-22'!K313</f>
        <v>-1432424</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11979398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12006408</v>
      </c>
      <c r="C1630" s="2" t="s">
        <v>593</v>
      </c>
      <c r="D1630" s="2" t="str">
        <f t="shared" si="24"/>
        <v>Error?</v>
      </c>
    </row>
    <row r="1631" spans="1:4" x14ac:dyDescent="0.2">
      <c r="A1631" s="5">
        <v>1570</v>
      </c>
      <c r="B1631" s="138">
        <f>'Acct Summary 7-8'!D79</f>
        <v>1931615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1853235</v>
      </c>
      <c r="C1644" s="2" t="s">
        <v>593</v>
      </c>
      <c r="D1644" s="2" t="str">
        <f t="shared" si="24"/>
        <v>Error?</v>
      </c>
    </row>
    <row r="1645" spans="1:4" x14ac:dyDescent="0.2">
      <c r="A1645" s="5">
        <v>1584</v>
      </c>
      <c r="B1645" s="138">
        <f>'Acct Summary 7-8'!E79</f>
        <v>1087712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1642417</v>
      </c>
      <c r="C1658" s="2" t="s">
        <v>593</v>
      </c>
      <c r="D1658" s="2" t="str">
        <f t="shared" si="24"/>
        <v>Error?</v>
      </c>
    </row>
    <row r="1659" spans="1:4" x14ac:dyDescent="0.2">
      <c r="A1659" s="5">
        <v>1598</v>
      </c>
      <c r="B1659" s="138">
        <f>'Acct Summary 7-8'!F79</f>
        <v>1108210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1139425</v>
      </c>
      <c r="C1672" s="2" t="s">
        <v>593</v>
      </c>
      <c r="D1672" s="2" t="str">
        <f t="shared" si="25"/>
        <v>Error?</v>
      </c>
    </row>
    <row r="1673" spans="1:4" x14ac:dyDescent="0.2">
      <c r="A1673" s="5">
        <v>1612</v>
      </c>
      <c r="B1673" s="138">
        <f>'Acct Summary 7-8'!G79</f>
        <v>693206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725598</v>
      </c>
      <c r="C1686" s="2" t="s">
        <v>593</v>
      </c>
      <c r="D1686" s="2" t="str">
        <f t="shared" si="25"/>
        <v>Error?</v>
      </c>
    </row>
    <row r="1687" spans="1:4" x14ac:dyDescent="0.2">
      <c r="A1687" s="5">
        <v>1626</v>
      </c>
      <c r="B1687" s="138">
        <f>'Acct Summary 7-8'!H79</f>
        <v>2101475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669051</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11303401</v>
      </c>
      <c r="C1744" s="2" t="s">
        <v>593</v>
      </c>
      <c r="D1744" s="2" t="str">
        <f t="shared" si="26"/>
        <v>Error?</v>
      </c>
    </row>
    <row r="1745" spans="1:5" x14ac:dyDescent="0.2">
      <c r="A1745" s="5">
        <v>1684</v>
      </c>
      <c r="B1745" s="138">
        <f>'Tax Sched 23'!B5</f>
        <v>2652831</v>
      </c>
      <c r="C1745" s="2" t="s">
        <v>593</v>
      </c>
      <c r="D1745" s="2" t="str">
        <f t="shared" si="26"/>
        <v>Error?</v>
      </c>
    </row>
    <row r="1746" spans="1:5" x14ac:dyDescent="0.2">
      <c r="A1746" s="5">
        <v>1685</v>
      </c>
      <c r="B1746" s="138">
        <f>'Tax Sched 23'!B6</f>
        <v>2005315</v>
      </c>
      <c r="C1746" s="2" t="s">
        <v>593</v>
      </c>
      <c r="D1746" s="2" t="str">
        <f t="shared" si="26"/>
        <v>Error?</v>
      </c>
    </row>
    <row r="1747" spans="1:5" x14ac:dyDescent="0.2">
      <c r="A1747" s="5">
        <v>1686</v>
      </c>
      <c r="B1747" s="138">
        <f>'Tax Sched 23'!B7</f>
        <v>922720</v>
      </c>
      <c r="C1747" s="2" t="s">
        <v>593</v>
      </c>
      <c r="D1747" s="2" t="str">
        <f t="shared" si="26"/>
        <v>Error?</v>
      </c>
    </row>
    <row r="1748" spans="1:5" x14ac:dyDescent="0.2">
      <c r="A1748" s="5">
        <v>1687</v>
      </c>
      <c r="B1748" s="138">
        <f>'Tax Sched 23'!B8</f>
        <v>470152</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610903</v>
      </c>
      <c r="C1752" s="2" t="s">
        <v>593</v>
      </c>
      <c r="D1752" s="2" t="str">
        <f t="shared" si="26"/>
        <v>Error?</v>
      </c>
    </row>
    <row r="1753" spans="1:5" x14ac:dyDescent="0.2">
      <c r="A1753" s="5">
        <v>1692</v>
      </c>
      <c r="B1753" s="138">
        <f>'Tax Sched 23'!B12</f>
        <v>230680</v>
      </c>
      <c r="C1753" s="2" t="s">
        <v>593</v>
      </c>
      <c r="D1753" s="2" t="str">
        <f t="shared" si="26"/>
        <v>Error?</v>
      </c>
    </row>
    <row r="1754" spans="1:5" x14ac:dyDescent="0.2">
      <c r="A1754" s="5">
        <v>1693</v>
      </c>
      <c r="B1754" s="138">
        <f>'Tax Sched 23'!B14</f>
        <v>184544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18993189</v>
      </c>
      <c r="C1759" s="2" t="s">
        <v>593</v>
      </c>
      <c r="D1759" s="2" t="str">
        <f t="shared" si="26"/>
        <v>Error?</v>
      </c>
    </row>
    <row r="1760" spans="1:5" x14ac:dyDescent="0.2">
      <c r="A1760" s="5">
        <v>1699</v>
      </c>
      <c r="B1760" s="138">
        <f>'Tax Sched 23'!D4</f>
        <v>11178083</v>
      </c>
      <c r="C1760" s="2" t="s">
        <v>593</v>
      </c>
      <c r="D1760" s="2" t="str">
        <f t="shared" si="26"/>
        <v>Error?</v>
      </c>
    </row>
    <row r="1761" spans="1:5" x14ac:dyDescent="0.2">
      <c r="A1761" s="5">
        <v>1700</v>
      </c>
      <c r="B1761" s="138">
        <f>'Tax Sched 23'!D5</f>
        <v>2623420</v>
      </c>
      <c r="C1761" s="2" t="s">
        <v>593</v>
      </c>
      <c r="D1761" s="2" t="str">
        <f t="shared" si="26"/>
        <v>Error?</v>
      </c>
    </row>
    <row r="1762" spans="1:5" s="8" customFormat="1" x14ac:dyDescent="0.2">
      <c r="A1762" s="5">
        <v>1701</v>
      </c>
      <c r="B1762" s="138">
        <f>'Tax Sched 23'!D6</f>
        <v>1983305</v>
      </c>
      <c r="C1762" s="2" t="s">
        <v>593</v>
      </c>
      <c r="D1762" s="2" t="str">
        <f t="shared" si="26"/>
        <v>Error?</v>
      </c>
      <c r="E1762" s="9"/>
    </row>
    <row r="1763" spans="1:5" x14ac:dyDescent="0.2">
      <c r="A1763" s="5">
        <v>1702</v>
      </c>
      <c r="B1763" s="138">
        <f>'Tax Sched 23'!D7</f>
        <v>912490</v>
      </c>
      <c r="C1763" s="2" t="s">
        <v>593</v>
      </c>
      <c r="D1763" s="2" t="str">
        <f t="shared" si="26"/>
        <v>Error?</v>
      </c>
    </row>
    <row r="1764" spans="1:5" x14ac:dyDescent="0.2">
      <c r="A1764" s="5">
        <v>1703</v>
      </c>
      <c r="B1764" s="138">
        <f>'Tax Sched 23'!D8</f>
        <v>464454</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604990</v>
      </c>
      <c r="C1768" s="2" t="s">
        <v>593</v>
      </c>
      <c r="D1768" s="2" t="str">
        <f t="shared" si="26"/>
        <v>Error?</v>
      </c>
    </row>
    <row r="1769" spans="1:5" x14ac:dyDescent="0.2">
      <c r="A1769" s="5">
        <v>1708</v>
      </c>
      <c r="B1769" s="138">
        <f>'Tax Sched 23'!D12</f>
        <v>228123</v>
      </c>
      <c r="C1769" s="2" t="s">
        <v>593</v>
      </c>
      <c r="D1769" s="2" t="str">
        <f t="shared" si="26"/>
        <v>Error?</v>
      </c>
    </row>
    <row r="1770" spans="1:5" x14ac:dyDescent="0.2">
      <c r="A1770" s="5">
        <v>1709</v>
      </c>
      <c r="B1770" s="138">
        <f>'Tax Sched 23'!D14</f>
        <v>182498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18783255</v>
      </c>
      <c r="C1775" s="2" t="s">
        <v>593</v>
      </c>
      <c r="D1775" s="2" t="str">
        <f t="shared" si="26"/>
        <v>Error?</v>
      </c>
    </row>
    <row r="1776" spans="1:5" x14ac:dyDescent="0.2">
      <c r="A1776" s="5">
        <v>1715</v>
      </c>
      <c r="B1776" s="138">
        <f>'Tax Sched 23'!C4</f>
        <v>125318</v>
      </c>
      <c r="D1776" s="2" t="str">
        <f t="shared" si="26"/>
        <v>Error?</v>
      </c>
    </row>
    <row r="1777" spans="1:4" x14ac:dyDescent="0.2">
      <c r="A1777" s="5">
        <v>1716</v>
      </c>
      <c r="B1777" s="138">
        <f>'Tax Sched 23'!C5</f>
        <v>29411</v>
      </c>
      <c r="D1777" s="2" t="str">
        <f t="shared" si="26"/>
        <v>Error?</v>
      </c>
    </row>
    <row r="1778" spans="1:4" x14ac:dyDescent="0.2">
      <c r="A1778" s="5">
        <v>1717</v>
      </c>
      <c r="B1778" s="138">
        <f>'Tax Sched 23'!C6</f>
        <v>22010</v>
      </c>
      <c r="D1778" s="2" t="str">
        <f t="shared" si="26"/>
        <v>Error?</v>
      </c>
    </row>
    <row r="1779" spans="1:4" x14ac:dyDescent="0.2">
      <c r="A1779" s="5">
        <v>1718</v>
      </c>
      <c r="B1779" s="138">
        <f>'Tax Sched 23'!C7</f>
        <v>10230</v>
      </c>
      <c r="D1779" s="2" t="str">
        <f t="shared" si="26"/>
        <v>Error?</v>
      </c>
    </row>
    <row r="1780" spans="1:4" x14ac:dyDescent="0.2">
      <c r="A1780" s="5">
        <v>1719</v>
      </c>
      <c r="B1780" s="138">
        <f>'Tax Sched 23'!C8</f>
        <v>5698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5913</v>
      </c>
      <c r="D1784" s="2" t="str">
        <f t="shared" si="26"/>
        <v>Error?</v>
      </c>
    </row>
    <row r="1785" spans="1:4" x14ac:dyDescent="0.2">
      <c r="A1785" s="5">
        <v>1724</v>
      </c>
      <c r="B1785" s="138">
        <f>'Tax Sched 23'!C12</f>
        <v>2557</v>
      </c>
      <c r="D1785" s="2" t="str">
        <f t="shared" si="26"/>
        <v>Error?</v>
      </c>
    </row>
    <row r="1786" spans="1:4" x14ac:dyDescent="0.2">
      <c r="A1786" s="5">
        <v>1725</v>
      </c>
      <c r="B1786" s="138">
        <f>'Tax Sched 23'!C14</f>
        <v>2046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209934</v>
      </c>
      <c r="C1791" s="2" t="s">
        <v>593</v>
      </c>
      <c r="D1791" s="2" t="str">
        <f t="shared" ref="D1791:D1854" si="27">IF(ISBLANK(B1791),"OK",IF(A1791-B1791=0,"OK","Error?"))</f>
        <v>Error?</v>
      </c>
    </row>
    <row r="1792" spans="1:4" x14ac:dyDescent="0.2">
      <c r="A1792" s="5">
        <v>1731</v>
      </c>
      <c r="B1792" s="138">
        <f>'Tax Sched 23'!F4</f>
        <v>11533182</v>
      </c>
      <c r="C1792" s="2" t="s">
        <v>593</v>
      </c>
      <c r="D1792" s="2" t="str">
        <f t="shared" si="27"/>
        <v>Error?</v>
      </c>
    </row>
    <row r="1793" spans="1:4" x14ac:dyDescent="0.2">
      <c r="A1793" s="5">
        <v>1732</v>
      </c>
      <c r="B1793" s="138">
        <f>'Tax Sched 23'!F5</f>
        <v>2706768</v>
      </c>
      <c r="C1793" s="2" t="s">
        <v>593</v>
      </c>
      <c r="D1793" s="2" t="str">
        <f t="shared" si="27"/>
        <v>Error?</v>
      </c>
    </row>
    <row r="1794" spans="1:4" x14ac:dyDescent="0.2">
      <c r="A1794" s="5">
        <v>1733</v>
      </c>
      <c r="B1794" s="138">
        <f>'Tax Sched 23'!F6</f>
        <v>2025603</v>
      </c>
      <c r="C1794" s="2" t="s">
        <v>593</v>
      </c>
      <c r="D1794" s="2" t="str">
        <f t="shared" si="27"/>
        <v>Error?</v>
      </c>
    </row>
    <row r="1795" spans="1:4" x14ac:dyDescent="0.2">
      <c r="A1795" s="5">
        <v>1734</v>
      </c>
      <c r="B1795" s="138">
        <f>'Tax Sched 23'!F7</f>
        <v>941484</v>
      </c>
      <c r="C1795" s="2" t="s">
        <v>593</v>
      </c>
      <c r="D1795" s="2" t="str">
        <f t="shared" si="27"/>
        <v>Error?</v>
      </c>
    </row>
    <row r="1796" spans="1:4" x14ac:dyDescent="0.2">
      <c r="A1796" s="5">
        <v>1735</v>
      </c>
      <c r="B1796" s="138">
        <f>'Tax Sched 23'!F8</f>
        <v>524407</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544178</v>
      </c>
      <c r="C1800" s="2" t="s">
        <v>593</v>
      </c>
      <c r="D1800" s="2" t="str">
        <f t="shared" si="27"/>
        <v>Error?</v>
      </c>
    </row>
    <row r="1801" spans="1:4" x14ac:dyDescent="0.2">
      <c r="A1801" s="5">
        <v>1740</v>
      </c>
      <c r="B1801" s="138">
        <f>'Tax Sched 23'!F12</f>
        <v>235372</v>
      </c>
      <c r="C1801" s="2" t="s">
        <v>593</v>
      </c>
      <c r="D1801" s="2" t="str">
        <f t="shared" si="27"/>
        <v>Error?</v>
      </c>
    </row>
    <row r="1802" spans="1:4" x14ac:dyDescent="0.2">
      <c r="A1802" s="5">
        <v>1741</v>
      </c>
      <c r="B1802" s="138">
        <f>'Tax Sched 23'!F14</f>
        <v>188297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19320672</v>
      </c>
      <c r="C1807" s="2" t="s">
        <v>593</v>
      </c>
      <c r="D1807" s="2" t="str">
        <f t="shared" si="27"/>
        <v>Error?</v>
      </c>
    </row>
    <row r="1808" spans="1:4" x14ac:dyDescent="0.2">
      <c r="A1808" s="5">
        <v>1747</v>
      </c>
      <c r="B1808" s="138">
        <f>'Tax Sched 23'!E4</f>
        <v>11658500</v>
      </c>
      <c r="D1808" s="2" t="str">
        <f t="shared" si="27"/>
        <v>Error?</v>
      </c>
    </row>
    <row r="1809" spans="1:4" x14ac:dyDescent="0.2">
      <c r="A1809" s="5">
        <v>1748</v>
      </c>
      <c r="B1809" s="138">
        <f>'Tax Sched 23'!E5</f>
        <v>2736179</v>
      </c>
      <c r="D1809" s="2" t="str">
        <f t="shared" si="27"/>
        <v>Error?</v>
      </c>
    </row>
    <row r="1810" spans="1:4" x14ac:dyDescent="0.2">
      <c r="A1810" s="5">
        <v>1749</v>
      </c>
      <c r="B1810" s="138">
        <f>'Tax Sched 23'!E6</f>
        <v>2047613</v>
      </c>
      <c r="D1810" s="2" t="str">
        <f t="shared" si="27"/>
        <v>Error?</v>
      </c>
    </row>
    <row r="1811" spans="1:4" x14ac:dyDescent="0.2">
      <c r="A1811" s="5">
        <v>1750</v>
      </c>
      <c r="B1811" s="138">
        <f>'Tax Sched 23'!E7</f>
        <v>951714</v>
      </c>
      <c r="D1811" s="2" t="str">
        <f t="shared" si="27"/>
        <v>Error?</v>
      </c>
    </row>
    <row r="1812" spans="1:4" x14ac:dyDescent="0.2">
      <c r="A1812" s="5">
        <v>1751</v>
      </c>
      <c r="B1812" s="138">
        <f>'Tax Sched 23'!E8</f>
        <v>530105</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550091</v>
      </c>
      <c r="D1816" s="2" t="str">
        <f t="shared" si="27"/>
        <v>Error?</v>
      </c>
    </row>
    <row r="1817" spans="1:4" x14ac:dyDescent="0.2">
      <c r="A1817" s="5">
        <v>1756</v>
      </c>
      <c r="B1817" s="138">
        <f>'Tax Sched 23'!E12</f>
        <v>237929</v>
      </c>
      <c r="D1817" s="2" t="str">
        <f t="shared" si="27"/>
        <v>Error?</v>
      </c>
    </row>
    <row r="1818" spans="1:4" x14ac:dyDescent="0.2">
      <c r="A1818" s="5">
        <v>1757</v>
      </c>
      <c r="B1818" s="138">
        <f>'Tax Sched 23'!E14</f>
        <v>190343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19530606</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22951858</v>
      </c>
      <c r="C1939" s="2" t="s">
        <v>593</v>
      </c>
      <c r="D1939" s="2" t="str">
        <f t="shared" si="29"/>
        <v>Error?</v>
      </c>
    </row>
    <row r="1940" spans="1:5" x14ac:dyDescent="0.2">
      <c r="A1940" s="5">
        <v>1879</v>
      </c>
      <c r="B1940" s="138">
        <f>'Short-Term Long-Term Debt 24'!F49</f>
        <v>519000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184544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184544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184544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40021</v>
      </c>
      <c r="D2008" s="2" t="str">
        <f t="shared" si="30"/>
        <v>Error?</v>
      </c>
    </row>
    <row r="2009" spans="1:4" x14ac:dyDescent="0.2">
      <c r="A2009" s="5">
        <v>1948</v>
      </c>
      <c r="B2009" s="138">
        <f>'Cap Outlay Deprec 26'!C8</f>
        <v>50748861</v>
      </c>
      <c r="D2009" s="2" t="str">
        <f t="shared" si="30"/>
        <v>Error?</v>
      </c>
    </row>
    <row r="2010" spans="1:4" x14ac:dyDescent="0.2">
      <c r="A2010" s="5">
        <v>1949</v>
      </c>
      <c r="B2010" s="138">
        <f>'Cap Outlay Deprec 26'!C10</f>
        <v>345025</v>
      </c>
      <c r="D2010" s="2" t="str">
        <f t="shared" si="30"/>
        <v>Error?</v>
      </c>
    </row>
    <row r="2011" spans="1:4" x14ac:dyDescent="0.2">
      <c r="A2011" s="5">
        <v>1950</v>
      </c>
      <c r="B2011" s="138">
        <f>'Cap Outlay Deprec 26'!C12</f>
        <v>6117411</v>
      </c>
      <c r="D2011" s="2" t="str">
        <f t="shared" si="30"/>
        <v>Error?</v>
      </c>
    </row>
    <row r="2012" spans="1:4" x14ac:dyDescent="0.2">
      <c r="A2012" s="5">
        <v>1951</v>
      </c>
      <c r="B2012" s="138">
        <f>'Cap Outlay Deprec 26'!C13</f>
        <v>2551207</v>
      </c>
      <c r="D2012" s="2" t="str">
        <f t="shared" si="30"/>
        <v>Error?</v>
      </c>
    </row>
    <row r="2013" spans="1:4" x14ac:dyDescent="0.2">
      <c r="A2013" s="5">
        <v>1952</v>
      </c>
      <c r="B2013" s="138">
        <f>'Cap Outlay Deprec 26'!C16</f>
        <v>59835893</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1833376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452480</v>
      </c>
      <c r="D2017" s="2" t="str">
        <f t="shared" si="30"/>
        <v>Error?</v>
      </c>
    </row>
    <row r="2018" spans="1:4" x14ac:dyDescent="0.2">
      <c r="A2018" s="5">
        <v>1957</v>
      </c>
      <c r="B2018" s="138">
        <f>'Cap Outlay Deprec 26'!D13</f>
        <v>212743</v>
      </c>
      <c r="D2018" s="2" t="str">
        <f t="shared" si="30"/>
        <v>Error?</v>
      </c>
    </row>
    <row r="2019" spans="1:4" x14ac:dyDescent="0.2">
      <c r="A2019" s="5">
        <v>1958</v>
      </c>
      <c r="B2019" s="138">
        <f>'Cap Outlay Deprec 26'!D16</f>
        <v>2498599</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159958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159958</v>
      </c>
      <c r="C2025" s="2" t="s">
        <v>593</v>
      </c>
      <c r="D2025" s="2" t="str">
        <f t="shared" si="30"/>
        <v>Error?</v>
      </c>
    </row>
    <row r="2026" spans="1:4" x14ac:dyDescent="0.2">
      <c r="A2026" s="5">
        <v>1965</v>
      </c>
      <c r="B2026" s="138">
        <f>'Cap Outlay Deprec 26'!F5</f>
        <v>40021</v>
      </c>
      <c r="C2026" s="2" t="s">
        <v>593</v>
      </c>
      <c r="D2026" s="2" t="str">
        <f t="shared" si="30"/>
        <v>Error?</v>
      </c>
    </row>
    <row r="2027" spans="1:4" x14ac:dyDescent="0.2">
      <c r="A2027" s="5">
        <v>1966</v>
      </c>
      <c r="B2027" s="138">
        <f>'Cap Outlay Deprec 26'!F8</f>
        <v>52582237</v>
      </c>
      <c r="C2027" s="2" t="s">
        <v>593</v>
      </c>
      <c r="D2027" s="2" t="str">
        <f t="shared" si="30"/>
        <v>Error?</v>
      </c>
    </row>
    <row r="2028" spans="1:4" x14ac:dyDescent="0.2">
      <c r="A2028" s="5">
        <v>1967</v>
      </c>
      <c r="B2028" s="138">
        <f>'Cap Outlay Deprec 26'!F10</f>
        <v>345025</v>
      </c>
      <c r="C2028" s="2" t="s">
        <v>593</v>
      </c>
      <c r="D2028" s="2" t="str">
        <f t="shared" si="30"/>
        <v>Error?</v>
      </c>
    </row>
    <row r="2029" spans="1:4" x14ac:dyDescent="0.2">
      <c r="A2029" s="5">
        <v>1968</v>
      </c>
      <c r="B2029" s="138">
        <f>'Cap Outlay Deprec 26'!F12</f>
        <v>6409933</v>
      </c>
      <c r="C2029" s="2" t="s">
        <v>593</v>
      </c>
      <c r="D2029" s="2" t="str">
        <f t="shared" si="30"/>
        <v>Error?</v>
      </c>
    </row>
    <row r="2030" spans="1:4" x14ac:dyDescent="0.2">
      <c r="A2030" s="5">
        <v>1969</v>
      </c>
      <c r="B2030" s="138">
        <f>'Cap Outlay Deprec 26'!F13</f>
        <v>2763950</v>
      </c>
      <c r="C2030" s="2" t="s">
        <v>593</v>
      </c>
      <c r="D2030" s="2" t="str">
        <f t="shared" si="30"/>
        <v>Error?</v>
      </c>
    </row>
    <row r="2031" spans="1:4" x14ac:dyDescent="0.2">
      <c r="A2031" s="5">
        <v>1970</v>
      </c>
      <c r="B2031" s="138">
        <f>'Cap Outlay Deprec 26'!F16</f>
        <v>62174534</v>
      </c>
      <c r="C2031" s="2" t="s">
        <v>593</v>
      </c>
      <c r="D2031" s="2" t="str">
        <f t="shared" si="30"/>
        <v>Error?</v>
      </c>
    </row>
    <row r="2032" spans="1:4" x14ac:dyDescent="0.2">
      <c r="A2032" s="10">
        <v>1971</v>
      </c>
      <c r="D2032" s="2" t="str">
        <f t="shared" si="30"/>
        <v>OK</v>
      </c>
    </row>
    <row r="2033" spans="1:4" x14ac:dyDescent="0.2">
      <c r="A2033" s="5">
        <v>1972</v>
      </c>
      <c r="B2033" s="138">
        <f>'Cap Outlay Deprec 26'!H8</f>
        <v>15895901</v>
      </c>
      <c r="D2033" s="2" t="str">
        <f t="shared" si="30"/>
        <v>Error?</v>
      </c>
    </row>
    <row r="2034" spans="1:4" x14ac:dyDescent="0.2">
      <c r="A2034" s="5">
        <v>1973</v>
      </c>
      <c r="B2034" s="138">
        <f>'Cap Outlay Deprec 26'!H10</f>
        <v>345021</v>
      </c>
      <c r="D2034" s="2" t="str">
        <f t="shared" si="30"/>
        <v>Error?</v>
      </c>
    </row>
    <row r="2035" spans="1:4" x14ac:dyDescent="0.2">
      <c r="A2035" s="5">
        <v>1974</v>
      </c>
      <c r="B2035" s="138">
        <f>'Cap Outlay Deprec 26'!H12</f>
        <v>2476378</v>
      </c>
      <c r="D2035" s="2" t="str">
        <f t="shared" si="30"/>
        <v>Error?</v>
      </c>
    </row>
    <row r="2036" spans="1:4" x14ac:dyDescent="0.2">
      <c r="A2036" s="5">
        <v>1975</v>
      </c>
      <c r="B2036" s="138">
        <f>'Cap Outlay Deprec 26'!H13</f>
        <v>2509905</v>
      </c>
      <c r="D2036" s="2" t="str">
        <f t="shared" si="30"/>
        <v>Error?</v>
      </c>
    </row>
    <row r="2037" spans="1:4" x14ac:dyDescent="0.2">
      <c r="A2037" s="5">
        <v>1976</v>
      </c>
      <c r="B2037" s="138">
        <f>'Cap Outlay Deprec 26'!H16</f>
        <v>21260573</v>
      </c>
      <c r="C2037" s="2" t="s">
        <v>593</v>
      </c>
      <c r="D2037" s="2" t="str">
        <f t="shared" si="30"/>
        <v>Error?</v>
      </c>
    </row>
    <row r="2038" spans="1:4" x14ac:dyDescent="0.2">
      <c r="A2038" s="10">
        <v>1977</v>
      </c>
      <c r="D2038" s="2" t="str">
        <f t="shared" si="30"/>
        <v>OK</v>
      </c>
    </row>
    <row r="2039" spans="1:4" x14ac:dyDescent="0.2">
      <c r="A2039" s="5">
        <v>1978</v>
      </c>
      <c r="B2039" s="138">
        <f>'Cap Outlay Deprec 26'!I8</f>
        <v>941365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599956</v>
      </c>
      <c r="D2041" s="2" t="str">
        <f t="shared" si="30"/>
        <v>Error?</v>
      </c>
    </row>
    <row r="2042" spans="1:4" x14ac:dyDescent="0.2">
      <c r="A2042" s="5">
        <v>1981</v>
      </c>
      <c r="B2042" s="138">
        <f>'Cap Outlay Deprec 26'!I13</f>
        <v>235718</v>
      </c>
      <c r="D2042" s="2" t="str">
        <f t="shared" si="30"/>
        <v>Error?</v>
      </c>
    </row>
    <row r="2043" spans="1:4" x14ac:dyDescent="0.2">
      <c r="A2043" s="5">
        <v>1982</v>
      </c>
      <c r="B2043" s="138">
        <f>'Cap Outlay Deprec 26'!I16</f>
        <v>1777039</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159958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159958</v>
      </c>
      <c r="C2049" s="2" t="s">
        <v>593</v>
      </c>
      <c r="D2049" s="2" t="str">
        <f t="shared" si="31"/>
        <v>Error?</v>
      </c>
    </row>
    <row r="2050" spans="1:4" x14ac:dyDescent="0.2">
      <c r="A2050" s="10">
        <v>1989</v>
      </c>
      <c r="D2050" s="2" t="str">
        <f t="shared" si="31"/>
        <v>OK</v>
      </c>
    </row>
    <row r="2051" spans="1:4" x14ac:dyDescent="0.2">
      <c r="A2051" s="5">
        <v>1990</v>
      </c>
      <c r="B2051" s="138">
        <f>'Cap Outlay Deprec 26'!K8</f>
        <v>16837266</v>
      </c>
      <c r="C2051" s="2" t="s">
        <v>593</v>
      </c>
      <c r="D2051" s="2" t="str">
        <f t="shared" si="31"/>
        <v>Error?</v>
      </c>
    </row>
    <row r="2052" spans="1:4" x14ac:dyDescent="0.2">
      <c r="A2052" s="5">
        <v>1991</v>
      </c>
      <c r="B2052" s="138">
        <f>'Cap Outlay Deprec 26'!K10</f>
        <v>345021</v>
      </c>
      <c r="C2052" s="2" t="s">
        <v>593</v>
      </c>
      <c r="D2052" s="2" t="str">
        <f t="shared" si="31"/>
        <v>Error?</v>
      </c>
    </row>
    <row r="2053" spans="1:4" x14ac:dyDescent="0.2">
      <c r="A2053" s="5">
        <v>1992</v>
      </c>
      <c r="B2053" s="138">
        <f>'Cap Outlay Deprec 26'!K12</f>
        <v>2916376</v>
      </c>
      <c r="C2053" s="2" t="s">
        <v>593</v>
      </c>
      <c r="D2053" s="2" t="str">
        <f t="shared" si="31"/>
        <v>Error?</v>
      </c>
    </row>
    <row r="2054" spans="1:4" x14ac:dyDescent="0.2">
      <c r="A2054" s="5">
        <v>1993</v>
      </c>
      <c r="B2054" s="138">
        <f>'Cap Outlay Deprec 26'!K13</f>
        <v>2745623</v>
      </c>
      <c r="C2054" s="2" t="s">
        <v>593</v>
      </c>
      <c r="D2054" s="2" t="str">
        <f t="shared" si="31"/>
        <v>Error?</v>
      </c>
    </row>
    <row r="2055" spans="1:4" x14ac:dyDescent="0.2">
      <c r="A2055" s="5">
        <v>1994</v>
      </c>
      <c r="B2055" s="138">
        <f>'Cap Outlay Deprec 26'!K16</f>
        <v>22877654</v>
      </c>
      <c r="C2055" s="2" t="s">
        <v>593</v>
      </c>
      <c r="D2055" s="2" t="str">
        <f t="shared" si="31"/>
        <v>Error?</v>
      </c>
    </row>
    <row r="2056" spans="1:4" x14ac:dyDescent="0.2">
      <c r="A2056" s="5">
        <v>1995</v>
      </c>
      <c r="B2056" s="138">
        <f>'Cap Outlay Deprec 26'!L5</f>
        <v>40021</v>
      </c>
      <c r="C2056" s="2" t="s">
        <v>593</v>
      </c>
      <c r="D2056" s="2" t="str">
        <f t="shared" si="31"/>
        <v>Error?</v>
      </c>
    </row>
    <row r="2057" spans="1:4" x14ac:dyDescent="0.2">
      <c r="A2057" s="5">
        <v>1996</v>
      </c>
      <c r="B2057" s="138">
        <f>'Cap Outlay Deprec 26'!L8</f>
        <v>35744971</v>
      </c>
      <c r="C2057" s="2" t="s">
        <v>593</v>
      </c>
      <c r="D2057" s="2" t="str">
        <f t="shared" si="31"/>
        <v>Error?</v>
      </c>
    </row>
    <row r="2058" spans="1:4" x14ac:dyDescent="0.2">
      <c r="A2058" s="5">
        <v>1997</v>
      </c>
      <c r="B2058" s="138">
        <f>'Cap Outlay Deprec 26'!L10</f>
        <v>4</v>
      </c>
      <c r="C2058" s="2" t="s">
        <v>593</v>
      </c>
      <c r="D2058" s="2" t="str">
        <f t="shared" si="31"/>
        <v>Error?</v>
      </c>
    </row>
    <row r="2059" spans="1:4" x14ac:dyDescent="0.2">
      <c r="A2059" s="5">
        <v>1998</v>
      </c>
      <c r="B2059" s="138">
        <f>'Cap Outlay Deprec 26'!L12</f>
        <v>3493557</v>
      </c>
      <c r="C2059" s="2" t="s">
        <v>593</v>
      </c>
      <c r="D2059" s="2" t="str">
        <f t="shared" si="31"/>
        <v>Error?</v>
      </c>
    </row>
    <row r="2060" spans="1:4" x14ac:dyDescent="0.2">
      <c r="A2060" s="5">
        <v>1999</v>
      </c>
      <c r="B2060" s="138">
        <f>'Cap Outlay Deprec 26'!L13</f>
        <v>18327</v>
      </c>
      <c r="C2060" s="2" t="s">
        <v>593</v>
      </c>
      <c r="D2060" s="2" t="str">
        <f t="shared" si="31"/>
        <v>Error?</v>
      </c>
    </row>
    <row r="2061" spans="1:4" x14ac:dyDescent="0.2">
      <c r="A2061" s="5">
        <v>2000</v>
      </c>
      <c r="B2061" s="138">
        <f>'Cap Outlay Deprec 26'!L16</f>
        <v>39296880</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33827</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33827</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27500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301257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13114946</v>
      </c>
      <c r="C2551" s="2" t="s">
        <v>593</v>
      </c>
      <c r="D2551" s="2" t="str">
        <f t="shared" si="38"/>
        <v>Error?</v>
      </c>
    </row>
    <row r="2552" spans="1:4" x14ac:dyDescent="0.2">
      <c r="A2552" s="10">
        <v>2491</v>
      </c>
      <c r="D2552" s="2" t="str">
        <f t="shared" si="38"/>
        <v>OK</v>
      </c>
    </row>
    <row r="2553" spans="1:4" x14ac:dyDescent="0.2">
      <c r="A2553" s="5">
        <v>2492</v>
      </c>
      <c r="B2553" s="138">
        <f>'Acct Summary 7-8'!C6</f>
        <v>3025556</v>
      </c>
      <c r="C2553" s="2" t="s">
        <v>593</v>
      </c>
      <c r="D2553" s="2" t="str">
        <f t="shared" si="38"/>
        <v>Error?</v>
      </c>
    </row>
    <row r="2554" spans="1:4" x14ac:dyDescent="0.2">
      <c r="A2554" s="5">
        <v>2493</v>
      </c>
      <c r="B2554" s="138">
        <f>'Acct Summary 7-8'!C7</f>
        <v>1917832</v>
      </c>
      <c r="C2554" s="2" t="s">
        <v>593</v>
      </c>
      <c r="D2554" s="2" t="str">
        <f t="shared" si="38"/>
        <v>Error?</v>
      </c>
    </row>
    <row r="2555" spans="1:4" x14ac:dyDescent="0.2">
      <c r="A2555" s="5">
        <v>2494</v>
      </c>
      <c r="B2555" s="138">
        <f>'Acct Summary 7-8'!C8</f>
        <v>18058334</v>
      </c>
      <c r="C2555" s="2" t="s">
        <v>593</v>
      </c>
      <c r="D2555" s="2" t="str">
        <f t="shared" si="38"/>
        <v>Error?</v>
      </c>
    </row>
    <row r="2556" spans="1:4" x14ac:dyDescent="0.2">
      <c r="A2556" s="5">
        <v>2495</v>
      </c>
      <c r="B2556" s="138">
        <f>'Acct Summary 7-8'!C12</f>
        <v>12376513</v>
      </c>
      <c r="C2556" s="2" t="s">
        <v>593</v>
      </c>
      <c r="D2556" s="2" t="str">
        <f t="shared" si="38"/>
        <v>Error?</v>
      </c>
    </row>
    <row r="2557" spans="1:4" x14ac:dyDescent="0.2">
      <c r="A2557" s="5">
        <v>2496</v>
      </c>
      <c r="B2557" s="138">
        <f>'Acct Summary 7-8'!C13</f>
        <v>5324270</v>
      </c>
      <c r="C2557" s="2" t="s">
        <v>593</v>
      </c>
      <c r="D2557" s="2" t="str">
        <f t="shared" si="38"/>
        <v>Error?</v>
      </c>
    </row>
    <row r="2558" spans="1:4" x14ac:dyDescent="0.2">
      <c r="A2558" s="5">
        <v>2497</v>
      </c>
      <c r="B2558" s="138">
        <f>'Acct Summary 7-8'!C14</f>
        <v>78985</v>
      </c>
      <c r="C2558" s="2" t="s">
        <v>593</v>
      </c>
      <c r="D2558" s="2" t="str">
        <f t="shared" si="38"/>
        <v>Error?</v>
      </c>
    </row>
    <row r="2559" spans="1:4" x14ac:dyDescent="0.2">
      <c r="A2559" s="5">
        <v>2498</v>
      </c>
      <c r="B2559" s="138">
        <f>'Acct Summary 7-8'!C15</f>
        <v>33827</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17813595</v>
      </c>
      <c r="C2561" s="2" t="s">
        <v>593</v>
      </c>
      <c r="D2561" s="2" t="str">
        <f t="shared" si="39"/>
        <v>Error?</v>
      </c>
    </row>
    <row r="2562" spans="1:4" x14ac:dyDescent="0.2">
      <c r="A2562" s="5">
        <v>2501</v>
      </c>
      <c r="B2562" s="138">
        <f>'Acct Summary 7-8'!C20</f>
        <v>244739</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2688992</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15000</v>
      </c>
      <c r="C2567" s="2" t="s">
        <v>593</v>
      </c>
      <c r="D2567" s="2" t="str">
        <f t="shared" si="39"/>
        <v>Error?</v>
      </c>
    </row>
    <row r="2568" spans="1:4" x14ac:dyDescent="0.2">
      <c r="A2568" s="5">
        <v>2507</v>
      </c>
      <c r="B2568" s="138">
        <f>'Acct Summary 7-8'!D8</f>
        <v>2703992</v>
      </c>
      <c r="C2568" s="2" t="s">
        <v>593</v>
      </c>
      <c r="D2568" s="2" t="str">
        <f t="shared" si="39"/>
        <v>Error?</v>
      </c>
    </row>
    <row r="2569" spans="1:4" x14ac:dyDescent="0.2">
      <c r="A2569" s="5">
        <v>2508</v>
      </c>
      <c r="B2569" s="138">
        <f>'Acct Summary 7-8'!D13</f>
        <v>2782372</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2782372</v>
      </c>
      <c r="C2573" s="2" t="s">
        <v>593</v>
      </c>
      <c r="D2573" s="2" t="str">
        <f t="shared" si="39"/>
        <v>Error?</v>
      </c>
    </row>
    <row r="2574" spans="1:4" x14ac:dyDescent="0.2">
      <c r="A2574" s="5">
        <v>2513</v>
      </c>
      <c r="B2574" s="138">
        <f>'Acct Summary 7-8'!D20</f>
        <v>-78380</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957693</v>
      </c>
      <c r="C2591" s="2" t="s">
        <v>593</v>
      </c>
      <c r="D2591" s="2" t="str">
        <f t="shared" si="39"/>
        <v>Error?</v>
      </c>
    </row>
    <row r="2592" spans="1:4" x14ac:dyDescent="0.2">
      <c r="A2592" s="10">
        <v>2531</v>
      </c>
      <c r="D2592" s="2" t="str">
        <f t="shared" si="39"/>
        <v>OK</v>
      </c>
    </row>
    <row r="2593" spans="1:4" x14ac:dyDescent="0.2">
      <c r="A2593" s="5">
        <v>2532</v>
      </c>
      <c r="B2593" s="138">
        <f>'Acct Summary 7-8'!F6</f>
        <v>291372</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1249065</v>
      </c>
      <c r="C2595" s="2" t="s">
        <v>593</v>
      </c>
      <c r="D2595" s="2" t="str">
        <f t="shared" si="39"/>
        <v>Error?</v>
      </c>
    </row>
    <row r="2596" spans="1:4" x14ac:dyDescent="0.2">
      <c r="A2596" s="5">
        <v>2535</v>
      </c>
      <c r="B2596" s="138">
        <f>'Acct Summary 7-8'!F13</f>
        <v>1217850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1217850</v>
      </c>
      <c r="C2600" s="2" t="s">
        <v>593</v>
      </c>
      <c r="D2600" s="2" t="str">
        <f t="shared" si="39"/>
        <v>Error?</v>
      </c>
    </row>
    <row r="2601" spans="1:4" x14ac:dyDescent="0.2">
      <c r="A2601" s="5">
        <v>2540</v>
      </c>
      <c r="B2601" s="138">
        <f>'Acct Summary 7-8'!F20</f>
        <v>31215</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940830</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940830</v>
      </c>
      <c r="C2606" s="2" t="s">
        <v>593</v>
      </c>
      <c r="D2606" s="2" t="str">
        <f t="shared" si="39"/>
        <v>Error?</v>
      </c>
    </row>
    <row r="2607" spans="1:4" x14ac:dyDescent="0.2">
      <c r="A2607" s="5">
        <v>2546</v>
      </c>
      <c r="B2607" s="138">
        <f>'Acct Summary 7-8'!G12</f>
        <v>247439</v>
      </c>
      <c r="C2607" s="2" t="s">
        <v>593</v>
      </c>
      <c r="D2607" s="2" t="str">
        <f t="shared" si="39"/>
        <v>Error?</v>
      </c>
    </row>
    <row r="2608" spans="1:4" x14ac:dyDescent="0.2">
      <c r="A2608" s="5">
        <v>2547</v>
      </c>
      <c r="B2608" s="138">
        <f>'Acct Summary 7-8'!G13</f>
        <v>660999</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908438</v>
      </c>
      <c r="C2612" s="2" t="s">
        <v>593</v>
      </c>
      <c r="D2612" s="2" t="str">
        <f t="shared" si="39"/>
        <v>Error?</v>
      </c>
    </row>
    <row r="2613" spans="1:4" x14ac:dyDescent="0.2">
      <c r="A2613" s="5">
        <v>2552</v>
      </c>
      <c r="B2613" s="138">
        <f>'Acct Summary 7-8'!G20</f>
        <v>32392</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2036114</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2036114</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2245638</v>
      </c>
      <c r="C2634" s="2" t="s">
        <v>593</v>
      </c>
      <c r="D2634" s="2" t="str">
        <f t="shared" si="40"/>
        <v>Error?</v>
      </c>
    </row>
    <row r="2635" spans="1:4" x14ac:dyDescent="0.2">
      <c r="A2635" s="5">
        <v>2574</v>
      </c>
      <c r="B2635" s="138">
        <f>'Acct Summary 7-8'!E17</f>
        <v>2245638</v>
      </c>
      <c r="C2635" s="2" t="s">
        <v>593</v>
      </c>
      <c r="D2635" s="2" t="str">
        <f t="shared" si="40"/>
        <v>Error?</v>
      </c>
    </row>
    <row r="2636" spans="1:4" x14ac:dyDescent="0.2">
      <c r="A2636" s="5">
        <v>2575</v>
      </c>
      <c r="B2636" s="138">
        <f>'Acct Summary 7-8'!E20</f>
        <v>-209524</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53174</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53174</v>
      </c>
      <c r="C2658" s="2" t="s">
        <v>593</v>
      </c>
      <c r="D2658" s="2" t="str">
        <f t="shared" si="40"/>
        <v>Error?</v>
      </c>
    </row>
    <row r="2659" spans="1:4" x14ac:dyDescent="0.2">
      <c r="A2659" s="5">
        <v>2598</v>
      </c>
      <c r="B2659" s="138">
        <f>'Acct Summary 7-8'!H13</f>
        <v>1485598</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1485598</v>
      </c>
      <c r="C2661" s="2" t="s">
        <v>593</v>
      </c>
      <c r="D2661" s="2" t="str">
        <f t="shared" si="40"/>
        <v>Error?</v>
      </c>
    </row>
    <row r="2662" spans="1:4" x14ac:dyDescent="0.2">
      <c r="A2662" s="5">
        <v>2601</v>
      </c>
      <c r="B2662" s="138">
        <f>'Acct Summary 7-8'!H20</f>
        <v>-1432424</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133732</v>
      </c>
      <c r="D2718" s="2" t="str">
        <f t="shared" si="41"/>
        <v>Error?</v>
      </c>
    </row>
    <row r="2719" spans="1:4" x14ac:dyDescent="0.2">
      <c r="A2719" s="5">
        <v>2658</v>
      </c>
      <c r="B2719" s="138">
        <f>'Expenditures 15-22'!D51</f>
        <v>23514</v>
      </c>
      <c r="D2719" s="2" t="str">
        <f t="shared" si="41"/>
        <v>Error?</v>
      </c>
    </row>
    <row r="2720" spans="1:4" x14ac:dyDescent="0.2">
      <c r="A2720" s="5">
        <v>2659</v>
      </c>
      <c r="B2720" s="138">
        <f>'Expenditures 15-22'!E51</f>
        <v>4882</v>
      </c>
      <c r="D2720" s="2" t="str">
        <f t="shared" si="41"/>
        <v>Error?</v>
      </c>
    </row>
    <row r="2721" spans="1:4" x14ac:dyDescent="0.2">
      <c r="A2721" s="5">
        <v>2660</v>
      </c>
      <c r="B2721" s="138">
        <f>'Expenditures 15-22'!F51</f>
        <v>2542</v>
      </c>
      <c r="D2721" s="2" t="str">
        <f t="shared" si="41"/>
        <v>Error?</v>
      </c>
    </row>
    <row r="2722" spans="1:4" x14ac:dyDescent="0.2">
      <c r="A2722" s="5">
        <v>2661</v>
      </c>
      <c r="B2722" s="138">
        <f>'Expenditures 15-22'!G51</f>
        <v>1262</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165932</v>
      </c>
      <c r="C2724" s="2" t="s">
        <v>593</v>
      </c>
      <c r="D2724" s="2" t="str">
        <f t="shared" si="41"/>
        <v>Error?</v>
      </c>
    </row>
    <row r="2725" spans="1:4" x14ac:dyDescent="0.2">
      <c r="A2725" s="5">
        <v>2664</v>
      </c>
      <c r="B2725" s="138">
        <f>'Expenditures 15-22'!D247</f>
        <v>7007</v>
      </c>
      <c r="D2725" s="2" t="str">
        <f t="shared" si="41"/>
        <v>Error?</v>
      </c>
    </row>
    <row r="2726" spans="1:4" x14ac:dyDescent="0.2">
      <c r="A2726" s="5">
        <v>2665</v>
      </c>
      <c r="B2726" s="138">
        <f>'Expenditures 15-22'!K247</f>
        <v>7007</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2341625</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176910</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2341625</v>
      </c>
      <c r="D2912" s="2" t="str">
        <f t="shared" si="44"/>
        <v>Error?</v>
      </c>
    </row>
    <row r="2913" spans="1:4" x14ac:dyDescent="0.2">
      <c r="A2913" s="5">
        <v>2852</v>
      </c>
      <c r="B2913" s="138">
        <f>'Assets-Liab 5-6'!I41</f>
        <v>2341625</v>
      </c>
      <c r="C2913" s="2" t="s">
        <v>593</v>
      </c>
      <c r="D2913" s="2" t="str">
        <f t="shared" si="44"/>
        <v>Error?</v>
      </c>
    </row>
    <row r="2914" spans="1:4" x14ac:dyDescent="0.2">
      <c r="A2914" s="5">
        <v>2853</v>
      </c>
      <c r="B2914" s="138">
        <f>'Assets-Liab 5-6'!L33</f>
        <v>176910</v>
      </c>
      <c r="D2914" s="2" t="str">
        <f t="shared" si="44"/>
        <v>Error?</v>
      </c>
    </row>
    <row r="2915" spans="1:4" x14ac:dyDescent="0.2">
      <c r="A2915" s="10">
        <v>2854</v>
      </c>
      <c r="D2915" s="2" t="str">
        <f t="shared" si="44"/>
        <v>OK</v>
      </c>
    </row>
    <row r="2916" spans="1:4" x14ac:dyDescent="0.2">
      <c r="A2916" s="5">
        <v>2855</v>
      </c>
      <c r="B2916" s="138">
        <f>'Assets-Liab 5-6'!L34</f>
        <v>176910</v>
      </c>
      <c r="C2916" s="2" t="s">
        <v>593</v>
      </c>
      <c r="D2916" s="2" t="str">
        <f t="shared" si="44"/>
        <v>Error?</v>
      </c>
    </row>
    <row r="2917" spans="1:4" x14ac:dyDescent="0.2">
      <c r="A2917" s="5">
        <v>2856</v>
      </c>
      <c r="B2917" s="138">
        <f>'Assets-Liab 5-6'!L41</f>
        <v>176910</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33827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33827</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174564</v>
      </c>
      <c r="D3055" s="2" t="str">
        <f t="shared" si="46"/>
        <v>Error?</v>
      </c>
    </row>
    <row r="3056" spans="1:4" x14ac:dyDescent="0.2">
      <c r="A3056" s="5">
        <v>2995</v>
      </c>
      <c r="B3056" s="138">
        <f>'Expenditures 15-22'!D10</f>
        <v>26820</v>
      </c>
      <c r="D3056" s="2" t="str">
        <f t="shared" si="46"/>
        <v>Error?</v>
      </c>
    </row>
    <row r="3057" spans="1:4" x14ac:dyDescent="0.2">
      <c r="A3057" s="5">
        <v>2996</v>
      </c>
      <c r="B3057" s="138">
        <f>'Expenditures 15-22'!E10</f>
        <v>35196</v>
      </c>
      <c r="D3057" s="2" t="str">
        <f t="shared" si="46"/>
        <v>Error?</v>
      </c>
    </row>
    <row r="3058" spans="1:4" x14ac:dyDescent="0.2">
      <c r="A3058" s="5">
        <v>2997</v>
      </c>
      <c r="B3058" s="138">
        <f>'Expenditures 15-22'!F10</f>
        <v>139111</v>
      </c>
      <c r="D3058" s="2" t="str">
        <f t="shared" si="46"/>
        <v>Error?</v>
      </c>
    </row>
    <row r="3059" spans="1:4" x14ac:dyDescent="0.2">
      <c r="A3059" s="5">
        <v>2998</v>
      </c>
      <c r="B3059" s="138">
        <f>'Expenditures 15-22'!G10</f>
        <v>2584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378275</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519000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27733</v>
      </c>
      <c r="C3225" s="2" t="s">
        <v>593</v>
      </c>
      <c r="D3225" s="2" t="str">
        <f t="shared" si="49"/>
        <v>Error?</v>
      </c>
    </row>
    <row r="3226" spans="1:4" x14ac:dyDescent="0.2">
      <c r="A3226" s="5">
        <v>3165</v>
      </c>
      <c r="B3226" s="138">
        <f>'Acct Summary 7-8'!I8</f>
        <v>27733</v>
      </c>
      <c r="C3226" s="2" t="s">
        <v>593</v>
      </c>
      <c r="D3226" s="2" t="str">
        <f t="shared" si="49"/>
        <v>Error?</v>
      </c>
    </row>
    <row r="3227" spans="1:4" x14ac:dyDescent="0.2">
      <c r="A3227" s="5">
        <v>3166</v>
      </c>
      <c r="B3227" s="138">
        <f>'Acct Summary 7-8'!I20</f>
        <v>27733</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27500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245229</v>
      </c>
      <c r="C3231" s="2" t="s">
        <v>593</v>
      </c>
      <c r="D3231" s="2" t="str">
        <f t="shared" si="49"/>
        <v>Error?</v>
      </c>
    </row>
    <row r="3232" spans="1:4" x14ac:dyDescent="0.2">
      <c r="A3232" s="5">
        <v>3171</v>
      </c>
      <c r="B3232" s="138">
        <f>'Acct Summary 7-8'!C77</f>
        <v>-217729</v>
      </c>
      <c r="C3232" s="2" t="s">
        <v>593</v>
      </c>
      <c r="D3232" s="2" t="str">
        <f t="shared" si="49"/>
        <v>Error?</v>
      </c>
    </row>
    <row r="3233" spans="1:4" x14ac:dyDescent="0.2">
      <c r="A3233" s="5">
        <v>3172</v>
      </c>
      <c r="B3233" s="138">
        <f>'Acct Summary 7-8'!C78</f>
        <v>27010</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-78380</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31215</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32392</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764229</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764229</v>
      </c>
      <c r="C3277" s="2" t="s">
        <v>593</v>
      </c>
      <c r="D3277" s="2" t="str">
        <f t="shared" si="50"/>
        <v>Error?</v>
      </c>
    </row>
    <row r="3278" spans="1:4" x14ac:dyDescent="0.2">
      <c r="A3278" s="5">
        <v>3217</v>
      </c>
      <c r="B3278" s="138">
        <f>'Acct Summary 7-8'!E78</f>
        <v>554705</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0</v>
      </c>
      <c r="C3299" s="2" t="s">
        <v>593</v>
      </c>
      <c r="D3299" s="2" t="str">
        <f t="shared" si="50"/>
        <v>Error?</v>
      </c>
    </row>
    <row r="3300" spans="1:4" x14ac:dyDescent="0.2">
      <c r="A3300" s="5">
        <v>3239</v>
      </c>
      <c r="B3300" s="138">
        <f>'Acct Summary 7-8'!H78</f>
        <v>-1432424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27500</v>
      </c>
      <c r="C3318" s="2" t="s">
        <v>593</v>
      </c>
      <c r="D3318" s="2" t="str">
        <f t="shared" si="50"/>
        <v>Error?</v>
      </c>
    </row>
    <row r="3319" spans="1:4" x14ac:dyDescent="0.2">
      <c r="A3319" s="5">
        <v>3258</v>
      </c>
      <c r="B3319" s="138">
        <f>'Acct Summary 7-8'!I77</f>
        <v>-27500</v>
      </c>
      <c r="C3319" s="2" t="s">
        <v>593</v>
      </c>
      <c r="D3319" s="2" t="str">
        <f t="shared" si="50"/>
        <v>Error?</v>
      </c>
    </row>
    <row r="3320" spans="1:4" x14ac:dyDescent="0.2">
      <c r="A3320" s="5">
        <v>3259</v>
      </c>
      <c r="B3320" s="138">
        <f>'Acct Summary 7-8'!I78</f>
        <v>233</v>
      </c>
      <c r="C3320" s="2" t="s">
        <v>593</v>
      </c>
      <c r="D3320" s="2" t="str">
        <f t="shared" si="50"/>
        <v>Error?</v>
      </c>
    </row>
    <row r="3321" spans="1:4" x14ac:dyDescent="0.2">
      <c r="A3321" s="5">
        <v>3260</v>
      </c>
      <c r="B3321" s="138">
        <f>'Acct Summary 7-8'!I79</f>
        <v>2341392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2341625</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1624713</v>
      </c>
      <c r="D3366" s="2" t="str">
        <f t="shared" si="51"/>
        <v>Error?</v>
      </c>
    </row>
    <row r="3367" spans="1:4" x14ac:dyDescent="0.2">
      <c r="A3367" s="5">
        <v>3306</v>
      </c>
      <c r="B3367" s="138">
        <f>'Expenditures 15-22'!C19</f>
        <v>67765</v>
      </c>
      <c r="D3367" s="2" t="str">
        <f t="shared" si="51"/>
        <v>Error?</v>
      </c>
    </row>
    <row r="3368" spans="1:4" x14ac:dyDescent="0.2">
      <c r="A3368" s="5">
        <v>3307</v>
      </c>
      <c r="B3368" s="138">
        <f>'Expenditures 15-22'!D8</f>
        <v>308466</v>
      </c>
      <c r="D3368" s="2" t="str">
        <f t="shared" si="51"/>
        <v>Error?</v>
      </c>
    </row>
    <row r="3369" spans="1:4" x14ac:dyDescent="0.2">
      <c r="A3369" s="5">
        <v>3308</v>
      </c>
      <c r="B3369" s="138">
        <f>'Expenditures 15-22'!D19</f>
        <v>16522</v>
      </c>
      <c r="D3369" s="2" t="str">
        <f t="shared" si="51"/>
        <v>Error?</v>
      </c>
    </row>
    <row r="3370" spans="1:4" x14ac:dyDescent="0.2">
      <c r="A3370" s="5">
        <v>3309</v>
      </c>
      <c r="B3370" s="138">
        <f>'Expenditures 15-22'!E8</f>
        <v>96001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8682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39575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337231</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2077437</v>
      </c>
      <c r="C3380" s="2" t="s">
        <v>593</v>
      </c>
      <c r="D3380" s="2" t="str">
        <f t="shared" si="51"/>
        <v>Error?</v>
      </c>
    </row>
    <row r="3381" spans="1:4" x14ac:dyDescent="0.2">
      <c r="A3381" s="5">
        <v>3320</v>
      </c>
      <c r="B3381" s="138">
        <f>'Expenditures 15-22'!K19</f>
        <v>421518</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110216</v>
      </c>
      <c r="D3387" s="2" t="str">
        <f t="shared" si="51"/>
        <v>Error?</v>
      </c>
    </row>
    <row r="3388" spans="1:4" x14ac:dyDescent="0.2">
      <c r="A3388" s="5">
        <v>3327</v>
      </c>
      <c r="B3388" s="138">
        <f>'Expenditures 15-22'!D217</f>
        <v>97974</v>
      </c>
      <c r="D3388" s="2" t="str">
        <f t="shared" si="51"/>
        <v>Error?</v>
      </c>
    </row>
    <row r="3389" spans="1:4" x14ac:dyDescent="0.2">
      <c r="A3389" s="5">
        <v>3328</v>
      </c>
      <c r="B3389" s="138">
        <f>'Expenditures 15-22'!D228</f>
        <v>870</v>
      </c>
      <c r="D3389" s="2" t="str">
        <f t="shared" si="51"/>
        <v>Error?</v>
      </c>
    </row>
    <row r="3390" spans="1:4" x14ac:dyDescent="0.2">
      <c r="A3390" s="5">
        <v>3329</v>
      </c>
      <c r="B3390" s="138">
        <f>'Expenditures 15-22'!K215</f>
        <v>110216</v>
      </c>
      <c r="C3390" s="2" t="s">
        <v>593</v>
      </c>
      <c r="D3390" s="2" t="str">
        <f t="shared" si="51"/>
        <v>Error?</v>
      </c>
    </row>
    <row r="3391" spans="1:4" x14ac:dyDescent="0.2">
      <c r="A3391" s="5">
        <v>3330</v>
      </c>
      <c r="B3391" s="138">
        <f>'Expenditures 15-22'!K217</f>
        <v>97974</v>
      </c>
      <c r="C3391" s="2" t="s">
        <v>593</v>
      </c>
      <c r="D3391" s="2" t="str">
        <f t="shared" ref="D3391:D3454" si="52">IF(ISBLANK(B3391),"OK",IF(A3391-B3391=0,"OK","Error?"))</f>
        <v>Error?</v>
      </c>
    </row>
    <row r="3392" spans="1:4" x14ac:dyDescent="0.2">
      <c r="A3392" s="5">
        <v>3331</v>
      </c>
      <c r="B3392" s="138">
        <f>'Expenditures 15-22'!K228</f>
        <v>870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12006408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1853235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97529</v>
      </c>
      <c r="D3417" s="2" t="str">
        <f t="shared" si="52"/>
        <v>Error?</v>
      </c>
    </row>
    <row r="3418" spans="1:4" x14ac:dyDescent="0.2">
      <c r="A3418" s="10">
        <v>3357</v>
      </c>
      <c r="D3418" s="2" t="str">
        <f t="shared" si="52"/>
        <v>OK</v>
      </c>
    </row>
    <row r="3419" spans="1:4" x14ac:dyDescent="0.2">
      <c r="A3419" s="5">
        <v>3358</v>
      </c>
      <c r="B3419" s="138">
        <f>'Assets-Liab 5-6'!F4</f>
        <v>1139425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725598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669051</v>
      </c>
      <c r="D3425" s="2" t="str">
        <f t="shared" si="52"/>
        <v>Error?</v>
      </c>
    </row>
    <row r="3426" spans="1:4" x14ac:dyDescent="0.2">
      <c r="A3426" s="10">
        <v>3365</v>
      </c>
      <c r="D3426" s="2" t="str">
        <f t="shared" si="52"/>
        <v>OK</v>
      </c>
    </row>
    <row r="3427" spans="1:4" x14ac:dyDescent="0.2">
      <c r="A3427" s="5">
        <v>3366</v>
      </c>
      <c r="B3427" s="138">
        <f>'Assets-Liab 5-6'!I4</f>
        <v>2341625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176910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381963</v>
      </c>
      <c r="C3446" s="2" t="s">
        <v>593</v>
      </c>
      <c r="D3446" s="2" t="str">
        <f t="shared" si="52"/>
        <v>Error?</v>
      </c>
    </row>
    <row r="3447" spans="1:4" x14ac:dyDescent="0.2">
      <c r="A3447" s="5">
        <v>3386</v>
      </c>
      <c r="B3447" s="138">
        <f>'Tax Sched 23'!D16</f>
        <v>377769</v>
      </c>
      <c r="C3447" s="2" t="s">
        <v>593</v>
      </c>
      <c r="D3447" s="2" t="str">
        <f t="shared" si="52"/>
        <v>Error?</v>
      </c>
    </row>
    <row r="3448" spans="1:4" x14ac:dyDescent="0.2">
      <c r="A3448" s="5">
        <v>3387</v>
      </c>
      <c r="B3448" s="138">
        <f>'Tax Sched 23'!C16</f>
        <v>4194</v>
      </c>
      <c r="D3448" s="2" t="str">
        <f t="shared" si="52"/>
        <v>Error?</v>
      </c>
    </row>
    <row r="3449" spans="1:4" x14ac:dyDescent="0.2">
      <c r="A3449" s="5">
        <v>3388</v>
      </c>
      <c r="B3449" s="138">
        <f>'Tax Sched 23'!F16</f>
        <v>386009</v>
      </c>
      <c r="C3449" s="2" t="s">
        <v>593</v>
      </c>
      <c r="D3449" s="2" t="str">
        <f t="shared" si="52"/>
        <v>Error?</v>
      </c>
    </row>
    <row r="3450" spans="1:4" x14ac:dyDescent="0.2">
      <c r="A3450" s="5">
        <v>3389</v>
      </c>
      <c r="B3450" s="138">
        <f>'Tax Sched 23'!E16</f>
        <v>390203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226047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226047</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226047</v>
      </c>
      <c r="D3567" s="2" t="str">
        <f t="shared" si="54"/>
        <v>Error?</v>
      </c>
    </row>
    <row r="3568" spans="1:4" x14ac:dyDescent="0.2">
      <c r="A3568" s="5">
        <v>3507</v>
      </c>
      <c r="B3568" s="138">
        <f>'Assets-Liab 5-6'!K41</f>
        <v>226047</v>
      </c>
      <c r="C3568" s="2" t="s">
        <v>593</v>
      </c>
      <c r="D3568" s="2" t="str">
        <f t="shared" si="54"/>
        <v>Error?</v>
      </c>
    </row>
    <row r="3569" spans="1:4" x14ac:dyDescent="0.2">
      <c r="A3569" s="5">
        <v>3508</v>
      </c>
      <c r="B3569" s="138">
        <f>'Acct Summary 7-8'!K4</f>
        <v>233197</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233197</v>
      </c>
      <c r="C3571" s="2" t="s">
        <v>593</v>
      </c>
      <c r="D3571" s="2" t="str">
        <f t="shared" si="54"/>
        <v>Error?</v>
      </c>
    </row>
    <row r="3572" spans="1:4" x14ac:dyDescent="0.2">
      <c r="A3572" s="5">
        <v>3511</v>
      </c>
      <c r="B3572" s="138">
        <f>'Acct Summary 7-8'!K13</f>
        <v>249794</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249794</v>
      </c>
      <c r="C3575" s="2" t="s">
        <v>593</v>
      </c>
      <c r="D3575" s="2" t="str">
        <f t="shared" si="54"/>
        <v>Error?</v>
      </c>
    </row>
    <row r="3576" spans="1:4" x14ac:dyDescent="0.2">
      <c r="A3576" s="5">
        <v>3515</v>
      </c>
      <c r="B3576" s="138">
        <f>'Acct Summary 7-8'!K20</f>
        <v>-16597</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-16597</v>
      </c>
      <c r="C3588" s="2" t="s">
        <v>593</v>
      </c>
      <c r="D3588" s="2" t="str">
        <f t="shared" si="55"/>
        <v>Error?</v>
      </c>
    </row>
    <row r="3589" spans="1:4" x14ac:dyDescent="0.2">
      <c r="A3589" s="5">
        <v>3528</v>
      </c>
      <c r="B3589" s="138">
        <f>'Acct Summary 7-8'!K79</f>
        <v>242644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226047</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18794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18794</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18794</v>
      </c>
      <c r="C3635" s="2" t="s">
        <v>593</v>
      </c>
      <c r="D3635" s="2" t="str">
        <f t="shared" si="55"/>
        <v>Error?</v>
      </c>
    </row>
    <row r="3636" spans="1:4" x14ac:dyDescent="0.2">
      <c r="A3636" s="5">
        <v>3575</v>
      </c>
      <c r="B3636" s="138">
        <f>'Expenditures 15-22'!E367</f>
        <v>18794</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231000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231000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231000</v>
      </c>
      <c r="C3649" s="2" t="s">
        <v>593</v>
      </c>
      <c r="D3649" s="2" t="str">
        <f t="shared" si="56"/>
        <v>Error?</v>
      </c>
    </row>
    <row r="3650" spans="1:4" x14ac:dyDescent="0.2">
      <c r="A3650" s="5">
        <v>3589</v>
      </c>
      <c r="B3650" s="138">
        <f>'Expenditures 15-22'!G367</f>
        <v>231000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249794</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249794</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249794</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249794</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-16597</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230680</v>
      </c>
      <c r="C3725" s="2" t="s">
        <v>593</v>
      </c>
      <c r="D3725" s="2" t="str">
        <f t="shared" si="57"/>
        <v>Error?</v>
      </c>
    </row>
    <row r="3726" spans="1:4" x14ac:dyDescent="0.2">
      <c r="A3726" s="5">
        <v>3665</v>
      </c>
      <c r="B3726" s="138">
        <f>'Tax Sched 23'!D13</f>
        <v>228123</v>
      </c>
      <c r="C3726" s="2" t="s">
        <v>593</v>
      </c>
      <c r="D3726" s="2" t="str">
        <f t="shared" si="57"/>
        <v>Error?</v>
      </c>
    </row>
    <row r="3727" spans="1:4" x14ac:dyDescent="0.2">
      <c r="A3727" s="5">
        <v>3666</v>
      </c>
      <c r="B3727" s="138">
        <f>'Tax Sched 23'!C13</f>
        <v>2557</v>
      </c>
      <c r="D3727" s="2" t="str">
        <f t="shared" si="57"/>
        <v>Error?</v>
      </c>
    </row>
    <row r="3728" spans="1:4" x14ac:dyDescent="0.2">
      <c r="A3728" s="5">
        <v>3667</v>
      </c>
      <c r="B3728" s="138">
        <f>'Tax Sched 23'!F13</f>
        <v>235372</v>
      </c>
      <c r="C3728" s="2" t="s">
        <v>593</v>
      </c>
      <c r="D3728" s="2" t="str">
        <f t="shared" si="57"/>
        <v>Error?</v>
      </c>
    </row>
    <row r="3729" spans="1:4" x14ac:dyDescent="0.2">
      <c r="A3729" s="5">
        <v>3668</v>
      </c>
      <c r="B3729" s="138">
        <f>'Tax Sched 23'!E13</f>
        <v>237929</v>
      </c>
      <c r="D3729" s="2" t="str">
        <f t="shared" si="57"/>
        <v>Error?</v>
      </c>
    </row>
    <row r="3730" spans="1:4" x14ac:dyDescent="0.2">
      <c r="A3730" s="5">
        <v>3669</v>
      </c>
      <c r="B3730" s="138">
        <f>'ICR Computation 30'!E10</f>
        <v>423826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8887230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26945564</v>
      </c>
      <c r="C4122" s="2" t="s">
        <v>593</v>
      </c>
      <c r="D4122" s="2" t="str">
        <f t="shared" si="63"/>
        <v>Error?</v>
      </c>
    </row>
    <row r="4123" spans="1:4" x14ac:dyDescent="0.2">
      <c r="A4123" s="5">
        <v>4062</v>
      </c>
      <c r="B4123" s="138">
        <f>'Acct Summary 7-8'!D10</f>
        <v>2703992</v>
      </c>
      <c r="C4123" s="2" t="s">
        <v>593</v>
      </c>
      <c r="D4123" s="2" t="str">
        <f t="shared" si="63"/>
        <v>Error?</v>
      </c>
    </row>
    <row r="4124" spans="1:4" x14ac:dyDescent="0.2">
      <c r="A4124" s="5">
        <v>4063</v>
      </c>
      <c r="B4124" s="138">
        <f>'Acct Summary 7-8'!E10</f>
        <v>2036114</v>
      </c>
      <c r="C4124" s="2" t="s">
        <v>593</v>
      </c>
      <c r="D4124" s="2" t="str">
        <f t="shared" si="63"/>
        <v>Error?</v>
      </c>
    </row>
    <row r="4125" spans="1:4" x14ac:dyDescent="0.2">
      <c r="A4125" s="5">
        <v>4064</v>
      </c>
      <c r="B4125" s="138">
        <f>'Acct Summary 7-8'!F10</f>
        <v>1249065</v>
      </c>
      <c r="C4125" s="2" t="s">
        <v>593</v>
      </c>
      <c r="D4125" s="2" t="str">
        <f t="shared" si="63"/>
        <v>Error?</v>
      </c>
    </row>
    <row r="4126" spans="1:4" x14ac:dyDescent="0.2">
      <c r="A4126" s="5">
        <v>4065</v>
      </c>
      <c r="B4126" s="138">
        <f>'Acct Summary 7-8'!G10</f>
        <v>940830</v>
      </c>
      <c r="C4126" s="2" t="s">
        <v>593</v>
      </c>
      <c r="D4126" s="2" t="str">
        <f t="shared" si="63"/>
        <v>Error?</v>
      </c>
    </row>
    <row r="4127" spans="1:4" x14ac:dyDescent="0.2">
      <c r="A4127" s="5">
        <v>4066</v>
      </c>
      <c r="B4127" s="138">
        <f>'Acct Summary 7-8'!H10</f>
        <v>53174</v>
      </c>
      <c r="C4127" s="2" t="s">
        <v>593</v>
      </c>
      <c r="D4127" s="2" t="str">
        <f t="shared" si="63"/>
        <v>Error?</v>
      </c>
    </row>
    <row r="4128" spans="1:4" x14ac:dyDescent="0.2">
      <c r="A4128" s="5">
        <v>4067</v>
      </c>
      <c r="B4128" s="138">
        <f>'Acct Summary 7-8'!I10</f>
        <v>27733</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233197</v>
      </c>
      <c r="C4130" s="2" t="s">
        <v>593</v>
      </c>
      <c r="D4130" s="2" t="str">
        <f t="shared" si="63"/>
        <v>Error?</v>
      </c>
    </row>
    <row r="4131" spans="1:4" x14ac:dyDescent="0.2">
      <c r="A4131" s="5">
        <v>4070</v>
      </c>
      <c r="B4131" s="138">
        <f>'Acct Summary 7-8'!C18</f>
        <v>8887230</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26700825</v>
      </c>
      <c r="C4136" s="2" t="s">
        <v>593</v>
      </c>
      <c r="D4136" s="2" t="str">
        <f t="shared" si="63"/>
        <v>Error?</v>
      </c>
    </row>
    <row r="4137" spans="1:4" x14ac:dyDescent="0.2">
      <c r="A4137" s="5">
        <v>4076</v>
      </c>
      <c r="B4137" s="138">
        <f>'Acct Summary 7-8'!D19</f>
        <v>2782372</v>
      </c>
      <c r="C4137" s="2" t="s">
        <v>593</v>
      </c>
      <c r="D4137" s="2" t="str">
        <f t="shared" si="63"/>
        <v>Error?</v>
      </c>
    </row>
    <row r="4138" spans="1:4" x14ac:dyDescent="0.2">
      <c r="A4138" s="5">
        <v>4077</v>
      </c>
      <c r="B4138" s="138">
        <f>'Acct Summary 7-8'!E19</f>
        <v>2245638</v>
      </c>
      <c r="C4138" s="2" t="s">
        <v>593</v>
      </c>
      <c r="D4138" s="2" t="str">
        <f t="shared" si="63"/>
        <v>Error?</v>
      </c>
    </row>
    <row r="4139" spans="1:4" x14ac:dyDescent="0.2">
      <c r="A4139" s="5">
        <v>4078</v>
      </c>
      <c r="B4139" s="138">
        <f>'Acct Summary 7-8'!F19</f>
        <v>1217850</v>
      </c>
      <c r="C4139" s="2" t="s">
        <v>593</v>
      </c>
      <c r="D4139" s="2" t="str">
        <f t="shared" si="63"/>
        <v>Error?</v>
      </c>
    </row>
    <row r="4140" spans="1:4" x14ac:dyDescent="0.2">
      <c r="A4140" s="5">
        <v>4079</v>
      </c>
      <c r="B4140" s="138">
        <f>'Acct Summary 7-8'!G19</f>
        <v>908438</v>
      </c>
      <c r="C4140" s="2" t="s">
        <v>593</v>
      </c>
      <c r="D4140" s="2" t="str">
        <f t="shared" si="63"/>
        <v>Error?</v>
      </c>
    </row>
    <row r="4141" spans="1:4" x14ac:dyDescent="0.2">
      <c r="A4141" s="5">
        <v>4080</v>
      </c>
      <c r="B4141" s="138">
        <f>'Acct Summary 7-8'!H19</f>
        <v>1485598</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249794</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22029520</v>
      </c>
      <c r="C4171" s="2" t="s">
        <v>593</v>
      </c>
      <c r="D4171" s="2" t="str">
        <f t="shared" si="64"/>
        <v>Error?</v>
      </c>
    </row>
    <row r="4172" spans="1:4" x14ac:dyDescent="0.2">
      <c r="A4172" s="5">
        <v>4111</v>
      </c>
      <c r="B4172" s="138">
        <f>'Short-Term Long-Term Debt 24'!J49</f>
        <v>20387103</v>
      </c>
      <c r="C4172" s="2" t="s">
        <v>593</v>
      </c>
      <c r="D4172" s="2" t="str">
        <f t="shared" si="64"/>
        <v>Error?</v>
      </c>
    </row>
    <row r="4173" spans="1:4" x14ac:dyDescent="0.2">
      <c r="A4173" s="5">
        <v>4112</v>
      </c>
      <c r="B4173" s="138">
        <f>'Short-Term Long-Term Debt 24'!H49</f>
        <v>1441338</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2450</v>
      </c>
      <c r="C4265" s="2" t="s">
        <v>593</v>
      </c>
      <c r="D4265" s="2" t="str">
        <f t="shared" si="65"/>
        <v>Error?</v>
      </c>
      <c r="E4265" s="128"/>
    </row>
    <row r="4266" spans="1:5" x14ac:dyDescent="0.2">
      <c r="A4266" s="12">
        <v>4205</v>
      </c>
      <c r="B4266" s="138">
        <f>('FP Info 3'!F10)*100000</f>
        <v>575</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3225</v>
      </c>
      <c r="C4268" s="2" t="s">
        <v>593</v>
      </c>
      <c r="D4268" s="2" t="str">
        <f t="shared" si="65"/>
        <v>Error?</v>
      </c>
    </row>
    <row r="4269" spans="1:5" x14ac:dyDescent="0.2">
      <c r="A4269" s="12">
        <v>4208</v>
      </c>
      <c r="B4269" s="138">
        <f>'FP Info 3'!J16</f>
        <v>17340693</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98607</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31899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96863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14195</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67424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20519</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475857155</v>
      </c>
      <c r="D4995" s="2" t="str">
        <f t="shared" si="77"/>
        <v>Error?</v>
      </c>
    </row>
    <row r="4996" spans="1:4" x14ac:dyDescent="0.2">
      <c r="A4996" s="12">
        <v>4935</v>
      </c>
      <c r="B4996" s="138">
        <f>'FP Info 3'!H31</f>
        <v>65668287.390000008</v>
      </c>
      <c r="D4996" s="2" t="str">
        <f t="shared" si="77"/>
        <v>Error?</v>
      </c>
    </row>
    <row r="4997" spans="1:4" x14ac:dyDescent="0.2">
      <c r="A4997" s="12">
        <v>4936</v>
      </c>
      <c r="B4997" s="138">
        <f>'FP Info 3'!H37</f>
        <v>22029520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230680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11303401</v>
      </c>
      <c r="D5061" s="2" t="str">
        <f t="shared" si="78"/>
        <v>Error?</v>
      </c>
    </row>
    <row r="5062" spans="1:4" x14ac:dyDescent="0.2">
      <c r="A5062" s="10">
        <v>5001</v>
      </c>
      <c r="D5062" s="2" t="str">
        <f t="shared" si="78"/>
        <v>OK</v>
      </c>
    </row>
    <row r="5063" spans="1:4" x14ac:dyDescent="0.2">
      <c r="A5063" s="5">
        <v>5002</v>
      </c>
      <c r="B5063" s="138">
        <f>'Revenues 9-14'!C7</f>
        <v>184544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11718625</v>
      </c>
      <c r="C5066" s="2" t="s">
        <v>593</v>
      </c>
      <c r="D5066" s="2" t="str">
        <f t="shared" si="78"/>
        <v>Error?</v>
      </c>
    </row>
    <row r="5067" spans="1:4" x14ac:dyDescent="0.2">
      <c r="A5067" s="5">
        <v>5006</v>
      </c>
      <c r="B5067" s="138">
        <f>'Revenues 9-14'!C14</f>
        <v>3798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1027653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1031451</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171047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171047</v>
      </c>
      <c r="C5090" s="2" t="s">
        <v>593</v>
      </c>
      <c r="D5090" s="2" t="str">
        <f t="shared" si="78"/>
        <v>Error?</v>
      </c>
    </row>
    <row r="5091" spans="1:4" x14ac:dyDescent="0.2">
      <c r="A5091" s="5">
        <v>5030</v>
      </c>
      <c r="B5091" s="138">
        <f>'Revenues 9-14'!C70</f>
        <v>74</v>
      </c>
      <c r="D5091" s="2" t="str">
        <f t="shared" si="78"/>
        <v>Error?</v>
      </c>
    </row>
    <row r="5092" spans="1:4" x14ac:dyDescent="0.2">
      <c r="A5092" s="5">
        <v>5031</v>
      </c>
      <c r="B5092" s="138">
        <f>'Revenues 9-14'!C71</f>
        <v>27975</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16367</v>
      </c>
      <c r="D5094" s="2" t="str">
        <f t="shared" si="78"/>
        <v>Error?</v>
      </c>
    </row>
    <row r="5095" spans="1:4" x14ac:dyDescent="0.2">
      <c r="A5095" s="5">
        <v>5034</v>
      </c>
      <c r="B5095" s="138">
        <f>'Revenues 9-14'!C74</f>
        <v>15259</v>
      </c>
      <c r="D5095" s="2" t="str">
        <f t="shared" si="78"/>
        <v>Error?</v>
      </c>
    </row>
    <row r="5096" spans="1:4" x14ac:dyDescent="0.2">
      <c r="A5096" s="5">
        <v>5035</v>
      </c>
      <c r="B5096" s="138">
        <f>'Revenues 9-14'!C75</f>
        <v>64743</v>
      </c>
      <c r="C5096" s="2" t="s">
        <v>593</v>
      </c>
      <c r="D5096" s="2" t="str">
        <f t="shared" si="78"/>
        <v>Error?</v>
      </c>
    </row>
    <row r="5097" spans="1:4" x14ac:dyDescent="0.2">
      <c r="A5097" s="5">
        <v>5036</v>
      </c>
      <c r="B5097" s="138">
        <f>'Revenues 9-14'!C77</f>
        <v>23391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42178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17775</v>
      </c>
      <c r="D5101" s="2" t="str">
        <f t="shared" si="78"/>
        <v>Error?</v>
      </c>
    </row>
    <row r="5102" spans="1:4" x14ac:dyDescent="0.2">
      <c r="A5102" s="5">
        <v>5041</v>
      </c>
      <c r="B5102" s="138">
        <f>'Revenues 9-14'!C82</f>
        <v>83344</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20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8061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5936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27379</v>
      </c>
      <c r="D5119" s="2" t="str">
        <f t="shared" ref="D5119:D5182" si="79">IF(ISBLANK(B5119),"OK",IF(A5119-B5119=0,"OK","Error?"))</f>
        <v>Error?</v>
      </c>
    </row>
    <row r="5120" spans="1:4" x14ac:dyDescent="0.2">
      <c r="A5120" s="5">
        <v>5059</v>
      </c>
      <c r="B5120" s="138">
        <f>'Revenues 9-14'!C108</f>
        <v>45716</v>
      </c>
      <c r="C5120" s="2" t="s">
        <v>593</v>
      </c>
      <c r="D5120" s="2" t="str">
        <f t="shared" si="79"/>
        <v>Error?</v>
      </c>
    </row>
    <row r="5121" spans="1:4" x14ac:dyDescent="0.2">
      <c r="A5121" s="5">
        <v>5060</v>
      </c>
      <c r="B5121" s="138">
        <f>'Revenues 9-14'!C109</f>
        <v>13114946</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2080632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2080632</v>
      </c>
      <c r="C5132" s="2" t="s">
        <v>593</v>
      </c>
      <c r="D5132" s="2" t="str">
        <f t="shared" si="79"/>
        <v>Error?</v>
      </c>
    </row>
    <row r="5133" spans="1:4" x14ac:dyDescent="0.2">
      <c r="A5133" s="5">
        <v>5072</v>
      </c>
      <c r="B5133" s="138">
        <f>'Revenues 9-14'!C124</f>
        <v>70626</v>
      </c>
      <c r="D5133" s="2" t="str">
        <f t="shared" si="79"/>
        <v>Error?</v>
      </c>
    </row>
    <row r="5134" spans="1:4" x14ac:dyDescent="0.2">
      <c r="A5134" s="5">
        <v>5073</v>
      </c>
      <c r="B5134" s="138">
        <f>'Revenues 9-14'!C125</f>
        <v>126226</v>
      </c>
      <c r="D5134" s="2" t="str">
        <f t="shared" si="79"/>
        <v>Error?</v>
      </c>
    </row>
    <row r="5135" spans="1:4" x14ac:dyDescent="0.2">
      <c r="A5135" s="5">
        <v>5074</v>
      </c>
      <c r="B5135" s="138">
        <f>'Revenues 9-14'!C126</f>
        <v>150684</v>
      </c>
      <c r="D5135" s="2" t="str">
        <f t="shared" si="79"/>
        <v>Error?</v>
      </c>
    </row>
    <row r="5136" spans="1:4" x14ac:dyDescent="0.2">
      <c r="A5136" s="10">
        <v>5075</v>
      </c>
      <c r="D5136" s="2" t="str">
        <f t="shared" si="79"/>
        <v>OK</v>
      </c>
    </row>
    <row r="5137" spans="1:4" x14ac:dyDescent="0.2">
      <c r="A5137" s="5">
        <v>5076</v>
      </c>
      <c r="B5137" s="138">
        <f>'Revenues 9-14'!C127</f>
        <v>18070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5402</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371008</v>
      </c>
      <c r="C5147" s="2" t="s">
        <v>593</v>
      </c>
      <c r="D5147" s="2" t="str">
        <f t="shared" si="79"/>
        <v>Error?</v>
      </c>
    </row>
    <row r="5148" spans="1:4" x14ac:dyDescent="0.2">
      <c r="A5148" s="5">
        <v>5087</v>
      </c>
      <c r="B5148" s="138">
        <f>'Revenues 9-14'!C133</f>
        <v>67141</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67141</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12320</v>
      </c>
      <c r="D5167" s="2" t="str">
        <f t="shared" si="79"/>
        <v>Error?</v>
      </c>
    </row>
    <row r="5168" spans="1:4" x14ac:dyDescent="0.2">
      <c r="A5168" s="5">
        <v>5107</v>
      </c>
      <c r="B5168" s="138">
        <f>'Revenues 9-14'!C147</f>
        <v>24763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449173</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944924</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3025556</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533553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141841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774001</v>
      </c>
      <c r="C5246" s="2" t="s">
        <v>593</v>
      </c>
      <c r="D5246" s="2" t="str">
        <f t="shared" si="80"/>
        <v>Error?</v>
      </c>
    </row>
    <row r="5247" spans="1:4" x14ac:dyDescent="0.2">
      <c r="A5247" s="5">
        <v>5186</v>
      </c>
      <c r="B5247" s="138">
        <f>'Revenues 9-14'!C203</f>
        <v>511709</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14195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511709</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12752</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376055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388807</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32934</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32934</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1917832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1917832</v>
      </c>
      <c r="C5326" s="2" t="s">
        <v>593</v>
      </c>
      <c r="D5326" s="2" t="str">
        <f t="shared" si="82"/>
        <v>Error?</v>
      </c>
    </row>
    <row r="5327" spans="1:4" x14ac:dyDescent="0.2">
      <c r="A5327" s="5">
        <v>5266</v>
      </c>
      <c r="B5327" s="138">
        <f>'Revenues 9-14'!C275</f>
        <v>18058334</v>
      </c>
      <c r="C5327" s="2" t="s">
        <v>593</v>
      </c>
      <c r="D5327" s="2" t="str">
        <f t="shared" si="82"/>
        <v>Error?</v>
      </c>
    </row>
    <row r="5328" spans="1:4" x14ac:dyDescent="0.2">
      <c r="A5328" s="5">
        <v>5267</v>
      </c>
      <c r="B5328" s="138">
        <f>'Revenues 9-14'!D5</f>
        <v>2652831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2652831</v>
      </c>
      <c r="C5334" s="2" t="s">
        <v>593</v>
      </c>
      <c r="D5334" s="2" t="str">
        <f t="shared" si="82"/>
        <v>Error?</v>
      </c>
    </row>
    <row r="5335" spans="1:4" x14ac:dyDescent="0.2">
      <c r="A5335" s="5">
        <v>5274</v>
      </c>
      <c r="B5335" s="138">
        <f>'Revenues 9-14'!D14</f>
        <v>860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860</v>
      </c>
      <c r="C5339" s="2" t="s">
        <v>593</v>
      </c>
      <c r="D5339" s="2" t="str">
        <f t="shared" si="82"/>
        <v>Error?</v>
      </c>
    </row>
    <row r="5340" spans="1:4" x14ac:dyDescent="0.2">
      <c r="A5340" s="5">
        <v>5279</v>
      </c>
      <c r="B5340" s="138">
        <f>'Revenues 9-14'!D65</f>
        <v>25782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25782</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9519</v>
      </c>
      <c r="D5354" s="2" t="str">
        <f t="shared" si="82"/>
        <v>Error?</v>
      </c>
    </row>
    <row r="5355" spans="1:4" x14ac:dyDescent="0.2">
      <c r="A5355" s="5">
        <v>5294</v>
      </c>
      <c r="B5355" s="138">
        <f>'Revenues 9-14'!D108</f>
        <v>9519</v>
      </c>
      <c r="C5355" s="2" t="s">
        <v>593</v>
      </c>
      <c r="D5355" s="2" t="str">
        <f t="shared" si="82"/>
        <v>Error?</v>
      </c>
    </row>
    <row r="5356" spans="1:4" x14ac:dyDescent="0.2">
      <c r="A5356" s="5">
        <v>5295</v>
      </c>
      <c r="B5356" s="138">
        <f>'Revenues 9-14'!D109</f>
        <v>2688992</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15000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15000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15000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15000</v>
      </c>
      <c r="C5507" s="2" t="s">
        <v>593</v>
      </c>
      <c r="D5507" s="2" t="str">
        <f t="shared" si="85"/>
        <v>Error?</v>
      </c>
    </row>
    <row r="5508" spans="1:4" x14ac:dyDescent="0.2">
      <c r="A5508" s="5">
        <v>5447</v>
      </c>
      <c r="B5508" s="138">
        <f>'Revenues 9-14'!D275</f>
        <v>2703992</v>
      </c>
      <c r="C5508" s="2" t="s">
        <v>593</v>
      </c>
      <c r="D5508" s="2" t="str">
        <f t="shared" si="85"/>
        <v>Error?</v>
      </c>
    </row>
    <row r="5509" spans="1:4" x14ac:dyDescent="0.2">
      <c r="A5509" s="5">
        <v>5448</v>
      </c>
      <c r="B5509" s="138">
        <f>'Revenues 9-14'!E5</f>
        <v>2005315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2005315</v>
      </c>
      <c r="C5513" s="2" t="s">
        <v>593</v>
      </c>
      <c r="D5513" s="2" t="str">
        <f t="shared" si="85"/>
        <v>Error?</v>
      </c>
    </row>
    <row r="5514" spans="1:4" x14ac:dyDescent="0.2">
      <c r="A5514" s="5">
        <v>5453</v>
      </c>
      <c r="B5514" s="138">
        <f>'Revenues 9-14'!E14</f>
        <v>650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650</v>
      </c>
      <c r="C5518" s="2" t="s">
        <v>593</v>
      </c>
      <c r="D5518" s="2" t="str">
        <f t="shared" si="85"/>
        <v>Error?</v>
      </c>
    </row>
    <row r="5519" spans="1:4" x14ac:dyDescent="0.2">
      <c r="A5519" s="5">
        <v>5458</v>
      </c>
      <c r="B5519" s="138">
        <f>'Revenues 9-14'!E65</f>
        <v>30096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30096</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53</v>
      </c>
      <c r="D5525" s="2" t="str">
        <f t="shared" si="85"/>
        <v>Error?</v>
      </c>
    </row>
    <row r="5526" spans="1:4" x14ac:dyDescent="0.2">
      <c r="A5526" s="5">
        <v>5465</v>
      </c>
      <c r="B5526" s="138">
        <f>'Revenues 9-14'!E108</f>
        <v>53</v>
      </c>
      <c r="C5526" s="2" t="s">
        <v>593</v>
      </c>
      <c r="D5526" s="2" t="str">
        <f t="shared" si="85"/>
        <v>Error?</v>
      </c>
    </row>
    <row r="5527" spans="1:4" x14ac:dyDescent="0.2">
      <c r="A5527" s="5">
        <v>5466</v>
      </c>
      <c r="B5527" s="138">
        <f>'Revenues 9-14'!E109</f>
        <v>2036114</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2036114</v>
      </c>
      <c r="C5552" s="2" t="s">
        <v>593</v>
      </c>
      <c r="D5552" s="2" t="str">
        <f t="shared" si="85"/>
        <v>Error?</v>
      </c>
    </row>
    <row r="5553" spans="1:4" x14ac:dyDescent="0.2">
      <c r="A5553" s="5">
        <v>5492</v>
      </c>
      <c r="B5553" s="138">
        <f>'Revenues 9-14'!F5</f>
        <v>922720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922720</v>
      </c>
      <c r="C5557" s="2" t="s">
        <v>593</v>
      </c>
      <c r="D5557" s="2" t="str">
        <f t="shared" si="85"/>
        <v>Error?</v>
      </c>
    </row>
    <row r="5558" spans="1:4" x14ac:dyDescent="0.2">
      <c r="A5558" s="5">
        <v>5497</v>
      </c>
      <c r="B5558" s="138">
        <f>'Revenues 9-14'!F14</f>
        <v>299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299</v>
      </c>
      <c r="C5562" s="2" t="s">
        <v>593</v>
      </c>
      <c r="D5562" s="2" t="str">
        <f t="shared" si="85"/>
        <v>Error?</v>
      </c>
    </row>
    <row r="5563" spans="1:4" x14ac:dyDescent="0.2">
      <c r="A5563" s="5">
        <v>5502</v>
      </c>
      <c r="B5563" s="138">
        <f>'Revenues 9-14'!F42</f>
        <v>1134</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1134</v>
      </c>
      <c r="C5579" s="2" t="s">
        <v>593</v>
      </c>
      <c r="D5579" s="2" t="str">
        <f t="shared" si="86"/>
        <v>Error?</v>
      </c>
    </row>
    <row r="5580" spans="1:4" x14ac:dyDescent="0.2">
      <c r="A5580" s="5">
        <v>5519</v>
      </c>
      <c r="B5580" s="138">
        <f>'Revenues 9-14'!F65</f>
        <v>14788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14788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18752</v>
      </c>
      <c r="D5586" s="2" t="str">
        <f t="shared" si="86"/>
        <v>Error?</v>
      </c>
    </row>
    <row r="5587" spans="1:4" x14ac:dyDescent="0.2">
      <c r="A5587" s="5">
        <v>5526</v>
      </c>
      <c r="B5587" s="138">
        <f>'Revenues 9-14'!F108</f>
        <v>18752</v>
      </c>
      <c r="C5587" s="2" t="s">
        <v>593</v>
      </c>
      <c r="D5587" s="2" t="str">
        <f t="shared" si="86"/>
        <v>Error?</v>
      </c>
    </row>
    <row r="5588" spans="1:4" x14ac:dyDescent="0.2">
      <c r="A5588" s="5">
        <v>5527</v>
      </c>
      <c r="B5588" s="138">
        <f>'Revenues 9-14'!F109</f>
        <v>957693</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20594</v>
      </c>
      <c r="D5615" s="2" t="str">
        <f t="shared" si="86"/>
        <v>Error?</v>
      </c>
    </row>
    <row r="5616" spans="1:4" x14ac:dyDescent="0.2">
      <c r="A5616" s="10">
        <v>5555</v>
      </c>
      <c r="D5616" s="2" t="str">
        <f t="shared" si="86"/>
        <v>OK</v>
      </c>
    </row>
    <row r="5617" spans="1:4" x14ac:dyDescent="0.2">
      <c r="A5617" s="5">
        <v>5556</v>
      </c>
      <c r="B5617" s="138">
        <f>'Revenues 9-14'!F152</f>
        <v>260778</v>
      </c>
      <c r="D5617" s="2" t="str">
        <f t="shared" si="86"/>
        <v>Error?</v>
      </c>
    </row>
    <row r="5618" spans="1:4" x14ac:dyDescent="0.2">
      <c r="A5618" s="5">
        <v>5557</v>
      </c>
      <c r="B5618" s="138">
        <f>'Revenues 9-14'!F154</f>
        <v>281372</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10000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291372</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291372</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1249065</v>
      </c>
      <c r="C5720" s="2" t="s">
        <v>593</v>
      </c>
      <c r="D5720" s="2" t="str">
        <f t="shared" si="88"/>
        <v>Error?</v>
      </c>
    </row>
    <row r="5721" spans="1:4" x14ac:dyDescent="0.2">
      <c r="A5721" s="5">
        <v>5660</v>
      </c>
      <c r="B5721" s="138">
        <f>'Revenues 9-14'!G5</f>
        <v>470152</v>
      </c>
      <c r="D5721" s="2" t="str">
        <f t="shared" si="88"/>
        <v>Error?</v>
      </c>
    </row>
    <row r="5722" spans="1:4" x14ac:dyDescent="0.2">
      <c r="A5722" s="5">
        <v>5661</v>
      </c>
      <c r="B5722" s="138">
        <f>'Revenues 9-14'!G7</f>
        <v>0</v>
      </c>
      <c r="D5722" s="2" t="str">
        <f t="shared" si="88"/>
        <v>Error?</v>
      </c>
    </row>
    <row r="5723" spans="1:4" x14ac:dyDescent="0.2">
      <c r="A5723" s="5">
        <v>5662</v>
      </c>
      <c r="B5723" s="138">
        <f>'Revenues 9-14'!G8</f>
        <v>381963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852115</v>
      </c>
      <c r="C5725" s="2" t="s">
        <v>593</v>
      </c>
      <c r="D5725" s="2" t="str">
        <f t="shared" si="88"/>
        <v>Error?</v>
      </c>
    </row>
    <row r="5726" spans="1:4" x14ac:dyDescent="0.2">
      <c r="A5726" s="5">
        <v>5665</v>
      </c>
      <c r="B5726" s="138">
        <f>'Revenues 9-14'!G14</f>
        <v>276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76808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77084</v>
      </c>
      <c r="C5730" s="2" t="s">
        <v>593</v>
      </c>
      <c r="D5730" s="2" t="str">
        <f t="shared" si="88"/>
        <v>Error?</v>
      </c>
    </row>
    <row r="5731" spans="1:4" x14ac:dyDescent="0.2">
      <c r="A5731" s="5">
        <v>5670</v>
      </c>
      <c r="B5731" s="138">
        <f>'Revenues 9-14'!G65</f>
        <v>8339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8339</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3292</v>
      </c>
      <c r="D5736" s="2" t="str">
        <f t="shared" si="88"/>
        <v>Error?</v>
      </c>
    </row>
    <row r="5737" spans="1:4" x14ac:dyDescent="0.2">
      <c r="A5737" s="5">
        <v>5676</v>
      </c>
      <c r="B5737" s="138">
        <f>'Revenues 9-14'!G108</f>
        <v>3292</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940830</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12220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12220</v>
      </c>
      <c r="C5881" s="2" t="s">
        <v>593</v>
      </c>
      <c r="D5881" s="2" t="str">
        <f t="shared" si="90"/>
        <v>Error?</v>
      </c>
    </row>
    <row r="5882" spans="1:4" x14ac:dyDescent="0.2">
      <c r="A5882" s="5">
        <v>5821</v>
      </c>
      <c r="B5882" s="138">
        <f>'Revenues 9-14'!H96</f>
        <v>40954</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40954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53174</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27733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27733</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27733</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230680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230680</v>
      </c>
      <c r="C5987" s="2" t="s">
        <v>593</v>
      </c>
      <c r="D5987" s="2" t="str">
        <f t="shared" si="92"/>
        <v>Error?</v>
      </c>
    </row>
    <row r="5988" spans="1:4" x14ac:dyDescent="0.2">
      <c r="A5988" s="5">
        <v>5927</v>
      </c>
      <c r="B5988" s="138">
        <f>'Revenues 9-14'!K14</f>
        <v>75</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75</v>
      </c>
      <c r="C5992" s="2" t="s">
        <v>593</v>
      </c>
      <c r="D5992" s="2" t="str">
        <f t="shared" si="92"/>
        <v>Error?</v>
      </c>
    </row>
    <row r="5993" spans="1:4" x14ac:dyDescent="0.2">
      <c r="A5993" s="5">
        <v>5932</v>
      </c>
      <c r="B5993" s="138">
        <f>'Revenues 9-14'!K65</f>
        <v>2442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2442</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233197</v>
      </c>
      <c r="C6023" s="2" t="s">
        <v>593</v>
      </c>
      <c r="D6023" s="2" t="str">
        <f t="shared" si="93"/>
        <v>Error?</v>
      </c>
    </row>
    <row r="6024" spans="1:5" x14ac:dyDescent="0.2">
      <c r="A6024" s="5">
        <v>5963</v>
      </c>
      <c r="B6024" s="138">
        <f>'Revenues 9-14'!G109</f>
        <v>940830</v>
      </c>
      <c r="C6024" s="2" t="s">
        <v>593</v>
      </c>
      <c r="D6024" s="2" t="str">
        <f t="shared" si="93"/>
        <v>Error?</v>
      </c>
    </row>
    <row r="6025" spans="1:5" x14ac:dyDescent="0.2">
      <c r="A6025" s="5">
        <v>5964</v>
      </c>
      <c r="B6025" s="138">
        <f>'Revenues 9-14'!H109</f>
        <v>53174</v>
      </c>
      <c r="C6025" s="2" t="s">
        <v>593</v>
      </c>
      <c r="D6025" s="2" t="str">
        <f t="shared" si="93"/>
        <v>Error?</v>
      </c>
    </row>
    <row r="6026" spans="1:5" x14ac:dyDescent="0.2">
      <c r="A6026" s="5">
        <v>5965</v>
      </c>
      <c r="B6026" s="138">
        <f>'Revenues 9-14'!I109</f>
        <v>27733</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233197</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5068</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98607</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1685.07</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33750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33750</v>
      </c>
      <c r="D6215" s="2" t="str">
        <f t="shared" si="96"/>
        <v>Error?</v>
      </c>
      <c r="E6215" s="2" t="s">
        <v>199</v>
      </c>
    </row>
    <row r="6216" spans="1:5" x14ac:dyDescent="0.2">
      <c r="A6216">
        <v>6155</v>
      </c>
      <c r="B6216" s="138">
        <f>'Assets-Liab 5-6'!J41</f>
        <v>33750</v>
      </c>
      <c r="D6216" s="2" t="str">
        <f t="shared" si="96"/>
        <v>Error?</v>
      </c>
      <c r="E6216" s="2" t="s">
        <v>199</v>
      </c>
    </row>
    <row r="6217" spans="1:5" x14ac:dyDescent="0.2">
      <c r="A6217">
        <v>6156</v>
      </c>
      <c r="B6217" s="138">
        <f>'Assets-Liab 5-6'!J4</f>
        <v>33750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613010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613010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613010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617147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617147</v>
      </c>
      <c r="D6229" s="2" t="str">
        <f t="shared" si="96"/>
        <v>Error?</v>
      </c>
      <c r="E6229" s="2" t="s">
        <v>199</v>
      </c>
    </row>
    <row r="6230" spans="1:5" x14ac:dyDescent="0.2">
      <c r="A6230">
        <v>6169</v>
      </c>
      <c r="B6230" s="138">
        <f>'Acct Summary 7-8'!J20</f>
        <v>-4137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-4137</v>
      </c>
      <c r="D6263" s="2" t="str">
        <f t="shared" si="96"/>
        <v>Error?</v>
      </c>
      <c r="E6263" s="2" t="s">
        <v>199</v>
      </c>
    </row>
    <row r="6264" spans="1:5" x14ac:dyDescent="0.2">
      <c r="A6264">
        <v>6203</v>
      </c>
      <c r="B6264" s="138">
        <f>'Acct Summary 7-8'!J79</f>
        <v>37887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33750</v>
      </c>
      <c r="D6266" s="2" t="str">
        <f t="shared" si="96"/>
        <v>Error?</v>
      </c>
      <c r="E6266" s="2" t="s">
        <v>199</v>
      </c>
    </row>
    <row r="6267" spans="1:5" x14ac:dyDescent="0.2">
      <c r="A6267">
        <v>6206</v>
      </c>
      <c r="B6267" s="138">
        <f>'Acct Summary 7-8'!C82</f>
        <v>27010</v>
      </c>
      <c r="D6267" s="2" t="str">
        <f t="shared" si="96"/>
        <v>Error?</v>
      </c>
      <c r="E6267" s="2" t="s">
        <v>199</v>
      </c>
    </row>
    <row r="6268" spans="1:5" x14ac:dyDescent="0.2">
      <c r="A6268">
        <v>6207</v>
      </c>
      <c r="B6268" s="138">
        <f>'Acct Summary 7-8'!D82</f>
        <v>-78380</v>
      </c>
      <c r="D6268" s="2" t="str">
        <f t="shared" si="96"/>
        <v>Error?</v>
      </c>
      <c r="E6268" s="2" t="s">
        <v>199</v>
      </c>
    </row>
    <row r="6269" spans="1:5" x14ac:dyDescent="0.2">
      <c r="A6269">
        <v>6208</v>
      </c>
      <c r="B6269" s="138">
        <f>'Acct Summary 7-8'!E82</f>
        <v>554705</v>
      </c>
      <c r="D6269" s="2" t="str">
        <f t="shared" si="96"/>
        <v>Error?</v>
      </c>
      <c r="E6269" s="2" t="s">
        <v>199</v>
      </c>
    </row>
    <row r="6270" spans="1:5" x14ac:dyDescent="0.2">
      <c r="A6270">
        <v>6209</v>
      </c>
      <c r="B6270" s="138">
        <f>'Acct Summary 7-8'!F82</f>
        <v>31215</v>
      </c>
      <c r="D6270" s="2" t="str">
        <f t="shared" si="96"/>
        <v>Error?</v>
      </c>
      <c r="E6270" s="2" t="s">
        <v>199</v>
      </c>
    </row>
    <row r="6271" spans="1:5" x14ac:dyDescent="0.2">
      <c r="A6271">
        <v>6210</v>
      </c>
      <c r="B6271" s="138">
        <f>'Acct Summary 7-8'!G82</f>
        <v>32392</v>
      </c>
      <c r="D6271" s="2" t="str">
        <f t="shared" ref="D6271:D6334" si="97">IF(ISBLANK(B6271),"OK",IF(A6271-B6271=0,"OK","Error?"))</f>
        <v>Error?</v>
      </c>
      <c r="E6271" s="2" t="s">
        <v>199</v>
      </c>
    </row>
    <row r="6272" spans="1:5" x14ac:dyDescent="0.2">
      <c r="A6272">
        <v>6211</v>
      </c>
      <c r="B6272" s="138">
        <f>'Acct Summary 7-8'!H82</f>
        <v>-1432424</v>
      </c>
      <c r="D6272" s="2" t="str">
        <f t="shared" si="97"/>
        <v>Error?</v>
      </c>
      <c r="E6272" s="2" t="s">
        <v>199</v>
      </c>
    </row>
    <row r="6273" spans="1:5" x14ac:dyDescent="0.2">
      <c r="A6273">
        <v>6212</v>
      </c>
      <c r="B6273" s="138">
        <f>'Acct Summary 7-8'!I82</f>
        <v>233</v>
      </c>
      <c r="D6273" s="2" t="str">
        <f t="shared" si="97"/>
        <v>Error?</v>
      </c>
      <c r="E6273" s="2" t="s">
        <v>199</v>
      </c>
    </row>
    <row r="6274" spans="1:5" x14ac:dyDescent="0.2">
      <c r="A6274">
        <v>6213</v>
      </c>
      <c r="B6274" s="138">
        <f>'Acct Summary 7-8'!J82</f>
        <v>-4137</v>
      </c>
      <c r="D6274" s="2" t="str">
        <f t="shared" si="97"/>
        <v>Error?</v>
      </c>
      <c r="E6274" s="2" t="s">
        <v>199</v>
      </c>
    </row>
    <row r="6275" spans="1:5" x14ac:dyDescent="0.2">
      <c r="A6275">
        <v>6214</v>
      </c>
      <c r="B6275" s="138">
        <f>'Acct Summary 7-8'!K82</f>
        <v>-16597</v>
      </c>
      <c r="D6275" s="2" t="str">
        <f t="shared" si="97"/>
        <v>Error?</v>
      </c>
      <c r="E6275" s="2" t="s">
        <v>199</v>
      </c>
    </row>
    <row r="6276" spans="1:5" x14ac:dyDescent="0.2">
      <c r="A6276">
        <v>6215</v>
      </c>
      <c r="B6276" s="138">
        <f>'Acct Summary 7-8'!C83</f>
        <v>2.2496320298294042E-3</v>
      </c>
      <c r="D6276" s="2" t="str">
        <f t="shared" si="97"/>
        <v>Error?</v>
      </c>
      <c r="E6276" s="2" t="s">
        <v>199</v>
      </c>
    </row>
    <row r="6277" spans="1:5" x14ac:dyDescent="0.2">
      <c r="A6277">
        <v>6216</v>
      </c>
      <c r="B6277" s="138">
        <f>'Acct Summary 7-8'!D83</f>
        <v>-4.2293610902017283E-2</v>
      </c>
      <c r="D6277" s="2" t="str">
        <f t="shared" si="97"/>
        <v>Error?</v>
      </c>
      <c r="E6277" s="2" t="s">
        <v>199</v>
      </c>
    </row>
    <row r="6278" spans="1:5" x14ac:dyDescent="0.2">
      <c r="A6278">
        <v>6217</v>
      </c>
      <c r="B6278" s="138">
        <f>'Acct Summary 7-8'!E83</f>
        <v>0.33773700588827321</v>
      </c>
      <c r="D6278" s="2" t="str">
        <f t="shared" si="97"/>
        <v>Error?</v>
      </c>
      <c r="E6278" s="2" t="s">
        <v>199</v>
      </c>
    </row>
    <row r="6279" spans="1:5" x14ac:dyDescent="0.2">
      <c r="A6279">
        <v>6218</v>
      </c>
      <c r="B6279" s="138">
        <f>'Acct Summary 7-8'!F83</f>
        <v>2.7395396801018056E-2</v>
      </c>
      <c r="D6279" s="2" t="str">
        <f t="shared" si="97"/>
        <v>Error?</v>
      </c>
      <c r="E6279" s="2" t="s">
        <v>199</v>
      </c>
    </row>
    <row r="6280" spans="1:5" x14ac:dyDescent="0.2">
      <c r="A6280">
        <v>6219</v>
      </c>
      <c r="B6280" s="138">
        <f>'Acct Summary 7-8'!G83</f>
        <v>4.4641798902422557E-2</v>
      </c>
      <c r="D6280" s="2" t="str">
        <f t="shared" si="97"/>
        <v>Error?</v>
      </c>
      <c r="E6280" s="2" t="s">
        <v>199</v>
      </c>
    </row>
    <row r="6281" spans="1:5" x14ac:dyDescent="0.2">
      <c r="A6281">
        <v>6220</v>
      </c>
      <c r="B6281" s="138">
        <f>'Acct Summary 7-8'!H83</f>
        <v>-2.1409787893598544</v>
      </c>
      <c r="D6281" s="2" t="str">
        <f t="shared" si="97"/>
        <v>Error?</v>
      </c>
      <c r="E6281" s="2" t="s">
        <v>199</v>
      </c>
    </row>
    <row r="6282" spans="1:5" x14ac:dyDescent="0.2">
      <c r="A6282">
        <v>6221</v>
      </c>
      <c r="B6282" s="138">
        <f>'Acct Summary 7-8'!I83</f>
        <v>9.9503549885229269E-5</v>
      </c>
      <c r="D6282" s="2" t="str">
        <f t="shared" si="97"/>
        <v>Error?</v>
      </c>
      <c r="E6282" s="2" t="s">
        <v>199</v>
      </c>
    </row>
    <row r="6283" spans="1:5" x14ac:dyDescent="0.2">
      <c r="A6283">
        <v>6222</v>
      </c>
      <c r="B6283" s="138">
        <f>'Acct Summary 7-8'!J83</f>
        <v>-0.12257777777777777</v>
      </c>
      <c r="D6283" s="2" t="str">
        <f t="shared" si="97"/>
        <v>Error?</v>
      </c>
      <c r="E6283" s="2" t="s">
        <v>199</v>
      </c>
    </row>
    <row r="6284" spans="1:5" x14ac:dyDescent="0.2">
      <c r="A6284">
        <v>6223</v>
      </c>
      <c r="B6284" s="138">
        <f>'Acct Summary 7-8'!K83</f>
        <v>-7.3422783757360194E-2</v>
      </c>
      <c r="D6284" s="2" t="str">
        <f t="shared" si="97"/>
        <v>Error?</v>
      </c>
      <c r="E6284" s="2" t="s">
        <v>199</v>
      </c>
    </row>
    <row r="6285" spans="1:5" x14ac:dyDescent="0.2">
      <c r="A6285">
        <v>6224</v>
      </c>
      <c r="B6285" s="138">
        <f>'Acct Summary 7-8'!E37</f>
        <v>231338</v>
      </c>
      <c r="D6285" s="2" t="str">
        <f t="shared" si="97"/>
        <v>Error?</v>
      </c>
      <c r="E6285" s="2" t="s">
        <v>199</v>
      </c>
    </row>
    <row r="6286" spans="1:5" x14ac:dyDescent="0.2">
      <c r="A6286">
        <v>6225</v>
      </c>
      <c r="B6286" s="138">
        <f>'Acct Summary 7-8'!E38</f>
        <v>13891</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610903</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610903</v>
      </c>
      <c r="D6301" s="2" t="str">
        <f t="shared" si="97"/>
        <v>Error?</v>
      </c>
      <c r="E6301" s="2" t="s">
        <v>199</v>
      </c>
    </row>
    <row r="6302" spans="1:5" x14ac:dyDescent="0.2">
      <c r="A6302">
        <v>6241</v>
      </c>
      <c r="B6302" s="138">
        <f>'Revenues 9-14'!J14</f>
        <v>198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198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1909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1909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4340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613010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235647</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654</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270851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79685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654</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633</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633</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18901</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31</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18932</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19565</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20219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851</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851</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851</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617147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851</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613010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23080</v>
      </c>
      <c r="D7075" s="2" t="str">
        <f t="shared" si="109"/>
        <v>Error?</v>
      </c>
    </row>
    <row r="7076" spans="1:4" x14ac:dyDescent="0.2">
      <c r="A7076">
        <v>7015</v>
      </c>
      <c r="B7076" s="138">
        <f>'Expenditures 15-22'!K218</f>
        <v>23080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22339</v>
      </c>
      <c r="D7081" s="2" t="str">
        <f t="shared" si="109"/>
        <v>Error?</v>
      </c>
    </row>
    <row r="7082" spans="1:4" x14ac:dyDescent="0.2">
      <c r="A7082">
        <v>7021</v>
      </c>
      <c r="B7082" s="138">
        <f>'Expenditures 15-22'!K248</f>
        <v>22339</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206561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206561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13210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13210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64190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64190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92158</v>
      </c>
      <c r="D7172" s="2" t="str">
        <f t="shared" si="111"/>
        <v>Error?</v>
      </c>
    </row>
    <row r="7173" spans="1:4" x14ac:dyDescent="0.2">
      <c r="A7173">
        <v>7112</v>
      </c>
      <c r="B7173" s="138">
        <f>'Expenditures 15-22'!D325</f>
        <v>7439</v>
      </c>
      <c r="D7173" s="2" t="str">
        <f t="shared" si="111"/>
        <v>Error?</v>
      </c>
    </row>
    <row r="7174" spans="1:4" x14ac:dyDescent="0.2">
      <c r="A7174">
        <v>7113</v>
      </c>
      <c r="B7174" s="138">
        <f>'Expenditures 15-22'!E325</f>
        <v>57589</v>
      </c>
      <c r="D7174" s="2" t="str">
        <f t="shared" si="111"/>
        <v>Error?</v>
      </c>
    </row>
    <row r="7175" spans="1:4" x14ac:dyDescent="0.2">
      <c r="A7175">
        <v>7114</v>
      </c>
      <c r="B7175" s="138">
        <f>'Expenditures 15-22'!F325</f>
        <v>11781</v>
      </c>
      <c r="D7175" s="2" t="str">
        <f t="shared" si="111"/>
        <v>Error?</v>
      </c>
    </row>
    <row r="7176" spans="1:4" x14ac:dyDescent="0.2">
      <c r="A7176">
        <v>7115</v>
      </c>
      <c r="B7176" s="138">
        <f>'Expenditures 15-22'!G325</f>
        <v>116361</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285328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47858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47858</v>
      </c>
      <c r="D7198" s="2" t="str">
        <f t="shared" si="111"/>
        <v>Error?</v>
      </c>
    </row>
    <row r="7199" spans="1:4" x14ac:dyDescent="0.2">
      <c r="A7199">
        <v>7138</v>
      </c>
      <c r="B7199" s="138">
        <f>'Expenditures 15-22'!C330</f>
        <v>92158</v>
      </c>
      <c r="D7199" s="2" t="str">
        <f t="shared" si="111"/>
        <v>Error?</v>
      </c>
    </row>
    <row r="7200" spans="1:4" x14ac:dyDescent="0.2">
      <c r="A7200">
        <v>7139</v>
      </c>
      <c r="B7200" s="138">
        <f>'Expenditures 15-22'!D330</f>
        <v>7439</v>
      </c>
      <c r="D7200" s="2" t="str">
        <f t="shared" si="111"/>
        <v>Error?</v>
      </c>
    </row>
    <row r="7201" spans="1:4" x14ac:dyDescent="0.2">
      <c r="A7201">
        <v>7140</v>
      </c>
      <c r="B7201" s="138">
        <f>'Expenditures 15-22'!E330</f>
        <v>389408</v>
      </c>
      <c r="D7201" s="2" t="str">
        <f t="shared" si="111"/>
        <v>Error?</v>
      </c>
    </row>
    <row r="7202" spans="1:4" x14ac:dyDescent="0.2">
      <c r="A7202">
        <v>7141</v>
      </c>
      <c r="B7202" s="138">
        <f>'Expenditures 15-22'!F330</f>
        <v>11781</v>
      </c>
      <c r="D7202" s="2" t="str">
        <f t="shared" si="111"/>
        <v>Error?</v>
      </c>
    </row>
    <row r="7203" spans="1:4" x14ac:dyDescent="0.2">
      <c r="A7203">
        <v>7142</v>
      </c>
      <c r="B7203" s="138">
        <f>'Expenditures 15-22'!G330</f>
        <v>116361</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617147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92158</v>
      </c>
      <c r="D7216" s="2" t="str">
        <f t="shared" si="111"/>
        <v>Error?</v>
      </c>
    </row>
    <row r="7217" spans="1:4" x14ac:dyDescent="0.2">
      <c r="A7217">
        <v>7156</v>
      </c>
      <c r="B7217" s="138">
        <f>'Expenditures 15-22'!D342</f>
        <v>7439</v>
      </c>
      <c r="D7217" s="2" t="str">
        <f t="shared" si="111"/>
        <v>Error?</v>
      </c>
    </row>
    <row r="7218" spans="1:4" x14ac:dyDescent="0.2">
      <c r="A7218">
        <v>7157</v>
      </c>
      <c r="B7218" s="138">
        <f>'Expenditures 15-22'!E342</f>
        <v>389408</v>
      </c>
      <c r="D7218" s="2" t="str">
        <f t="shared" si="111"/>
        <v>Error?</v>
      </c>
    </row>
    <row r="7219" spans="1:4" x14ac:dyDescent="0.2">
      <c r="A7219">
        <v>7158</v>
      </c>
      <c r="B7219" s="138">
        <f>'Expenditures 15-22'!F342</f>
        <v>11781</v>
      </c>
      <c r="D7219" s="2" t="str">
        <f t="shared" si="111"/>
        <v>Error?</v>
      </c>
    </row>
    <row r="7220" spans="1:4" x14ac:dyDescent="0.2">
      <c r="A7220">
        <v>7159</v>
      </c>
      <c r="B7220" s="138">
        <f>'Expenditures 15-22'!G342</f>
        <v>116361</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617147</v>
      </c>
      <c r="D7224" s="2" t="str">
        <f t="shared" si="111"/>
        <v>Error?</v>
      </c>
    </row>
    <row r="7225" spans="1:4" x14ac:dyDescent="0.2">
      <c r="A7225">
        <v>7164</v>
      </c>
      <c r="B7225" s="138">
        <f>'Expenditures 15-22'!K343</f>
        <v>-4137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30933</v>
      </c>
      <c r="D7246" s="2" t="str">
        <f t="shared" si="112"/>
        <v>Error?</v>
      </c>
    </row>
    <row r="7247" spans="1:4" x14ac:dyDescent="0.2">
      <c r="A7247">
        <f t="shared" si="113"/>
        <v>7186</v>
      </c>
      <c r="B7247" s="138">
        <f>'Expenditures 15-22'!E7</f>
        <v>1610</v>
      </c>
      <c r="D7247" s="2" t="str">
        <f t="shared" si="112"/>
        <v>Error?</v>
      </c>
    </row>
    <row r="7248" spans="1:4" x14ac:dyDescent="0.2">
      <c r="A7248">
        <f t="shared" si="113"/>
        <v>7187</v>
      </c>
      <c r="B7248" s="138">
        <f>'Expenditures 15-22'!F7</f>
        <v>2661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65493</v>
      </c>
      <c r="D7263" s="2" t="str">
        <f t="shared" si="112"/>
        <v>Error?</v>
      </c>
    </row>
    <row r="7264" spans="1:4" x14ac:dyDescent="0.2">
      <c r="A7264">
        <f t="shared" si="113"/>
        <v>7203</v>
      </c>
      <c r="B7264" s="138">
        <f>'Expenditures 15-22'!D17</f>
        <v>13166</v>
      </c>
      <c r="D7264" s="2" t="str">
        <f t="shared" si="112"/>
        <v>Error?</v>
      </c>
    </row>
    <row r="7265" spans="1:5" x14ac:dyDescent="0.2">
      <c r="A7265">
        <f t="shared" si="113"/>
        <v>7204</v>
      </c>
      <c r="B7265" s="138">
        <f>'Expenditures 15-22'!E17</f>
        <v>1026</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33368</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33368</v>
      </c>
      <c r="D7618" s="2" t="str">
        <f t="shared" si="124"/>
        <v>Error?</v>
      </c>
      <c r="E7618" s="2" t="s">
        <v>19</v>
      </c>
    </row>
    <row r="7619" spans="1:5" x14ac:dyDescent="0.2">
      <c r="A7619">
        <f t="shared" si="123"/>
        <v>7558</v>
      </c>
      <c r="B7619" s="138">
        <f>'Cap Outlay Deprec 26'!H14</f>
        <v>33368</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33368</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1777039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231338</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13891</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4340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4340</v>
      </c>
      <c r="D7719" s="2" t="str">
        <f t="shared" si="126"/>
        <v>Error?</v>
      </c>
      <c r="E7719" s="2" t="s">
        <v>880</v>
      </c>
    </row>
    <row r="7720" spans="1:6" x14ac:dyDescent="0.2">
      <c r="A7720">
        <v>7659</v>
      </c>
      <c r="B7720" s="138">
        <f>'Rest Tax Levies-Tort Im 25'!H14</f>
        <v>184544</v>
      </c>
      <c r="D7720" s="2" t="str">
        <f t="shared" si="126"/>
        <v>Error?</v>
      </c>
      <c r="E7720" s="2" t="s">
        <v>880</v>
      </c>
    </row>
    <row r="7721" spans="1:6" x14ac:dyDescent="0.2">
      <c r="A7721">
        <v>7660</v>
      </c>
      <c r="B7721" s="138">
        <f>'Rest Tax Levies-Tort Im 25'!K14</f>
        <v>4340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0</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0</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1</v>
      </c>
      <c r="D7797" s="2" t="str">
        <f t="shared" si="127"/>
        <v>Error?</v>
      </c>
      <c r="E7797" s="4" t="s">
        <v>2016</v>
      </c>
    </row>
    <row r="7798" spans="1:5" x14ac:dyDescent="0.2">
      <c r="A7798">
        <v>7737</v>
      </c>
      <c r="B7798" s="138">
        <f>'Contracts Paid in CY 29'!F141</f>
        <v>0</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41DB9079-7F95-4228-8A4A-E6D48377DB38}"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D71D2A76-4AD5-4124-819F-51F94C4C53C9}"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s>
  <phoneticPr fontId="12" type="noConversion"/>
  <pageMargins left="0.75" right="0.75" top="1" bottom="1" header="0.5" footer="0.5"/>
  <pageSetup scale="75" orientation="portrait" r:id="rId3"/>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0"/>
  <sheetViews>
    <sheetView showGridLines="0" showZeros="0" zoomScale="110" zoomScaleNormal="110" workbookViewId="0">
      <selection activeCell="U2" sqref="U2"/>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1252</v>
      </c>
      <c r="B2" s="2398"/>
      <c r="C2" s="2398"/>
      <c r="D2" s="2398"/>
      <c r="E2" s="2398"/>
      <c r="F2" s="2398"/>
      <c r="G2" s="2398"/>
      <c r="H2" s="2398"/>
      <c r="I2" s="2398"/>
      <c r="J2" s="2398"/>
      <c r="K2" s="2398"/>
      <c r="L2" s="2398"/>
    </row>
    <row r="3" spans="1:29" ht="13.5" customHeight="1" x14ac:dyDescent="0.2">
      <c r="A3" s="2429" t="s">
        <v>1251</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0" t="str">
        <f>COVER!A17</f>
        <v>Roxana CUSD 1</v>
      </c>
      <c r="B7" s="2421"/>
      <c r="C7" s="2421"/>
      <c r="D7" s="2422"/>
      <c r="E7" s="2423">
        <f>COVER!A13</f>
        <v>41057001026</v>
      </c>
      <c r="F7" s="2424"/>
      <c r="G7" s="2430" t="str">
        <f>COVER!T23</f>
        <v>066-005060</v>
      </c>
      <c r="H7" s="2431"/>
      <c r="I7" s="2431"/>
      <c r="J7" s="2431"/>
      <c r="K7" s="2431"/>
      <c r="L7" s="2432"/>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3"/>
      <c r="B9" s="2434"/>
      <c r="C9" s="2434"/>
      <c r="D9" s="2434"/>
      <c r="E9" s="2434"/>
      <c r="F9" s="2435"/>
      <c r="G9" s="2404" t="str">
        <f>COVER!T13</f>
        <v>DENNIS ROSE &amp; ASSOCIATES, P.C.</v>
      </c>
      <c r="H9" s="2436"/>
      <c r="I9" s="2436"/>
      <c r="J9" s="2436"/>
      <c r="K9" s="2436"/>
      <c r="L9" s="2437"/>
    </row>
    <row r="10" spans="1:29" ht="13.5" customHeight="1" x14ac:dyDescent="0.2">
      <c r="A10" s="2410">
        <f>COVER!A38</f>
        <v>0</v>
      </c>
      <c r="B10" s="2411"/>
      <c r="C10" s="2411"/>
      <c r="D10" s="2411"/>
      <c r="E10" s="2411"/>
      <c r="F10" s="2412"/>
      <c r="G10" s="2404" t="str">
        <f>COVER!T17</f>
        <v xml:space="preserve">1904 STATE STREET </v>
      </c>
      <c r="H10" s="2405"/>
      <c r="I10" s="2405"/>
      <c r="J10" s="2405"/>
      <c r="K10" s="2405"/>
      <c r="L10" s="2406"/>
    </row>
    <row r="11" spans="1:29" ht="13.5" customHeight="1" x14ac:dyDescent="0.2">
      <c r="A11" s="1185" t="s">
        <v>1598</v>
      </c>
      <c r="B11" s="1186"/>
      <c r="C11" s="1187"/>
      <c r="D11" s="1192"/>
      <c r="E11" s="1187"/>
      <c r="F11" s="1191"/>
      <c r="G11" s="2404" t="str">
        <f>COVER!T19</f>
        <v>ALTON</v>
      </c>
      <c r="H11" s="2405"/>
      <c r="I11" s="2405"/>
      <c r="J11" s="2405"/>
      <c r="K11" s="2405"/>
      <c r="L11" s="2406"/>
    </row>
    <row r="12" spans="1:29" ht="13.5" customHeight="1" x14ac:dyDescent="0.2">
      <c r="A12" s="2413" t="s">
        <v>1597</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1599</v>
      </c>
      <c r="H13" s="2400"/>
      <c r="I13" s="2416" t="str">
        <f>COVER!T25</f>
        <v>DROSECPA@DRA-CPA.COM</v>
      </c>
      <c r="J13" s="2417"/>
      <c r="K13" s="2417"/>
      <c r="L13" s="2418"/>
    </row>
    <row r="14" spans="1:29" ht="13.5" customHeight="1" x14ac:dyDescent="0.2">
      <c r="A14" s="2404" t="str">
        <f>COVER!A19</f>
        <v>401 CHAFFER AVENUE</v>
      </c>
      <c r="B14" s="2405"/>
      <c r="C14" s="2405"/>
      <c r="D14" s="2405"/>
      <c r="E14" s="2405"/>
      <c r="F14" s="2406"/>
      <c r="G14" s="1196" t="s">
        <v>1246</v>
      </c>
      <c r="H14" s="1194"/>
      <c r="I14" s="1194"/>
      <c r="J14" s="1194"/>
      <c r="K14" s="1194"/>
      <c r="L14" s="1195"/>
    </row>
    <row r="15" spans="1:29" ht="13.5" customHeight="1" x14ac:dyDescent="0.2">
      <c r="A15" s="2404" t="str">
        <f>COVER!A21</f>
        <v>ROXANA</v>
      </c>
      <c r="B15" s="2405"/>
      <c r="C15" s="2405"/>
      <c r="D15" s="2405"/>
      <c r="E15" s="2405"/>
      <c r="F15" s="2406"/>
      <c r="G15" s="2401" t="str">
        <f>COVER!T15</f>
        <v>DENNIS ROSE</v>
      </c>
      <c r="H15" s="2402"/>
      <c r="I15" s="2402"/>
      <c r="J15" s="2402"/>
      <c r="K15" s="2402"/>
      <c r="L15" s="2403"/>
    </row>
    <row r="16" spans="1:29" ht="12.2" customHeight="1" x14ac:dyDescent="0.2">
      <c r="A16" s="2426">
        <f>COVER!A25</f>
        <v>62084</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1245</v>
      </c>
      <c r="H17" s="1194"/>
      <c r="I17" s="1194"/>
      <c r="J17" s="1194"/>
      <c r="K17" s="1198" t="s">
        <v>1244</v>
      </c>
      <c r="L17" s="1191"/>
      <c r="M17" s="1184"/>
    </row>
    <row r="18" spans="1:13" ht="12.2" customHeight="1" x14ac:dyDescent="0.2">
      <c r="A18" s="2410"/>
      <c r="B18" s="2411"/>
      <c r="C18" s="2411"/>
      <c r="D18" s="2411"/>
      <c r="E18" s="2411"/>
      <c r="F18" s="2412"/>
      <c r="G18" s="2420" t="str">
        <f>COVER!T21</f>
        <v>618-465-4999</v>
      </c>
      <c r="H18" s="2421"/>
      <c r="I18" s="2421"/>
      <c r="J18" s="2421"/>
      <c r="K18" s="2420" t="str">
        <f>COVER!X21</f>
        <v>618-465-5050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41DB9079-7F95-4228-8A4A-E6D48377DB38}" scale="110" showPageBreaks="1" showGridLines="0" zeroValues="0" printArea="1">
      <selection activeCell="U2" sqref="U2"/>
      <pageMargins left="0.75" right="0.75" top="1" bottom="0.5" header="0.5" footer="0.5"/>
      <printOptions horizontalCentered="1"/>
      <pageSetup scale="85" firstPageNumber="56" fitToHeight="0" orientation="portrait" useFirstPageNumber="1" r:id="rId1"/>
      <headerFooter>
        <oddHeader xml:space="preserve">&amp;C
</oddHeader>
        <oddFooter>&amp;C&amp;"Times New Roman,Regular"See Independent Auditor's Reports
&amp;P</oddFooter>
      </headerFooter>
    </customSheetView>
    <customSheetView guid="{D71D2A76-4AD5-4124-819F-51F94C4C53C9}" scale="110" showGridLines="0" zeroValues="0">
      <selection activeCell="U2" sqref="U2"/>
      <pageMargins left="0.75" right="0.75" top="1" bottom="0.5" header="0.5" footer="0.5"/>
      <printOptions horizontalCentered="1"/>
      <pageSetup scale="85" firstPageNumber="56" fitToHeight="0" orientation="portrait" useFirstPageNumber="1" r:id="rId2"/>
      <headerFooter>
        <oddHeader xml:space="preserve">&amp;C
</oddHeader>
        <oddFooter>&amp;C&amp;"Times New Roman,Regular"See Independent Auditor's Reports
&amp;P</oddFoot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5" firstPageNumber="56" fitToHeight="0" orientation="portrait" useFirstPageNumber="1" r:id="rId3"/>
  <headerFooter>
    <oddHeader xml:space="preserve">&amp;C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zoomScale="125" zoomScaleNormal="125" workbookViewId="0">
      <selection activeCell="N115" sqref="N115"/>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Roxana CUSD 1</v>
      </c>
      <c r="B1" s="2419"/>
      <c r="C1" s="2419"/>
      <c r="D1" s="2419"/>
    </row>
    <row r="2" spans="1:11" s="1215" customFormat="1" ht="12.75" x14ac:dyDescent="0.2">
      <c r="A2" s="2443">
        <f>'Single Audit Cover'!E7</f>
        <v>41057001026</v>
      </c>
      <c r="B2" s="2444"/>
      <c r="C2" s="2444"/>
      <c r="D2" s="2444"/>
    </row>
    <row r="3" spans="1:11" s="1215" customFormat="1" ht="12.75" x14ac:dyDescent="0.2">
      <c r="A3" s="2442" t="s">
        <v>1592</v>
      </c>
      <c r="B3" s="2419"/>
      <c r="C3" s="2419"/>
      <c r="D3" s="2419"/>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41DB9079-7F95-4228-8A4A-E6D48377DB38}" scale="125" showGridLines="0" printArea="1">
      <selection activeCell="N115" sqref="N115"/>
      <pageMargins left="0.75" right="0.75" top="1" bottom="0.5" header="0.5" footer="0.5"/>
      <printOptions horizontalCentered="1"/>
      <pageSetup scale="64" firstPageNumber="36" fitToHeight="0" orientation="portrait" r:id="rId1"/>
      <headerFooter>
        <oddFooter>&amp;C&amp;"Times New Roman,Regular"See Independent Auditor's Reports
&amp;P</oddFooter>
      </headerFooter>
    </customSheetView>
    <customSheetView guid="{D71D2A76-4AD5-4124-819F-51F94C4C53C9}" scale="125" showGridLines="0">
      <selection activeCell="N115" sqref="N115"/>
      <pageMargins left="0.75" right="0.75" top="1" bottom="0.5" header="0.5" footer="0.5"/>
      <printOptions horizontalCentered="1"/>
      <pageSetup scale="64" firstPageNumber="36" fitToHeight="0" orientation="portrait" r:id="rId2"/>
      <headerFooter>
        <oddFooter>&amp;C&amp;"Times New Roman,Regular"See Independent Auditor's Reports
&amp;P</oddFooter>
      </headerFooter>
    </customSheetView>
  </customSheetViews>
  <mergeCells count="3">
    <mergeCell ref="A1:D1"/>
    <mergeCell ref="A2:D2"/>
    <mergeCell ref="A3:D3"/>
  </mergeCells>
  <hyperlinks>
    <hyperlink ref="D29" r:id="rId3"/>
    <hyperlink ref="D60" r:id="rId4" display="        Verify Non-Cash Commodities amount on ISBE web site: https://www.isbe.net/Pages/School-Nutrition-Programs-Food-Distribution.aspx"/>
    <hyperlink ref="D64" r:id="rId5"/>
    <hyperlink ref="D68" r:id="rId6"/>
  </hyperlinks>
  <printOptions horizontalCentered="1"/>
  <pageMargins left="0.75" right="0.75" top="1" bottom="0.5" header="0.5" footer="0.5"/>
  <pageSetup scale="64" firstPageNumber="36" fitToHeight="0" orientation="portrait" r:id="rId7"/>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Roxana CUSD 1</v>
      </c>
      <c r="B1" s="2446"/>
      <c r="C1" s="2446"/>
      <c r="D1" s="2446"/>
      <c r="E1" s="2446"/>
    </row>
    <row r="2" spans="1:5" x14ac:dyDescent="0.2">
      <c r="A2" s="2447">
        <f>'Single Audit Cover'!E7</f>
        <v>41057001026</v>
      </c>
      <c r="B2" s="2447"/>
      <c r="C2" s="2447"/>
      <c r="D2" s="2447"/>
      <c r="E2" s="2447"/>
    </row>
    <row r="3" spans="1:5" ht="4.5" customHeight="1" x14ac:dyDescent="0.2"/>
    <row r="4" spans="1:5" x14ac:dyDescent="0.2">
      <c r="A4" s="2446" t="s">
        <v>1306</v>
      </c>
      <c r="B4" s="2446"/>
      <c r="C4" s="2446"/>
      <c r="D4" s="2446"/>
      <c r="E4" s="2446"/>
    </row>
    <row r="5" spans="1:5" x14ac:dyDescent="0.2">
      <c r="A5" s="2449" t="str">
        <f>'Single Audit Cover'!A4</f>
        <v>Year Ending June 30, 2018</v>
      </c>
      <c r="B5" s="2449"/>
      <c r="C5" s="2449"/>
      <c r="D5" s="2449"/>
      <c r="E5" s="2449"/>
    </row>
    <row r="6" spans="1:5" x14ac:dyDescent="0.2">
      <c r="A6" s="2446" t="s">
        <v>1305</v>
      </c>
      <c r="B6" s="2446"/>
      <c r="C6" s="2446"/>
      <c r="D6" s="2446"/>
      <c r="E6" s="2446"/>
    </row>
    <row r="8" spans="1:5" x14ac:dyDescent="0.2">
      <c r="A8" s="1260" t="s">
        <v>1304</v>
      </c>
    </row>
    <row r="10" spans="1:5" x14ac:dyDescent="0.2">
      <c r="A10" s="1261" t="s">
        <v>1303</v>
      </c>
      <c r="B10" s="1262" t="s">
        <v>1302</v>
      </c>
      <c r="C10" s="1262"/>
      <c r="D10" s="1263">
        <f>SUM('Acct Summary 7-8'!C7:K7)</f>
        <v>1932832</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98607</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-96863</v>
      </c>
    </row>
    <row r="19" spans="1:4" ht="13.5" thickBot="1" x14ac:dyDescent="0.25">
      <c r="A19" s="1265" t="s">
        <v>1296</v>
      </c>
      <c r="D19" s="1266">
        <f>SUM(D10:D17)</f>
        <v>1934576</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48" t="s">
        <v>2132</v>
      </c>
      <c r="B24" s="2448"/>
      <c r="D24" s="1268">
        <v>-98607</v>
      </c>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1294</v>
      </c>
      <c r="D32" s="1263">
        <f>SUM(D19:D30)</f>
        <v>1835969</v>
      </c>
    </row>
    <row r="33" spans="1:4" x14ac:dyDescent="0.2">
      <c r="D33" s="1269"/>
    </row>
    <row r="34" spans="1:4" x14ac:dyDescent="0.2">
      <c r="A34" s="317" t="s">
        <v>1293</v>
      </c>
    </row>
    <row r="35" spans="1:4" x14ac:dyDescent="0.2">
      <c r="A35" s="317" t="s">
        <v>1292</v>
      </c>
      <c r="B35" s="1258" t="s">
        <v>1291</v>
      </c>
      <c r="D35" s="1270">
        <v>1835969</v>
      </c>
    </row>
    <row r="37" spans="1:4" x14ac:dyDescent="0.2">
      <c r="A37" s="1260" t="s">
        <v>1290</v>
      </c>
    </row>
    <row r="39" spans="1:4" ht="13.35" customHeight="1" x14ac:dyDescent="0.2">
      <c r="A39" s="1267" t="s">
        <v>1289</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1288</v>
      </c>
      <c r="C47" s="1272"/>
      <c r="D47" s="1273">
        <f>SUM(D35:D45)</f>
        <v>1835969</v>
      </c>
    </row>
    <row r="49" spans="2:4" x14ac:dyDescent="0.2">
      <c r="B49" s="1272" t="s">
        <v>1287</v>
      </c>
      <c r="C49" s="1272"/>
      <c r="D49" s="1273">
        <f>D32-D47</f>
        <v>0</v>
      </c>
    </row>
  </sheetData>
  <sheetProtection sheet="1" objects="1" scenarios="1"/>
  <customSheetViews>
    <customSheetView guid="{41DB9079-7F95-4228-8A4A-E6D48377DB38}" scale="110" showGridLines="0" printArea="1" topLeftCell="A22">
      <selection activeCell="F20" sqref="F20:G20"/>
      <pageMargins left="0.75" right="0.75" top="1" bottom="0.5" header="0.5" footer="0.5"/>
      <printOptions horizontalCentered="1"/>
      <pageSetup scale="95" firstPageNumber="37" orientation="portrait" r:id="rId1"/>
      <headerFooter>
        <oddHeader xml:space="preserve">&amp;C
</oddHeader>
        <oddFooter>&amp;C&amp;"Times New Roman,Regular"See Independent Auditor's Reports
&amp;P</oddFooter>
      </headerFooter>
    </customSheetView>
    <customSheetView guid="{D71D2A76-4AD5-4124-819F-51F94C4C53C9}" scale="110" showGridLines="0" topLeftCell="A22">
      <selection activeCell="F20" sqref="F20:G20"/>
      <pageMargins left="0.75" right="0.75" top="1" bottom="0.5" header="0.5" footer="0.5"/>
      <printOptions horizontalCentered="1"/>
      <pageSetup scale="95" firstPageNumber="37" orientation="portrait" r:id="rId2"/>
      <headerFooter>
        <oddHeader xml:space="preserve">&amp;C
</oddHeader>
        <oddFooter>&amp;C&amp;"Times New Roman,Regular"See Independent Auditor's Reports
&amp;P</oddFoot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95" firstPageNumber="37" orientation="portrait" r:id="rId3"/>
  <headerFooter>
    <oddHeader xml:space="preserve">&amp;C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Roxana CUSD 1</v>
      </c>
      <c r="B1" s="2459"/>
      <c r="C1" s="2459"/>
      <c r="D1" s="2459"/>
      <c r="E1" s="2459"/>
      <c r="F1" s="2459"/>
    </row>
    <row r="2" spans="1:7" ht="13.5" customHeight="1" x14ac:dyDescent="0.2">
      <c r="A2" s="2460">
        <f>'Single Audit Cover'!E7</f>
        <v>41057001026</v>
      </c>
      <c r="B2" s="2460"/>
      <c r="C2" s="2460"/>
      <c r="D2" s="2460"/>
      <c r="E2" s="2460"/>
      <c r="F2" s="2460"/>
      <c r="G2" s="1275"/>
    </row>
    <row r="3" spans="1:7" ht="15.75" customHeight="1" x14ac:dyDescent="0.2">
      <c r="A3" s="2461" t="s">
        <v>1332</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1830</v>
      </c>
      <c r="C6" s="317"/>
      <c r="D6" s="317"/>
    </row>
    <row r="7" spans="1:7" ht="60.95" customHeight="1" x14ac:dyDescent="0.2">
      <c r="A7" s="2458" t="s">
        <v>2153</v>
      </c>
      <c r="B7" s="2458"/>
      <c r="C7" s="2458"/>
      <c r="D7" s="2458"/>
      <c r="E7" s="2458"/>
      <c r="F7" s="2458"/>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t="s">
        <v>2073</v>
      </c>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58" t="s">
        <v>2154</v>
      </c>
      <c r="B13" s="2458"/>
      <c r="C13" s="2458"/>
      <c r="D13" s="2458"/>
      <c r="E13" s="2458"/>
      <c r="F13" s="2458"/>
    </row>
    <row r="14" spans="1:7" ht="9.75" customHeight="1" x14ac:dyDescent="0.2">
      <c r="C14" s="1260"/>
      <c r="D14" s="1260"/>
    </row>
    <row r="15" spans="1:7" ht="13.5" customHeight="1" x14ac:dyDescent="0.2">
      <c r="C15" s="1871" t="s">
        <v>1331</v>
      </c>
      <c r="D15" s="2456" t="s">
        <v>1330</v>
      </c>
      <c r="E15" s="2456"/>
      <c r="F15" s="2456"/>
    </row>
    <row r="16" spans="1:7" ht="13.5" customHeight="1" x14ac:dyDescent="0.2">
      <c r="A16" s="1282"/>
      <c r="B16" s="1276" t="s">
        <v>1329</v>
      </c>
      <c r="C16" s="1871" t="s">
        <v>1328</v>
      </c>
      <c r="D16" s="2457" t="s">
        <v>1669</v>
      </c>
      <c r="E16" s="2457"/>
      <c r="F16" s="2457"/>
    </row>
    <row r="17" spans="1:6" ht="20.45" customHeight="1" x14ac:dyDescent="0.2">
      <c r="A17" s="1283"/>
      <c r="B17" s="1284" t="s">
        <v>2092</v>
      </c>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2" t="s">
        <v>2155</v>
      </c>
      <c r="B32" s="2452"/>
      <c r="C32" s="2452"/>
      <c r="D32" s="2452"/>
      <c r="E32" s="2452"/>
      <c r="F32" s="2452"/>
    </row>
    <row r="33" spans="1:6" ht="13.5" customHeight="1" x14ac:dyDescent="0.2">
      <c r="A33" s="328" t="s">
        <v>1508</v>
      </c>
      <c r="B33" s="328"/>
      <c r="C33" s="1288">
        <v>80404</v>
      </c>
      <c r="D33" s="1928"/>
      <c r="E33" s="1286"/>
    </row>
    <row r="34" spans="1:6" ht="13.5" customHeight="1" x14ac:dyDescent="0.2">
      <c r="A34" s="328" t="s">
        <v>1945</v>
      </c>
      <c r="B34" s="328"/>
      <c r="C34" s="1289">
        <v>18203</v>
      </c>
      <c r="D34" s="1928" t="s">
        <v>1670</v>
      </c>
      <c r="E34" s="2453">
        <f>+C33+C34</f>
        <v>98607</v>
      </c>
      <c r="F34" s="2454"/>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t="s">
        <v>101</v>
      </c>
      <c r="D38" s="1928"/>
      <c r="E38" s="1286"/>
    </row>
    <row r="39" spans="1:6" ht="14.25" customHeight="1" x14ac:dyDescent="0.2">
      <c r="A39" s="328"/>
      <c r="B39" s="328" t="s">
        <v>1510</v>
      </c>
      <c r="C39" s="1292" t="s">
        <v>101</v>
      </c>
      <c r="D39" s="1928"/>
      <c r="E39" s="1286"/>
    </row>
    <row r="40" spans="1:6" ht="14.25" customHeight="1" x14ac:dyDescent="0.2">
      <c r="A40" s="328"/>
      <c r="B40" s="328" t="s">
        <v>1511</v>
      </c>
      <c r="C40" s="1292" t="s">
        <v>101</v>
      </c>
      <c r="D40" s="1928"/>
      <c r="E40" s="1286"/>
    </row>
    <row r="41" spans="1:6" ht="14.25" customHeight="1" x14ac:dyDescent="0.2">
      <c r="A41" s="328"/>
      <c r="B41" s="328" t="s">
        <v>1512</v>
      </c>
      <c r="C41" s="1292" t="s">
        <v>101</v>
      </c>
      <c r="D41" s="1928"/>
      <c r="E41" s="1286"/>
    </row>
    <row r="42" spans="1:6" ht="14.25" customHeight="1" x14ac:dyDescent="0.2">
      <c r="A42" s="328" t="s">
        <v>1513</v>
      </c>
      <c r="B42" s="328"/>
      <c r="C42" s="1926" t="s">
        <v>101</v>
      </c>
      <c r="D42" s="1928"/>
      <c r="E42" s="1286"/>
    </row>
    <row r="43" spans="1:6" ht="14.25" customHeight="1" x14ac:dyDescent="0.2">
      <c r="A43" s="328" t="s">
        <v>1514</v>
      </c>
      <c r="B43" s="328"/>
      <c r="C43" s="1293" t="s">
        <v>101</v>
      </c>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1671</v>
      </c>
      <c r="C49" s="2455"/>
      <c r="D49" s="2455"/>
      <c r="E49" s="1399"/>
    </row>
    <row r="50" spans="1:5" s="1300" customFormat="1" ht="3.75" customHeight="1" x14ac:dyDescent="0.2">
      <c r="A50" s="1299"/>
      <c r="B50" s="1870"/>
      <c r="C50" s="1870"/>
      <c r="D50" s="1870"/>
      <c r="E50" s="1399"/>
    </row>
    <row r="51" spans="1:5" s="1300" customFormat="1" ht="20.25" customHeight="1" x14ac:dyDescent="0.2">
      <c r="A51" s="1301">
        <v>6</v>
      </c>
      <c r="B51" s="2450" t="s">
        <v>1631</v>
      </c>
      <c r="C51" s="2450"/>
      <c r="D51" s="2450"/>
    </row>
    <row r="52" spans="1:5" ht="14.25" customHeight="1" x14ac:dyDescent="0.2">
      <c r="A52" s="1301"/>
      <c r="B52" s="2450"/>
      <c r="C52" s="2450"/>
      <c r="D52" s="2450"/>
    </row>
  </sheetData>
  <sheetProtection sheet="1" objects="1" scenarios="1"/>
  <customSheetViews>
    <customSheetView guid="{41DB9079-7F95-4228-8A4A-E6D48377DB38}" scale="120" showGridLines="0" printArea="1">
      <selection activeCell="A7" sqref="A7:F7"/>
      <pageMargins left="0.75" right="0.75" top="1" bottom="0.5" header="0.5" footer="0.5"/>
      <printOptions horizontalCentered="1"/>
      <pageSetup scale="79" firstPageNumber="39" orientation="portrait" r:id="rId1"/>
      <headerFooter>
        <oddHeader xml:space="preserve">&amp;C
</oddHeader>
        <oddFooter>&amp;C&amp;"Times New Roman,Regular"See Independent Auditor's Reports
&amp;P</oddFooter>
      </headerFooter>
    </customSheetView>
    <customSheetView guid="{D71D2A76-4AD5-4124-819F-51F94C4C53C9}" scale="120" showGridLines="0">
      <selection activeCell="A7" sqref="A7:F7"/>
      <pageMargins left="0.75" right="0.75" top="1" bottom="0.5" header="0.5" footer="0.5"/>
      <printOptions horizontalCentered="1"/>
      <pageSetup scale="79" firstPageNumber="39" orientation="portrait" r:id="rId2"/>
      <headerFooter>
        <oddHeader xml:space="preserve">&amp;C
</oddHeader>
        <oddFooter>&amp;C&amp;"Times New Roman,Regular"See Independent Auditor's Reports
&amp;P</oddFoot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79" firstPageNumber="39" orientation="portrait" r:id="rId3"/>
  <headerFooter>
    <oddHeader xml:space="preserve">&amp;C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M21" sqref="M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Roxana CUSD 1</v>
      </c>
      <c r="C1" s="2463"/>
      <c r="D1" s="2463"/>
      <c r="E1" s="2463"/>
      <c r="F1" s="2463"/>
      <c r="G1" s="2463"/>
      <c r="H1" s="2463"/>
      <c r="I1" s="2463"/>
      <c r="J1" s="2463"/>
      <c r="K1" s="2463"/>
      <c r="L1" s="2463"/>
      <c r="M1" s="2463"/>
    </row>
    <row r="2" spans="2:14" ht="15" x14ac:dyDescent="0.2">
      <c r="B2" s="2460">
        <f>'Single Audit Cover'!E7</f>
        <v>41057001026</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2093</v>
      </c>
      <c r="C11" s="1338"/>
      <c r="D11" s="1339"/>
      <c r="E11" s="1340"/>
      <c r="F11" s="1340"/>
      <c r="G11" s="1340"/>
      <c r="H11" s="1340"/>
      <c r="I11" s="1340"/>
      <c r="J11" s="1340"/>
      <c r="K11" s="1340"/>
      <c r="L11" s="1340"/>
      <c r="M11" s="1340"/>
    </row>
    <row r="12" spans="2:14" ht="20.100000000000001" customHeight="1" x14ac:dyDescent="0.2">
      <c r="B12" s="1337" t="s">
        <v>2094</v>
      </c>
      <c r="C12" s="1341"/>
      <c r="D12" s="1342"/>
      <c r="E12" s="1343"/>
      <c r="F12" s="1343"/>
      <c r="G12" s="1343"/>
      <c r="H12" s="1343"/>
      <c r="I12" s="1343"/>
      <c r="J12" s="1343"/>
      <c r="K12" s="1343"/>
      <c r="L12" s="1340"/>
      <c r="M12" s="1343"/>
    </row>
    <row r="13" spans="2:14" ht="20.100000000000001" customHeight="1" x14ac:dyDescent="0.2">
      <c r="B13" s="1337" t="s">
        <v>2095</v>
      </c>
      <c r="C13" s="1341" t="s">
        <v>2096</v>
      </c>
      <c r="D13" s="1342" t="s">
        <v>2097</v>
      </c>
      <c r="E13" s="1343">
        <v>301978</v>
      </c>
      <c r="F13" s="1343">
        <v>102144</v>
      </c>
      <c r="G13" s="1343">
        <v>341631</v>
      </c>
      <c r="H13" s="1343"/>
      <c r="I13" s="1343">
        <v>62491</v>
      </c>
      <c r="J13" s="1343"/>
      <c r="K13" s="1343"/>
      <c r="L13" s="1340">
        <f t="shared" ref="L13:L27" si="0">+G13+I13+K13</f>
        <v>404122</v>
      </c>
      <c r="M13" s="1343">
        <v>474396</v>
      </c>
    </row>
    <row r="14" spans="2:14" ht="20.100000000000001" customHeight="1" x14ac:dyDescent="0.2">
      <c r="B14" s="1337" t="s">
        <v>2095</v>
      </c>
      <c r="C14" s="1341" t="s">
        <v>2096</v>
      </c>
      <c r="D14" s="1342" t="s">
        <v>2098</v>
      </c>
      <c r="E14" s="1343"/>
      <c r="F14" s="1343">
        <v>409565</v>
      </c>
      <c r="G14" s="1343"/>
      <c r="H14" s="1343"/>
      <c r="I14" s="1343">
        <v>482351</v>
      </c>
      <c r="J14" s="1343"/>
      <c r="K14" s="1343"/>
      <c r="L14" s="1340">
        <f t="shared" si="0"/>
        <v>482351</v>
      </c>
      <c r="M14" s="1343">
        <v>561094</v>
      </c>
    </row>
    <row r="15" spans="2:14" ht="20.100000000000001" customHeight="1" x14ac:dyDescent="0.2">
      <c r="B15" s="1337" t="s">
        <v>2099</v>
      </c>
      <c r="C15" s="1341" t="s">
        <v>2100</v>
      </c>
      <c r="D15" s="1342" t="s">
        <v>2101</v>
      </c>
      <c r="E15" s="1343">
        <v>72590</v>
      </c>
      <c r="F15" s="1343">
        <v>15226</v>
      </c>
      <c r="G15" s="1343">
        <v>84790</v>
      </c>
      <c r="H15" s="1343"/>
      <c r="I15" s="1343">
        <v>3026</v>
      </c>
      <c r="J15" s="1343"/>
      <c r="K15" s="1343"/>
      <c r="L15" s="1340">
        <f t="shared" si="0"/>
        <v>87816</v>
      </c>
      <c r="M15" s="1343">
        <v>93149</v>
      </c>
    </row>
    <row r="16" spans="2:14" ht="20.100000000000001" customHeight="1" x14ac:dyDescent="0.2">
      <c r="B16" s="1337" t="s">
        <v>2099</v>
      </c>
      <c r="C16" s="1341" t="s">
        <v>2100</v>
      </c>
      <c r="D16" s="1342" t="s">
        <v>2102</v>
      </c>
      <c r="E16" s="1343"/>
      <c r="F16" s="1343">
        <v>52198</v>
      </c>
      <c r="G16" s="1343"/>
      <c r="H16" s="1343"/>
      <c r="I16" s="1343">
        <v>74715</v>
      </c>
      <c r="J16" s="1343"/>
      <c r="K16" s="1343"/>
      <c r="L16" s="1340">
        <f t="shared" si="0"/>
        <v>74715</v>
      </c>
      <c r="M16" s="1343">
        <v>86983</v>
      </c>
    </row>
    <row r="17" spans="2:14" ht="20.100000000000001" customHeight="1" x14ac:dyDescent="0.2">
      <c r="B17" s="1337" t="s">
        <v>2103</v>
      </c>
      <c r="C17" s="1341">
        <v>84.027000000000001</v>
      </c>
      <c r="D17" s="1342" t="s">
        <v>2104</v>
      </c>
      <c r="E17" s="1343">
        <v>434322</v>
      </c>
      <c r="F17" s="1343">
        <v>20137</v>
      </c>
      <c r="G17" s="1343">
        <v>434322</v>
      </c>
      <c r="H17" s="1343"/>
      <c r="I17" s="1343">
        <v>12123</v>
      </c>
      <c r="J17" s="1343"/>
      <c r="K17" s="1343"/>
      <c r="L17" s="1340">
        <f t="shared" si="0"/>
        <v>446445</v>
      </c>
      <c r="M17" s="1343">
        <v>454459</v>
      </c>
    </row>
    <row r="18" spans="2:14" ht="20.100000000000001" customHeight="1" x14ac:dyDescent="0.2">
      <c r="B18" s="1337" t="s">
        <v>2103</v>
      </c>
      <c r="C18" s="1341">
        <v>84.027000000000001</v>
      </c>
      <c r="D18" s="1342" t="s">
        <v>2105</v>
      </c>
      <c r="E18" s="1343"/>
      <c r="F18" s="1343">
        <v>370918</v>
      </c>
      <c r="G18" s="1343"/>
      <c r="H18" s="1343"/>
      <c r="I18" s="1343">
        <v>431112</v>
      </c>
      <c r="J18" s="1343"/>
      <c r="K18" s="1343"/>
      <c r="L18" s="1340">
        <f t="shared" si="0"/>
        <v>431112</v>
      </c>
      <c r="M18" s="1343">
        <v>439423</v>
      </c>
    </row>
    <row r="19" spans="2:14" ht="20.100000000000001" customHeight="1" x14ac:dyDescent="0.2">
      <c r="B19" s="1337" t="s">
        <v>2106</v>
      </c>
      <c r="C19" s="1341">
        <v>84.173000000000002</v>
      </c>
      <c r="D19" s="1342" t="s">
        <v>2107</v>
      </c>
      <c r="E19" s="1343">
        <v>13221</v>
      </c>
      <c r="F19" s="1343">
        <v>1827</v>
      </c>
      <c r="G19" s="1343">
        <v>13221</v>
      </c>
      <c r="H19" s="1343"/>
      <c r="I19" s="1343">
        <v>1827</v>
      </c>
      <c r="J19" s="1343"/>
      <c r="K19" s="1343"/>
      <c r="L19" s="1340">
        <f t="shared" si="0"/>
        <v>15048</v>
      </c>
      <c r="M19" s="1343">
        <v>15052</v>
      </c>
    </row>
    <row r="20" spans="2:14" ht="20.100000000000001" customHeight="1" x14ac:dyDescent="0.2">
      <c r="B20" s="1337" t="s">
        <v>2106</v>
      </c>
      <c r="C20" s="1341">
        <v>84.173000000000002</v>
      </c>
      <c r="D20" s="1342" t="s">
        <v>2108</v>
      </c>
      <c r="E20" s="1343"/>
      <c r="F20" s="1343">
        <v>10925</v>
      </c>
      <c r="G20" s="1343"/>
      <c r="H20" s="1343"/>
      <c r="I20" s="1343">
        <v>14131</v>
      </c>
      <c r="J20" s="1343"/>
      <c r="K20" s="1343"/>
      <c r="L20" s="1340">
        <f t="shared" si="0"/>
        <v>14131</v>
      </c>
      <c r="M20" s="1343">
        <v>15051</v>
      </c>
    </row>
    <row r="21" spans="2:14" ht="20.100000000000001" customHeight="1" x14ac:dyDescent="0.2">
      <c r="B21" s="1337" t="s">
        <v>2135</v>
      </c>
      <c r="C21" s="1341" t="s">
        <v>2133</v>
      </c>
      <c r="D21" s="1342" t="s">
        <v>2134</v>
      </c>
      <c r="E21" s="1343"/>
      <c r="F21" s="1343">
        <v>14195</v>
      </c>
      <c r="G21" s="1343"/>
      <c r="H21" s="1343"/>
      <c r="I21" s="1343">
        <v>16665</v>
      </c>
      <c r="J21" s="1343"/>
      <c r="K21" s="1343"/>
      <c r="L21" s="1340">
        <f t="shared" si="0"/>
        <v>16665</v>
      </c>
      <c r="M21" s="1343">
        <v>16665</v>
      </c>
    </row>
    <row r="22" spans="2:14" ht="20.100000000000001" customHeight="1" x14ac:dyDescent="0.2">
      <c r="B22" s="1337" t="s">
        <v>2130</v>
      </c>
      <c r="C22" s="1341"/>
      <c r="D22" s="1342"/>
      <c r="E22" s="1343">
        <f>SUM(E13:E21)</f>
        <v>822111</v>
      </c>
      <c r="F22" s="1343">
        <f>SUM(F13:F21)</f>
        <v>997135</v>
      </c>
      <c r="G22" s="1343">
        <f>SUM(G13:G21)</f>
        <v>873964</v>
      </c>
      <c r="H22" s="1343"/>
      <c r="I22" s="1343">
        <f>SUM(I13:I21)</f>
        <v>1098441</v>
      </c>
      <c r="J22" s="1343"/>
      <c r="K22" s="1343"/>
      <c r="L22" s="1340">
        <f>SUM(L13:L21)</f>
        <v>1972405</v>
      </c>
      <c r="M22" s="1340">
        <f>SUM(M13:M21)</f>
        <v>2156272</v>
      </c>
    </row>
    <row r="23" spans="2:14" ht="20.100000000000001" customHeight="1" x14ac:dyDescent="0.2">
      <c r="B23" s="1337" t="s">
        <v>2109</v>
      </c>
      <c r="C23" s="1341"/>
      <c r="D23" s="1342"/>
      <c r="E23" s="1343"/>
      <c r="F23" s="1343"/>
      <c r="G23" s="1343"/>
      <c r="H23" s="1343"/>
      <c r="I23" s="1343"/>
      <c r="J23" s="1343"/>
      <c r="K23" s="1343"/>
      <c r="L23" s="1340"/>
      <c r="M23" s="1343"/>
    </row>
    <row r="24" spans="2:14" ht="20.100000000000001" customHeight="1" x14ac:dyDescent="0.2">
      <c r="B24" s="1337" t="s">
        <v>2110</v>
      </c>
      <c r="C24" s="1341" t="s">
        <v>2111</v>
      </c>
      <c r="D24" s="1342" t="s">
        <v>2112</v>
      </c>
      <c r="E24" s="1343">
        <v>6140</v>
      </c>
      <c r="F24" s="1343">
        <v>13047</v>
      </c>
      <c r="G24" s="1343">
        <v>17104</v>
      </c>
      <c r="H24" s="1343"/>
      <c r="I24" s="1343">
        <v>2083</v>
      </c>
      <c r="J24" s="1343"/>
      <c r="K24" s="1343"/>
      <c r="L24" s="1340">
        <f t="shared" si="0"/>
        <v>19187</v>
      </c>
      <c r="M24" s="1343">
        <v>19170</v>
      </c>
    </row>
    <row r="25" spans="2:14" ht="20.100000000000001" customHeight="1" x14ac:dyDescent="0.2">
      <c r="B25" s="1337" t="s">
        <v>2110</v>
      </c>
      <c r="C25" s="1341" t="s">
        <v>2111</v>
      </c>
      <c r="D25" s="1342" t="s">
        <v>2113</v>
      </c>
      <c r="E25" s="1343"/>
      <c r="F25" s="1343">
        <v>19887</v>
      </c>
      <c r="G25" s="1343"/>
      <c r="H25" s="1343"/>
      <c r="I25" s="1343">
        <v>19887</v>
      </c>
      <c r="J25" s="1343"/>
      <c r="K25" s="1343"/>
      <c r="L25" s="1340">
        <f t="shared" si="0"/>
        <v>19887</v>
      </c>
      <c r="M25" s="1343">
        <v>19887</v>
      </c>
    </row>
    <row r="26" spans="2:14" ht="20.100000000000001" customHeight="1" x14ac:dyDescent="0.2">
      <c r="B26" s="1337" t="s">
        <v>2131</v>
      </c>
      <c r="C26" s="1341"/>
      <c r="D26" s="1342"/>
      <c r="E26" s="1343">
        <f>SUM(E24:E25)</f>
        <v>6140</v>
      </c>
      <c r="F26" s="1343">
        <f>SUM(F24:F25)</f>
        <v>32934</v>
      </c>
      <c r="G26" s="1343">
        <f>SUM(G24:G25)</f>
        <v>17104</v>
      </c>
      <c r="H26" s="1343"/>
      <c r="I26" s="1343">
        <f>SUM(I24:I25)</f>
        <v>21970</v>
      </c>
      <c r="J26" s="1343"/>
      <c r="K26" s="1343"/>
      <c r="L26" s="1340">
        <f>SUM(L24:L25)</f>
        <v>39074</v>
      </c>
      <c r="M26" s="1340">
        <f>SUM(M24:M25)</f>
        <v>39057</v>
      </c>
    </row>
    <row r="27" spans="2:14" ht="20.100000000000001" customHeight="1" x14ac:dyDescent="0.2">
      <c r="B27" s="1337" t="s">
        <v>2114</v>
      </c>
      <c r="C27" s="1341"/>
      <c r="D27" s="1342"/>
      <c r="E27" s="1343">
        <f>E22+E26</f>
        <v>828251</v>
      </c>
      <c r="F27" s="1343">
        <f>F22+F26</f>
        <v>1030069</v>
      </c>
      <c r="G27" s="1343">
        <f>G22+G26</f>
        <v>891068</v>
      </c>
      <c r="H27" s="1343"/>
      <c r="I27" s="1343">
        <f>I22+I26</f>
        <v>1120411</v>
      </c>
      <c r="J27" s="1343"/>
      <c r="K27" s="1343"/>
      <c r="L27" s="1340">
        <f t="shared" si="0"/>
        <v>2011479</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41DB9079-7F95-4228-8A4A-E6D48377DB38}" showGridLines="0" printArea="1" topLeftCell="A7">
      <selection activeCell="M21" sqref="M21"/>
      <pageMargins left="0.75" right="0.75" top="1" bottom="0.5" header="0.5" footer="0.5"/>
      <printOptions horizontalCentered="1"/>
      <pageSetup scale="70" firstPageNumber="38" orientation="landscape" r:id="rId1"/>
      <headerFooter>
        <oddFooter>&amp;C&amp;"Times New Roman,Regular"See Independent Auditor's Reports
&amp;P</oddFooter>
      </headerFooter>
    </customSheetView>
    <customSheetView guid="{D71D2A76-4AD5-4124-819F-51F94C4C53C9}" showGridLines="0" topLeftCell="A7">
      <selection activeCell="M21" sqref="M21"/>
      <pageMargins left="0.75" right="0.75" top="1" bottom="0.5" header="0.5" footer="0.5"/>
      <printOptions horizontalCentered="1"/>
      <pageSetup scale="70" firstPageNumber="38" orientation="landscape" r:id="rId2"/>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0" firstPageNumber="38" orientation="landscape" r:id="rId3"/>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0"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1229</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330</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1389</v>
      </c>
      <c r="B70" s="2088"/>
      <c r="C70" s="2088"/>
      <c r="D70" s="2088"/>
      <c r="E70" s="2089"/>
      <c r="F70" s="2089"/>
      <c r="G70" s="2089"/>
      <c r="H70" s="2089"/>
      <c r="I70" s="2089"/>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1386</v>
      </c>
      <c r="B83" s="2090"/>
      <c r="C83" s="2090"/>
      <c r="D83" s="2091"/>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2075</v>
      </c>
      <c r="D114" s="2081"/>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1396</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41DB9079-7F95-4228-8A4A-E6D48377DB38}" scale="60" colorId="8" showPageBreaks="1" showGridLines="0" printArea="1" hiddenRows="1" view="pageBreakPreview" topLeftCell="A41">
      <selection activeCell="F85" sqref="F85"/>
      <pageMargins left="0.75" right="0.75" top="0.75" bottom="0.5" header="0.5" footer="0.5"/>
      <printOptions horizontalCentered="1"/>
      <pageSetup scale="48" firstPageNumber="2" orientation="portrait" r:id="rId1"/>
      <headerFooter>
        <oddHeader>&amp;C&amp;"Times New Roman,Regular"ROXANA COMMUNITY UNIT SCHOOL DISTRICT NO. 1</oddHeader>
        <oddFooter>&amp;C&amp;"Times New Roman,Regular"
&amp;P</oddFooter>
      </headerFooter>
    </customSheetView>
    <customSheetView guid="{D71D2A76-4AD5-4124-819F-51F94C4C53C9}" scale="60" colorId="8" showPageBreaks="1" showGridLines="0" printArea="1" hiddenRows="1" view="pageBreakPreview" topLeftCell="A41">
      <selection activeCell="F85" sqref="F85"/>
      <pageMargins left="0.75" right="0.75" top="0.75" bottom="0.5" header="0.5" footer="0.5"/>
      <printOptions horizontalCentered="1"/>
      <pageSetup scale="48" firstPageNumber="2" orientation="portrait" r:id="rId2"/>
      <headerFooter>
        <oddHeader>&amp;C&amp;"Times New Roman,Regular"ROXANA COMMUNITY UNIT SCHOOL DISTRICT NO. 1</oddHeader>
        <oddFooter>&amp;C&amp;"Times New Roman,Regular"
&amp;P</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2" type="noConversion"/>
  <printOptions horizontalCentered="1"/>
  <pageMargins left="0.75" right="0.75" top="0.75" bottom="0.5" header="0.5" footer="0.5"/>
  <pageSetup scale="48" firstPageNumber="2" orientation="portrait" r:id="rId3"/>
  <headerFooter>
    <oddHeader>&amp;C&amp;"Times New Roman,Regular"ROXANA COMMUNITY UNIT SCHOOL DISTRICT NO. 1</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26" sqref="B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Roxana CUSD 1</v>
      </c>
      <c r="C1" s="2463"/>
      <c r="D1" s="2463"/>
      <c r="E1" s="2463"/>
      <c r="F1" s="2463"/>
      <c r="G1" s="2463"/>
      <c r="H1" s="2463"/>
      <c r="I1" s="2463"/>
      <c r="J1" s="2463"/>
      <c r="K1" s="2463"/>
      <c r="L1" s="2463"/>
      <c r="M1" s="2463"/>
    </row>
    <row r="2" spans="2:14" ht="15" x14ac:dyDescent="0.2">
      <c r="B2" s="2460">
        <f>'Single Audit Cover'!E7</f>
        <v>41057001026</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2115</v>
      </c>
      <c r="C11" s="1338"/>
      <c r="D11" s="1339"/>
      <c r="E11" s="1340"/>
      <c r="F11" s="1340"/>
      <c r="G11" s="1340"/>
      <c r="H11" s="1340"/>
      <c r="I11" s="1340"/>
      <c r="J11" s="1340"/>
      <c r="K11" s="1340"/>
      <c r="L11" s="1340"/>
      <c r="M11" s="1340"/>
    </row>
    <row r="12" spans="2:14" ht="20.100000000000001" customHeight="1" x14ac:dyDescent="0.2">
      <c r="B12" s="1337" t="s">
        <v>2183</v>
      </c>
      <c r="C12" s="1341"/>
      <c r="D12" s="1342"/>
      <c r="E12" s="1343"/>
      <c r="F12" s="1343"/>
      <c r="G12" s="1343"/>
      <c r="H12" s="1343"/>
      <c r="I12" s="1343"/>
      <c r="J12" s="1343"/>
      <c r="K12" s="1343"/>
      <c r="L12" s="1340"/>
      <c r="M12" s="1343"/>
    </row>
    <row r="13" spans="2:14" ht="20.100000000000001" customHeight="1" x14ac:dyDescent="0.2">
      <c r="B13" s="1337" t="s">
        <v>2116</v>
      </c>
      <c r="C13" s="1341">
        <v>10.555</v>
      </c>
      <c r="D13" s="1342" t="s">
        <v>2117</v>
      </c>
      <c r="E13" s="1343">
        <v>538567</v>
      </c>
      <c r="F13" s="1343">
        <v>112833</v>
      </c>
      <c r="G13" s="1343">
        <v>538567</v>
      </c>
      <c r="H13" s="1343"/>
      <c r="I13" s="1343">
        <v>112833</v>
      </c>
      <c r="J13" s="1343"/>
      <c r="K13" s="1343"/>
      <c r="L13" s="1340">
        <f t="shared" ref="L13:L24" si="0">+G13+I13+K13</f>
        <v>651400</v>
      </c>
      <c r="M13" s="1343"/>
    </row>
    <row r="14" spans="2:14" ht="20.100000000000001" customHeight="1" x14ac:dyDescent="0.2">
      <c r="B14" s="1337" t="s">
        <v>2116</v>
      </c>
      <c r="C14" s="1341">
        <v>10.555</v>
      </c>
      <c r="D14" s="1342" t="s">
        <v>2118</v>
      </c>
      <c r="E14" s="1343"/>
      <c r="F14" s="1343">
        <v>420720</v>
      </c>
      <c r="G14" s="1343"/>
      <c r="H14" s="1343"/>
      <c r="I14" s="1343">
        <v>420720</v>
      </c>
      <c r="J14" s="1343"/>
      <c r="K14" s="1343"/>
      <c r="L14" s="1340">
        <f t="shared" si="0"/>
        <v>420720</v>
      </c>
      <c r="M14" s="1343"/>
    </row>
    <row r="15" spans="2:14" ht="20.100000000000001" customHeight="1" x14ac:dyDescent="0.2">
      <c r="B15" s="1337" t="s">
        <v>2119</v>
      </c>
      <c r="C15" s="1341">
        <v>10.553000000000001</v>
      </c>
      <c r="D15" s="1342" t="s">
        <v>2120</v>
      </c>
      <c r="E15" s="1343">
        <v>136039</v>
      </c>
      <c r="F15" s="1343">
        <v>29854</v>
      </c>
      <c r="G15" s="1343">
        <v>136039</v>
      </c>
      <c r="H15" s="1343"/>
      <c r="I15" s="1343">
        <v>29854</v>
      </c>
      <c r="J15" s="1343"/>
      <c r="K15" s="1343"/>
      <c r="L15" s="1340">
        <f t="shared" si="0"/>
        <v>165893</v>
      </c>
      <c r="M15" s="1343"/>
    </row>
    <row r="16" spans="2:14" ht="20.100000000000001" customHeight="1" x14ac:dyDescent="0.2">
      <c r="B16" s="1337" t="s">
        <v>2119</v>
      </c>
      <c r="C16" s="1341">
        <v>10.553000000000001</v>
      </c>
      <c r="D16" s="1342" t="s">
        <v>2121</v>
      </c>
      <c r="E16" s="1343"/>
      <c r="F16" s="1343">
        <v>111987</v>
      </c>
      <c r="G16" s="1343"/>
      <c r="H16" s="1343"/>
      <c r="I16" s="1343">
        <v>111987</v>
      </c>
      <c r="J16" s="1343"/>
      <c r="K16" s="1343"/>
      <c r="L16" s="1340">
        <f t="shared" si="0"/>
        <v>111987</v>
      </c>
      <c r="M16" s="1343"/>
    </row>
    <row r="17" spans="2:14" ht="20.100000000000001" customHeight="1" x14ac:dyDescent="0.2">
      <c r="B17" s="1337" t="s">
        <v>2122</v>
      </c>
      <c r="C17" s="1341">
        <v>10.555</v>
      </c>
      <c r="D17" s="1342" t="s">
        <v>2123</v>
      </c>
      <c r="E17" s="1343"/>
      <c r="F17" s="1343">
        <v>80404</v>
      </c>
      <c r="G17" s="1343"/>
      <c r="H17" s="1343"/>
      <c r="I17" s="1343">
        <v>80404</v>
      </c>
      <c r="J17" s="1343"/>
      <c r="K17" s="1343"/>
      <c r="L17" s="1340">
        <f t="shared" si="0"/>
        <v>80404</v>
      </c>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2124</v>
      </c>
      <c r="C20" s="1341"/>
      <c r="D20" s="1342"/>
      <c r="E20" s="1343">
        <f>SUM(E12:E18)</f>
        <v>674606</v>
      </c>
      <c r="F20" s="1343">
        <f>SUM(F12:F18)</f>
        <v>755798</v>
      </c>
      <c r="G20" s="1343">
        <f>SUM(G12:G18)</f>
        <v>674606</v>
      </c>
      <c r="H20" s="1343"/>
      <c r="I20" s="1343">
        <f>SUM(I12:I18)</f>
        <v>755798</v>
      </c>
      <c r="J20" s="1343"/>
      <c r="K20" s="1343"/>
      <c r="L20" s="1340">
        <f t="shared" si="0"/>
        <v>1430404</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t="s">
        <v>2125</v>
      </c>
      <c r="C23" s="1341"/>
      <c r="D23" s="1342"/>
      <c r="E23" s="1343"/>
      <c r="F23" s="1343"/>
      <c r="G23" s="1343"/>
      <c r="H23" s="1343"/>
      <c r="I23" s="1343"/>
      <c r="J23" s="1343"/>
      <c r="K23" s="1343"/>
      <c r="L23" s="1340"/>
      <c r="M23" s="1343"/>
    </row>
    <row r="24" spans="2:14" ht="20.100000000000001" customHeight="1" x14ac:dyDescent="0.2">
      <c r="B24" s="1337" t="s">
        <v>2122</v>
      </c>
      <c r="C24" s="1341">
        <v>10.555</v>
      </c>
      <c r="D24" s="1342" t="s">
        <v>2123</v>
      </c>
      <c r="E24" s="1343"/>
      <c r="F24" s="1343">
        <v>18203</v>
      </c>
      <c r="G24" s="1343"/>
      <c r="H24" s="1343"/>
      <c r="I24" s="1343">
        <v>18203</v>
      </c>
      <c r="J24" s="1343"/>
      <c r="K24" s="1343"/>
      <c r="L24" s="1340">
        <f t="shared" si="0"/>
        <v>18203</v>
      </c>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41DB9079-7F95-4228-8A4A-E6D48377DB38}" showGridLines="0" printArea="1">
      <selection activeCell="B26" sqref="B26"/>
      <pageMargins left="0.75" right="0.75" top="1" bottom="0.5" header="0.5" footer="0.5"/>
      <printOptions horizontalCentered="1"/>
      <pageSetup scale="70" firstPageNumber="38" orientation="landscape" r:id="rId1"/>
      <headerFooter>
        <oddFooter>&amp;C&amp;"Times New Roman,Regular"See Independent Auditor's Reports
&amp;P</oddFooter>
      </headerFooter>
    </customSheetView>
    <customSheetView guid="{D71D2A76-4AD5-4124-819F-51F94C4C53C9}" showGridLines="0">
      <selection activeCell="B26" sqref="B26"/>
      <pageMargins left="0.75" right="0.75" top="1" bottom="0.5" header="0.5" footer="0.5"/>
      <printOptions horizontalCentered="1"/>
      <pageSetup scale="70" firstPageNumber="38" orientation="landscape" r:id="rId2"/>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0" firstPageNumber="38" orientation="landscape" r:id="rId3"/>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E17" sqref="E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Roxana CUSD 1</v>
      </c>
      <c r="C1" s="2463"/>
      <c r="D1" s="2463"/>
      <c r="E1" s="2463"/>
      <c r="F1" s="2463"/>
      <c r="G1" s="2463"/>
      <c r="H1" s="2463"/>
      <c r="I1" s="2463"/>
      <c r="J1" s="2463"/>
      <c r="K1" s="2463"/>
      <c r="L1" s="2463"/>
      <c r="M1" s="2463"/>
    </row>
    <row r="2" spans="2:14" ht="15" x14ac:dyDescent="0.2">
      <c r="B2" s="2460">
        <f>'Single Audit Cover'!E7</f>
        <v>41057001026</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2126</v>
      </c>
      <c r="C11" s="1338"/>
      <c r="D11" s="1339"/>
      <c r="E11" s="1340"/>
      <c r="F11" s="1340"/>
      <c r="G11" s="1340"/>
      <c r="H11" s="1340"/>
      <c r="I11" s="1340"/>
      <c r="J11" s="1340"/>
      <c r="K11" s="1340"/>
      <c r="L11" s="1340"/>
      <c r="M11" s="1340"/>
    </row>
    <row r="12" spans="2:14" ht="20.100000000000001" customHeight="1" x14ac:dyDescent="0.2">
      <c r="B12" s="1337" t="s">
        <v>2127</v>
      </c>
      <c r="C12" s="1341"/>
      <c r="D12" s="1342"/>
      <c r="E12" s="1343"/>
      <c r="F12" s="1343"/>
      <c r="G12" s="1343"/>
      <c r="H12" s="1343"/>
      <c r="I12" s="1343"/>
      <c r="J12" s="1343"/>
      <c r="K12" s="1343"/>
      <c r="L12" s="1340"/>
      <c r="M12" s="1343"/>
    </row>
    <row r="13" spans="2:14" ht="20.100000000000001" customHeight="1" x14ac:dyDescent="0.2">
      <c r="B13" s="1337" t="s">
        <v>2128</v>
      </c>
      <c r="C13" s="1341">
        <v>93.778000000000006</v>
      </c>
      <c r="D13" s="1342">
        <v>2018</v>
      </c>
      <c r="E13" s="1343"/>
      <c r="F13" s="1343">
        <v>31899</v>
      </c>
      <c r="G13" s="1343"/>
      <c r="H13" s="1343"/>
      <c r="I13" s="1343">
        <v>31899</v>
      </c>
      <c r="J13" s="1343"/>
      <c r="K13" s="1343"/>
      <c r="L13" s="1340">
        <f t="shared" ref="L13:L17" si="0">+G13+I13+K13</f>
        <v>31899</v>
      </c>
      <c r="M13" s="1343"/>
    </row>
    <row r="14" spans="2:14" ht="20.100000000000001" customHeight="1" x14ac:dyDescent="0.2">
      <c r="B14" s="1337"/>
      <c r="C14" s="1341"/>
      <c r="D14" s="1342"/>
      <c r="E14" s="1343"/>
      <c r="F14" s="1343"/>
      <c r="G14" s="1343"/>
      <c r="H14" s="1343"/>
      <c r="I14" s="1343"/>
      <c r="J14" s="1343"/>
      <c r="K14" s="1343"/>
      <c r="L14" s="1340"/>
      <c r="M14" s="1343"/>
    </row>
    <row r="15" spans="2:14" ht="20.100000000000001" customHeight="1" x14ac:dyDescent="0.2">
      <c r="B15" s="1337" t="s">
        <v>1230</v>
      </c>
      <c r="C15" s="1341"/>
      <c r="D15" s="1342"/>
      <c r="E15" s="1343"/>
      <c r="F15" s="1343"/>
      <c r="G15" s="1343"/>
      <c r="H15" s="1343"/>
      <c r="I15" s="1343"/>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t="s">
        <v>2129</v>
      </c>
      <c r="C17" s="1341"/>
      <c r="D17" s="1342"/>
      <c r="E17" s="1343">
        <f>' SEFA'!E27+' SEFA (2)'!E20+' SEFA (2)'!E24+' SEFA (3)'!E13</f>
        <v>1502857</v>
      </c>
      <c r="F17" s="1343">
        <f>' SEFA'!F27+' SEFA (2)'!F20+' SEFA (2)'!F24+' SEFA (3)'!F13</f>
        <v>1835969</v>
      </c>
      <c r="G17" s="1343">
        <f>' SEFA'!G27+' SEFA (2)'!G20+' SEFA (2)'!G24+' SEFA (3)'!G13</f>
        <v>1565674</v>
      </c>
      <c r="H17" s="1343"/>
      <c r="I17" s="1343">
        <f>' SEFA'!I27+' SEFA (2)'!I20+' SEFA (2)'!I24+' SEFA (3)'!I13</f>
        <v>1926311</v>
      </c>
      <c r="J17" s="1343"/>
      <c r="K17" s="1343"/>
      <c r="L17" s="1340">
        <f t="shared" si="0"/>
        <v>3491985</v>
      </c>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41DB9079-7F95-4228-8A4A-E6D48377DB38}" showGridLines="0" printArea="1" topLeftCell="A7">
      <selection activeCell="E17" sqref="E17"/>
      <pageMargins left="0.75" right="0.75" top="1" bottom="0.5" header="0.5" footer="0.5"/>
      <printOptions horizontalCentered="1"/>
      <pageSetup scale="70" firstPageNumber="38" orientation="landscape" r:id="rId1"/>
      <headerFooter>
        <oddFooter>&amp;C&amp;"Times New Roman,Regular"See Independent Auditor's Reports
&amp;P</oddFooter>
      </headerFooter>
    </customSheetView>
    <customSheetView guid="{D71D2A76-4AD5-4124-819F-51F94C4C53C9}" showGridLines="0" topLeftCell="A7">
      <selection activeCell="E17" sqref="E17"/>
      <pageMargins left="0.75" right="0.75" top="1" bottom="0.5" header="0.5" footer="0.5"/>
      <printOptions horizontalCentered="1"/>
      <pageSetup scale="70" firstPageNumber="38" orientation="landscape" r:id="rId2"/>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0" firstPageNumber="38" orientation="landscape" r:id="rId3"/>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O18" sqref="O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Roxana CUSD 1</v>
      </c>
      <c r="C1" s="2463"/>
      <c r="D1" s="2463"/>
      <c r="E1" s="2463"/>
      <c r="F1" s="2463"/>
      <c r="G1" s="2463"/>
      <c r="H1" s="2463"/>
      <c r="I1" s="2463"/>
      <c r="J1" s="2463"/>
      <c r="K1" s="2463"/>
      <c r="L1" s="2463"/>
      <c r="M1" s="2463"/>
    </row>
    <row r="2" spans="2:14" ht="15" x14ac:dyDescent="0.2">
      <c r="B2" s="2460">
        <f>'Single Audit Cover'!E7</f>
        <v>41057001026</v>
      </c>
      <c r="C2" s="2460"/>
      <c r="D2" s="2460"/>
      <c r="E2" s="2460"/>
      <c r="F2" s="2460"/>
      <c r="G2" s="2460"/>
      <c r="H2" s="2460"/>
      <c r="I2" s="2460"/>
      <c r="J2" s="2460"/>
      <c r="K2" s="2460"/>
      <c r="L2" s="2460"/>
      <c r="M2" s="2460"/>
      <c r="N2" s="1302"/>
    </row>
    <row r="3" spans="2:14" ht="15" x14ac:dyDescent="0.2">
      <c r="B3" s="2464" t="s">
        <v>1280</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2170</v>
      </c>
      <c r="C11" s="1338"/>
      <c r="D11" s="1339"/>
      <c r="E11" s="1340"/>
      <c r="F11" s="1340"/>
      <c r="G11" s="1340"/>
      <c r="H11" s="1340"/>
      <c r="I11" s="1340"/>
      <c r="J11" s="1340"/>
      <c r="K11" s="1340"/>
      <c r="L11" s="1340"/>
      <c r="M11" s="1340"/>
    </row>
    <row r="12" spans="2:14" ht="20.100000000000001" customHeight="1" x14ac:dyDescent="0.2">
      <c r="B12" s="1337" t="s">
        <v>2171</v>
      </c>
      <c r="C12" s="1341"/>
      <c r="D12" s="1342"/>
      <c r="E12" s="1343">
        <f>' SEFA'!E13+' SEFA'!E14</f>
        <v>301978</v>
      </c>
      <c r="F12" s="1343">
        <f>' SEFA'!F13+' SEFA'!F14</f>
        <v>511709</v>
      </c>
      <c r="G12" s="1343">
        <f>' SEFA'!G13+' SEFA'!G14</f>
        <v>341631</v>
      </c>
      <c r="H12" s="1343">
        <f>' SEFA'!H13+' SEFA'!H14</f>
        <v>0</v>
      </c>
      <c r="I12" s="1343">
        <f>' SEFA'!I13+' SEFA'!I14</f>
        <v>544842</v>
      </c>
      <c r="J12" s="1343">
        <f>' SEFA'!J13+' SEFA'!J14</f>
        <v>0</v>
      </c>
      <c r="K12" s="1343">
        <f>' SEFA'!K13+' SEFA'!K14</f>
        <v>0</v>
      </c>
      <c r="L12" s="1340">
        <f t="shared" ref="L12:L22" si="0">+G12+I12+K12</f>
        <v>886473</v>
      </c>
      <c r="M12" s="1343"/>
    </row>
    <row r="13" spans="2:14" ht="20.100000000000001" customHeight="1" x14ac:dyDescent="0.2">
      <c r="B13" s="1337" t="s">
        <v>2172</v>
      </c>
      <c r="C13" s="1341"/>
      <c r="D13" s="1342"/>
      <c r="E13" s="1343">
        <f>' SEFA'!E15+' SEFA'!E16</f>
        <v>72590</v>
      </c>
      <c r="F13" s="1343">
        <f>' SEFA'!F15+' SEFA'!F16</f>
        <v>67424</v>
      </c>
      <c r="G13" s="1343">
        <f>' SEFA'!G15+' SEFA'!G16</f>
        <v>84790</v>
      </c>
      <c r="H13" s="1343">
        <f>' SEFA'!H15+' SEFA'!H16</f>
        <v>0</v>
      </c>
      <c r="I13" s="1343">
        <f>' SEFA'!I15+' SEFA'!I16</f>
        <v>77741</v>
      </c>
      <c r="J13" s="1343">
        <f>' SEFA'!J15+' SEFA'!J16</f>
        <v>0</v>
      </c>
      <c r="K13" s="1343">
        <f>' SEFA'!K15+' SEFA'!K16</f>
        <v>0</v>
      </c>
      <c r="L13" s="1340">
        <f t="shared" si="0"/>
        <v>162531</v>
      </c>
      <c r="M13" s="1343"/>
    </row>
    <row r="14" spans="2:14" ht="20.100000000000001" customHeight="1" x14ac:dyDescent="0.2">
      <c r="B14" s="1337" t="s">
        <v>2173</v>
      </c>
      <c r="C14" s="1341"/>
      <c r="D14" s="1342"/>
      <c r="E14" s="1343">
        <f>' SEFA'!E17+' SEFA'!E18</f>
        <v>434322</v>
      </c>
      <c r="F14" s="1343">
        <f>' SEFA'!F17+' SEFA'!F18</f>
        <v>391055</v>
      </c>
      <c r="G14" s="1343">
        <f>' SEFA'!G17+' SEFA'!G18</f>
        <v>434322</v>
      </c>
      <c r="H14" s="1343">
        <f>' SEFA'!H17+' SEFA'!H18</f>
        <v>0</v>
      </c>
      <c r="I14" s="1343">
        <f>' SEFA'!I17+' SEFA'!I18</f>
        <v>443235</v>
      </c>
      <c r="J14" s="1343">
        <f>' SEFA'!J17+' SEFA'!J18</f>
        <v>0</v>
      </c>
      <c r="K14" s="1343">
        <f>' SEFA'!K17+' SEFA'!K18</f>
        <v>0</v>
      </c>
      <c r="L14" s="1340">
        <f t="shared" si="0"/>
        <v>877557</v>
      </c>
      <c r="M14" s="1343"/>
    </row>
    <row r="15" spans="2:14" ht="20.100000000000001" customHeight="1" x14ac:dyDescent="0.2">
      <c r="B15" s="1337" t="s">
        <v>2174</v>
      </c>
      <c r="C15" s="1341"/>
      <c r="D15" s="1342"/>
      <c r="E15" s="1343">
        <f>' SEFA'!E19+' SEFA'!E20</f>
        <v>13221</v>
      </c>
      <c r="F15" s="1343">
        <f>' SEFA'!F19+' SEFA'!F20</f>
        <v>12752</v>
      </c>
      <c r="G15" s="1343">
        <f>' SEFA'!G19+' SEFA'!G20</f>
        <v>13221</v>
      </c>
      <c r="H15" s="1343">
        <f>' SEFA'!H19+' SEFA'!H20</f>
        <v>0</v>
      </c>
      <c r="I15" s="1343">
        <f>' SEFA'!I19+' SEFA'!I20</f>
        <v>15958</v>
      </c>
      <c r="J15" s="1343">
        <f>' SEFA'!J19+' SEFA'!J20</f>
        <v>0</v>
      </c>
      <c r="K15" s="1343">
        <f>' SEFA'!K19+' SEFA'!K20</f>
        <v>0</v>
      </c>
      <c r="L15" s="1340">
        <f t="shared" si="0"/>
        <v>29179</v>
      </c>
      <c r="M15" s="1343"/>
    </row>
    <row r="16" spans="2:14" ht="20.100000000000001" customHeight="1" x14ac:dyDescent="0.2">
      <c r="B16" s="1337" t="s">
        <v>2175</v>
      </c>
      <c r="C16" s="1341"/>
      <c r="D16" s="1342"/>
      <c r="E16" s="1343">
        <f>' SEFA'!E24+' SEFA'!E25</f>
        <v>6140</v>
      </c>
      <c r="F16" s="1343">
        <f>' SEFA'!F24+' SEFA'!F25</f>
        <v>32934</v>
      </c>
      <c r="G16" s="1343">
        <f>' SEFA'!G24+' SEFA'!G25</f>
        <v>17104</v>
      </c>
      <c r="H16" s="1343">
        <f>' SEFA'!H24+' SEFA'!H25</f>
        <v>0</v>
      </c>
      <c r="I16" s="1343">
        <f>' SEFA'!I24+' SEFA'!I25</f>
        <v>21970</v>
      </c>
      <c r="J16" s="1343">
        <f>' SEFA'!J24+' SEFA'!J25</f>
        <v>0</v>
      </c>
      <c r="K16" s="1343">
        <f>' SEFA'!K24+' SEFA'!K25</f>
        <v>0</v>
      </c>
      <c r="L16" s="1340">
        <f t="shared" si="0"/>
        <v>39074</v>
      </c>
      <c r="M16" s="1343"/>
    </row>
    <row r="17" spans="2:14" ht="20.100000000000001" customHeight="1" x14ac:dyDescent="0.2">
      <c r="B17" s="1337" t="s">
        <v>2179</v>
      </c>
      <c r="C17" s="1341"/>
      <c r="D17" s="1342"/>
      <c r="E17" s="1343">
        <f>' SEFA'!E21</f>
        <v>0</v>
      </c>
      <c r="F17" s="1343">
        <f>' SEFA'!F21</f>
        <v>14195</v>
      </c>
      <c r="G17" s="1343">
        <f>' SEFA'!G21</f>
        <v>0</v>
      </c>
      <c r="H17" s="1343">
        <f>' SEFA'!H21</f>
        <v>0</v>
      </c>
      <c r="I17" s="1343">
        <f>' SEFA'!I21</f>
        <v>16665</v>
      </c>
      <c r="J17" s="1343">
        <f>' SEFA'!J21</f>
        <v>0</v>
      </c>
      <c r="K17" s="1343">
        <f>' SEFA'!K21</f>
        <v>0</v>
      </c>
      <c r="L17" s="1340">
        <f t="shared" si="0"/>
        <v>16665</v>
      </c>
      <c r="M17" s="1343"/>
    </row>
    <row r="18" spans="2:14" ht="20.100000000000001" customHeight="1" x14ac:dyDescent="0.2">
      <c r="B18" s="1337" t="s">
        <v>2176</v>
      </c>
      <c r="C18" s="1341"/>
      <c r="D18" s="1342"/>
      <c r="E18" s="1343">
        <f>' SEFA (2)'!E13+' SEFA (2)'!E14+' SEFA (2)'!E17+' SEFA (2)'!E24</f>
        <v>538567</v>
      </c>
      <c r="F18" s="1343">
        <f>' SEFA (2)'!F13+' SEFA (2)'!F14+' SEFA (2)'!F17+' SEFA (2)'!F24</f>
        <v>632160</v>
      </c>
      <c r="G18" s="1343">
        <f>' SEFA (2)'!G13+' SEFA (2)'!G14+' SEFA (2)'!G17+' SEFA (2)'!G24</f>
        <v>538567</v>
      </c>
      <c r="H18" s="1343">
        <f>' SEFA (2)'!H13+' SEFA (2)'!H14+' SEFA (2)'!H17+' SEFA (2)'!H24</f>
        <v>0</v>
      </c>
      <c r="I18" s="1343">
        <f>' SEFA (2)'!I13+' SEFA (2)'!I14+' SEFA (2)'!I17+' SEFA (2)'!I24</f>
        <v>632160</v>
      </c>
      <c r="J18" s="1343">
        <f>' SEFA (2)'!J13+' SEFA (2)'!J14+' SEFA (2)'!J17+' SEFA (2)'!J24</f>
        <v>0</v>
      </c>
      <c r="K18" s="1343">
        <f>' SEFA (2)'!K13+' SEFA (2)'!K14+' SEFA (2)'!K17+' SEFA (2)'!K24</f>
        <v>0</v>
      </c>
      <c r="L18" s="1340">
        <f t="shared" si="0"/>
        <v>1170727</v>
      </c>
      <c r="M18" s="1343"/>
    </row>
    <row r="19" spans="2:14" ht="20.100000000000001" customHeight="1" x14ac:dyDescent="0.2">
      <c r="B19" s="1337" t="s">
        <v>2177</v>
      </c>
      <c r="C19" s="1341"/>
      <c r="D19" s="1342"/>
      <c r="E19" s="1343">
        <f>' SEFA (2)'!E15+' SEFA (2)'!E16</f>
        <v>136039</v>
      </c>
      <c r="F19" s="1343">
        <f>' SEFA (2)'!F15+' SEFA (2)'!F16</f>
        <v>141841</v>
      </c>
      <c r="G19" s="1343">
        <f>' SEFA (2)'!G15+' SEFA (2)'!G16</f>
        <v>136039</v>
      </c>
      <c r="H19" s="1343">
        <f>' SEFA (2)'!H15+' SEFA (2)'!H16</f>
        <v>0</v>
      </c>
      <c r="I19" s="1343">
        <f>' SEFA (2)'!I15+' SEFA (2)'!I16</f>
        <v>141841</v>
      </c>
      <c r="J19" s="1343">
        <f>' SEFA (2)'!J15+' SEFA (2)'!J16</f>
        <v>0</v>
      </c>
      <c r="K19" s="1343">
        <f>' SEFA (2)'!K15+' SEFA (2)'!K16</f>
        <v>0</v>
      </c>
      <c r="L19" s="1340">
        <f t="shared" si="0"/>
        <v>277880</v>
      </c>
      <c r="M19" s="1343"/>
    </row>
    <row r="20" spans="2:14" ht="20.100000000000001" customHeight="1" x14ac:dyDescent="0.2">
      <c r="B20" s="1337" t="s">
        <v>2178</v>
      </c>
      <c r="C20" s="1341"/>
      <c r="D20" s="1342"/>
      <c r="E20" s="1343">
        <f>' SEFA (3)'!E13</f>
        <v>0</v>
      </c>
      <c r="F20" s="1343">
        <f>' SEFA (3)'!F13</f>
        <v>31899</v>
      </c>
      <c r="G20" s="1343">
        <f>' SEFA (3)'!G13</f>
        <v>0</v>
      </c>
      <c r="H20" s="1343">
        <f>' SEFA (3)'!H13</f>
        <v>0</v>
      </c>
      <c r="I20" s="1343">
        <f>' SEFA (3)'!I13</f>
        <v>31899</v>
      </c>
      <c r="J20" s="1343">
        <f>' SEFA (3)'!J13</f>
        <v>0</v>
      </c>
      <c r="K20" s="1343">
        <f>' SEFA (3)'!K13</f>
        <v>0</v>
      </c>
      <c r="L20" s="1340">
        <f t="shared" si="0"/>
        <v>31899</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2129</v>
      </c>
      <c r="C22" s="1341"/>
      <c r="D22" s="1342"/>
      <c r="E22" s="1343">
        <f>SUM(E12:E21)</f>
        <v>1502857</v>
      </c>
      <c r="F22" s="1343">
        <f t="shared" ref="F22:K22" si="1">SUM(F12:F21)</f>
        <v>1835969</v>
      </c>
      <c r="G22" s="1343">
        <f t="shared" si="1"/>
        <v>1565674</v>
      </c>
      <c r="H22" s="1343">
        <f t="shared" si="1"/>
        <v>0</v>
      </c>
      <c r="I22" s="1343">
        <f t="shared" si="1"/>
        <v>1926311</v>
      </c>
      <c r="J22" s="1343">
        <f t="shared" si="1"/>
        <v>0</v>
      </c>
      <c r="K22" s="1343">
        <f t="shared" si="1"/>
        <v>0</v>
      </c>
      <c r="L22" s="1340">
        <f t="shared" si="0"/>
        <v>3491985</v>
      </c>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t="s">
        <v>2180</v>
      </c>
      <c r="C24" s="1341"/>
      <c r="D24" s="1342"/>
      <c r="E24" s="1343"/>
      <c r="F24" s="1343"/>
      <c r="G24" s="1343"/>
      <c r="H24" s="1343"/>
      <c r="I24" s="1343"/>
      <c r="J24" s="1343"/>
      <c r="K24" s="1343"/>
      <c r="L24" s="1340"/>
      <c r="M24" s="1343"/>
    </row>
    <row r="25" spans="2:14" ht="20.100000000000001" customHeight="1" x14ac:dyDescent="0.2">
      <c r="B25" s="1337" t="s">
        <v>2181</v>
      </c>
      <c r="C25" s="1341"/>
      <c r="D25" s="1342"/>
      <c r="E25" s="1343">
        <f>' SEFA (2)'!E20+' SEFA (2)'!E24</f>
        <v>674606</v>
      </c>
      <c r="F25" s="1343">
        <f>' SEFA (2)'!F20+' SEFA (2)'!F24</f>
        <v>774001</v>
      </c>
      <c r="G25" s="1343">
        <f>' SEFA (2)'!G20+' SEFA (2)'!G24</f>
        <v>674606</v>
      </c>
      <c r="H25" s="1343">
        <f>' SEFA (2)'!H20+' SEFA (2)'!H24</f>
        <v>0</v>
      </c>
      <c r="I25" s="1343">
        <f>' SEFA (2)'!I20+' SEFA (2)'!I24</f>
        <v>774001</v>
      </c>
      <c r="J25" s="1343">
        <f>' SEFA (2)'!J20+' SEFA (2)'!J24</f>
        <v>0</v>
      </c>
      <c r="K25" s="1343">
        <f>' SEFA (2)'!K20+' SEFA (2)'!K24</f>
        <v>0</v>
      </c>
      <c r="L25" s="1343">
        <f>' SEFA (2)'!L20+' SEFA (2)'!L24</f>
        <v>1448607</v>
      </c>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41DB9079-7F95-4228-8A4A-E6D48377DB38}" showGridLines="0" printArea="1" topLeftCell="A7">
      <selection activeCell="O18" sqref="O18"/>
      <pageMargins left="0.75" right="0.75" top="1" bottom="0.5" header="0.5" footer="0.5"/>
      <printOptions horizontalCentered="1"/>
      <pageSetup scale="70" firstPageNumber="38" orientation="landscape" r:id="rId1"/>
      <headerFooter>
        <oddFooter>&amp;C&amp;"Times New Roman,Regular"See Independent Auditor's Reports
&amp;P</oddFooter>
      </headerFooter>
    </customSheetView>
    <customSheetView guid="{D71D2A76-4AD5-4124-819F-51F94C4C53C9}" showGridLines="0" topLeftCell="A7">
      <selection activeCell="O18" sqref="O18"/>
      <pageMargins left="0.75" right="0.75" top="1" bottom="0.5" header="0.5" footer="0.5"/>
      <printOptions horizontalCentered="1"/>
      <pageSetup scale="70" firstPageNumber="38" orientation="landscape" r:id="rId2"/>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1" bottom="0.5" header="0.5" footer="0.5"/>
  <pageSetup scale="70" firstPageNumber="38" orientation="landscape" r:id="rId3"/>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D46" sqref="D4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Roxana CUSD 1</v>
      </c>
      <c r="C1" s="2478"/>
      <c r="D1" s="2478"/>
      <c r="E1" s="2478"/>
      <c r="F1" s="2478"/>
      <c r="G1" s="2478"/>
      <c r="H1" s="2478"/>
      <c r="I1" s="2478"/>
      <c r="J1" s="1422"/>
    </row>
    <row r="2" spans="2:10" s="317" customFormat="1" ht="12.75" customHeight="1" x14ac:dyDescent="0.2">
      <c r="B2" s="2479">
        <f>'Single Audit Cover'!E7</f>
        <v>41057001026</v>
      </c>
      <c r="C2" s="2480"/>
      <c r="D2" s="2480"/>
      <c r="E2" s="2480"/>
      <c r="F2" s="2480"/>
      <c r="G2" s="2480"/>
      <c r="H2" s="2480"/>
      <c r="I2" s="2480"/>
      <c r="J2" s="1422"/>
    </row>
    <row r="3" spans="2:10" s="317" customFormat="1" ht="12.75" customHeight="1" x14ac:dyDescent="0.2">
      <c r="B3" s="2481" t="s">
        <v>1346</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1345</v>
      </c>
      <c r="C7" s="2482"/>
      <c r="D7" s="2482"/>
      <c r="E7" s="2482"/>
      <c r="F7" s="2482"/>
      <c r="G7" s="2482"/>
      <c r="H7" s="2482"/>
      <c r="I7" s="2482"/>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3" t="s">
        <v>2149</v>
      </c>
      <c r="D11" s="2483"/>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2073</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2073</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4" t="s">
        <v>2182</v>
      </c>
      <c r="E29" s="2484"/>
      <c r="F29" s="2484"/>
      <c r="G29" s="2484"/>
      <c r="H29" s="2484"/>
      <c r="I29" s="2484"/>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2073</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85" t="s">
        <v>1850</v>
      </c>
      <c r="D37" s="2486"/>
      <c r="E37" s="2486"/>
      <c r="F37" s="2487"/>
      <c r="G37" s="2485" t="s">
        <v>1673</v>
      </c>
      <c r="H37" s="2486"/>
      <c r="I37" s="2487"/>
    </row>
    <row r="38" spans="2:9" ht="16.5" customHeight="1" x14ac:dyDescent="0.2">
      <c r="B38" s="1444" t="s">
        <v>2150</v>
      </c>
      <c r="C38" s="2473" t="s">
        <v>2151</v>
      </c>
      <c r="D38" s="2474"/>
      <c r="E38" s="2474"/>
      <c r="F38" s="2475"/>
      <c r="G38" s="2488">
        <v>675394</v>
      </c>
      <c r="H38" s="2489"/>
      <c r="I38" s="2490"/>
    </row>
    <row r="39" spans="2:9" ht="16.5" customHeight="1" x14ac:dyDescent="0.2">
      <c r="B39" s="1444">
        <v>10.555</v>
      </c>
      <c r="C39" s="2473" t="s">
        <v>2152</v>
      </c>
      <c r="D39" s="2474"/>
      <c r="E39" s="2474"/>
      <c r="F39" s="2475"/>
      <c r="G39" s="2476">
        <v>98607</v>
      </c>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1674</v>
      </c>
      <c r="D43" s="2467"/>
      <c r="E43" s="2467"/>
      <c r="F43" s="2468"/>
      <c r="G43" s="2469">
        <f>SUM(G38:I42)</f>
        <v>774001</v>
      </c>
      <c r="H43" s="2469"/>
      <c r="I43" s="2469"/>
    </row>
    <row r="44" spans="2:9" ht="12.75" customHeight="1" x14ac:dyDescent="0.2"/>
    <row r="45" spans="2:9" ht="12.75" customHeight="1" x14ac:dyDescent="0.2">
      <c r="B45" s="1435" t="s">
        <v>1948</v>
      </c>
      <c r="D45" s="2470">
        <v>1868455</v>
      </c>
      <c r="E45" s="2471"/>
    </row>
    <row r="46" spans="2:9" ht="5.25" customHeight="1" x14ac:dyDescent="0.2">
      <c r="B46" s="1445"/>
      <c r="D46" s="1446"/>
      <c r="E46" s="1447"/>
    </row>
    <row r="47" spans="2:9" ht="12.75" customHeight="1" x14ac:dyDescent="0.2">
      <c r="B47" s="1300" t="s">
        <v>1675</v>
      </c>
      <c r="C47" s="1300"/>
      <c r="D47" s="1448">
        <f>+G43/D45</f>
        <v>0.41424652988699218</v>
      </c>
      <c r="E47" s="1449"/>
      <c r="F47" s="1450"/>
      <c r="I47" s="1451"/>
    </row>
    <row r="48" spans="2:9" ht="9.9499999999999993" customHeight="1" x14ac:dyDescent="0.2"/>
    <row r="49" spans="1:9" x14ac:dyDescent="0.2">
      <c r="B49" s="1368" t="s">
        <v>1334</v>
      </c>
      <c r="C49" s="1282"/>
      <c r="D49" s="1282"/>
      <c r="E49" s="2472">
        <v>750000</v>
      </c>
      <c r="F49" s="2472"/>
      <c r="G49" s="2472"/>
      <c r="H49" s="322"/>
    </row>
    <row r="51" spans="1:9" ht="13.5" customHeight="1" x14ac:dyDescent="0.2">
      <c r="B51" s="1368" t="s">
        <v>1333</v>
      </c>
      <c r="C51" s="1282"/>
      <c r="E51" s="1438"/>
      <c r="F51" s="1300" t="s">
        <v>939</v>
      </c>
      <c r="G51" s="1438" t="s">
        <v>2073</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sheetProtection sheet="1" objects="1" scenarios="1"/>
  <customSheetViews>
    <customSheetView guid="{41DB9079-7F95-4228-8A4A-E6D48377DB38}" scale="110" showGridLines="0" printArea="1" topLeftCell="A22">
      <selection activeCell="D46" sqref="D46"/>
      <pageMargins left="0.75" right="0.75" top="1" bottom="0.5" header="0.5" footer="0.5"/>
      <printOptions horizontalCentered="1"/>
      <pageSetup scale="89" firstPageNumber="40" orientation="portrait" r:id="rId1"/>
      <headerFooter>
        <oddFooter>&amp;C&amp;"Times New Roman,Regular"See Independent Auditor's Reports
&amp;P</oddFooter>
      </headerFooter>
    </customSheetView>
    <customSheetView guid="{D71D2A76-4AD5-4124-819F-51F94C4C53C9}" scale="110" showGridLines="0" topLeftCell="A22">
      <selection activeCell="D46" sqref="D46"/>
      <pageMargins left="0.75" right="0.75" top="1" bottom="0.5" header="0.5" footer="0.5"/>
      <printOptions horizontalCentered="1"/>
      <pageSetup scale="89" firstPageNumber="40" orientation="portrait" r:id="rId2"/>
      <headerFooter>
        <oddFooter>&amp;C&amp;"Times New Roman,Regular"See Independent Auditor's Reports
&amp;P</oddFoot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9" firstPageNumber="40" orientation="portrait" r:id="rId3"/>
  <headerFooter>
    <oddFooter>&amp;C&amp;"Times New Roman,Regular"See Independent Auditor's Reports
&amp;P</odd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Roxana CUSD 1</v>
      </c>
      <c r="C1" s="2477"/>
      <c r="D1" s="2477"/>
      <c r="E1" s="2477"/>
      <c r="F1" s="2477"/>
      <c r="G1" s="2477"/>
      <c r="H1" s="2477"/>
      <c r="I1" s="2477"/>
      <c r="J1" s="2477"/>
      <c r="K1" s="2477"/>
      <c r="L1" s="1374"/>
      <c r="M1" s="1374"/>
    </row>
    <row r="2" spans="1:13" ht="12" customHeight="1" x14ac:dyDescent="0.2">
      <c r="B2" s="2479">
        <f>'Single Audit Cover'!E7</f>
        <v>41057001026</v>
      </c>
      <c r="C2" s="2479"/>
      <c r="D2" s="2479"/>
      <c r="E2" s="2479"/>
      <c r="F2" s="2479"/>
      <c r="G2" s="2479"/>
      <c r="H2" s="2479"/>
      <c r="I2" s="2479"/>
      <c r="J2" s="2479"/>
      <c r="K2" s="2479"/>
      <c r="L2" s="1375"/>
      <c r="M2" s="1376"/>
    </row>
    <row r="3" spans="1:13" ht="10.35" customHeight="1" x14ac:dyDescent="0.2">
      <c r="B3" s="2493" t="s">
        <v>1346</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1362</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2" t="s">
        <v>2092</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sheetProtection sheet="1" objects="1" scenarios="1"/>
  <customSheetViews>
    <customSheetView guid="{41DB9079-7F95-4228-8A4A-E6D48377DB38}" scale="110" showGridLines="0">
      <selection activeCell="B14" sqref="B14:K14"/>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D71D2A76-4AD5-4124-819F-51F94C4C53C9}" scale="110" showGridLines="0">
      <selection activeCell="B14" sqref="B14:K14"/>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3"/>
  <headerFooter>
    <oddFooter>&amp;C&amp;"Times New Roman,Regular"See Independent Auditor's Reports
&amp;P</oddFooter>
  </headerFooter>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1" zoomScale="110" zoomScaleNormal="110" workbookViewId="0">
      <selection activeCell="L20" sqref="L2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Roxana CUSD 1</v>
      </c>
      <c r="C1" s="2500"/>
      <c r="D1" s="2500"/>
      <c r="E1" s="2500"/>
      <c r="F1" s="2500"/>
      <c r="G1" s="2500"/>
      <c r="H1" s="2500"/>
      <c r="I1" s="2500"/>
      <c r="J1" s="2500"/>
      <c r="K1" s="2500"/>
      <c r="L1" s="1465"/>
    </row>
    <row r="2" spans="1:12" ht="12.75" customHeight="1" x14ac:dyDescent="0.2">
      <c r="B2" s="2501">
        <f>'Single Audit Cover'!E7</f>
        <v>41057001026</v>
      </c>
      <c r="C2" s="2501"/>
      <c r="D2" s="2501"/>
      <c r="E2" s="2501"/>
      <c r="F2" s="2501"/>
      <c r="G2" s="2501"/>
      <c r="H2" s="2501"/>
      <c r="I2" s="2501"/>
      <c r="J2" s="2501"/>
      <c r="K2" s="2501"/>
      <c r="L2" s="1466"/>
    </row>
    <row r="3" spans="1:12" ht="12.75" customHeight="1" x14ac:dyDescent="0.2">
      <c r="B3" s="2493" t="s">
        <v>1346</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1230</v>
      </c>
      <c r="C5" s="1260"/>
      <c r="L5" s="322"/>
    </row>
    <row r="6" spans="1:12" ht="30.75" customHeight="1" x14ac:dyDescent="0.2">
      <c r="A6" s="322"/>
      <c r="B6" s="2502" t="s">
        <v>1374</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7"/>
      <c r="E14" s="2497"/>
      <c r="F14" s="2497"/>
      <c r="H14" s="1475" t="s">
        <v>1369</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498"/>
      <c r="E16" s="2498"/>
      <c r="F16" s="2498"/>
      <c r="G16" s="2498"/>
      <c r="H16" s="2498"/>
      <c r="I16" s="2498"/>
      <c r="J16" s="2498"/>
      <c r="K16" s="2498"/>
      <c r="L16" s="322"/>
    </row>
    <row r="17" spans="2:12" ht="13.5" customHeight="1" x14ac:dyDescent="0.2">
      <c r="B17" s="1387" t="s">
        <v>1367</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2" t="s">
        <v>2092</v>
      </c>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customSheetViews>
    <customSheetView guid="{41DB9079-7F95-4228-8A4A-E6D48377DB38}" scale="110" showGridLines="0" printArea="1" topLeftCell="A11">
      <selection activeCell="L20" sqref="L20"/>
      <pageMargins left="0.75" right="0.75" top="1" bottom="0.5" header="0.5" footer="0.5"/>
      <printOptions horizontalCentered="1"/>
      <pageSetup scale="85" firstPageNumber="42" orientation="portrait" r:id="rId1"/>
      <headerFooter>
        <oddFooter>&amp;C&amp;"Times New Roman,Regular"See Independent Auditor's Reports
&amp;P</oddFooter>
      </headerFooter>
    </customSheetView>
    <customSheetView guid="{D71D2A76-4AD5-4124-819F-51F94C4C53C9}" scale="110" showGridLines="0" topLeftCell="A11">
      <selection activeCell="L20" sqref="L20"/>
      <pageMargins left="0.75" right="0.75" top="1" bottom="0.5" header="0.5" footer="0.5"/>
      <printOptions horizontalCentered="1"/>
      <pageSetup scale="85" firstPageNumber="42" orientation="portrait" r:id="rId2"/>
      <headerFooter>
        <oddFooter>&amp;C&amp;"Times New Roman,Regular"See Independent Auditor's Reports
&amp;P</oddFoot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5" firstPageNumber="42" orientation="portrait" r:id="rId3"/>
  <headerFooter>
    <oddFooter>&amp;C&amp;"Times New Roman,Regular"See Independent Auditor's Reports
&amp;P</odd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4" zoomScale="110" zoomScaleNormal="110" workbookViewId="0">
      <selection activeCell="C7" sqref="C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Roxana CUSD 1</v>
      </c>
      <c r="C1" s="2477"/>
      <c r="D1" s="2477"/>
      <c r="E1" s="1491"/>
    </row>
    <row r="2" spans="2:5" s="1282" customFormat="1" ht="12.75" customHeight="1" x14ac:dyDescent="0.2">
      <c r="B2" s="2479">
        <f>'Single Audit Cover'!E7</f>
        <v>41057001026</v>
      </c>
      <c r="C2" s="2479"/>
      <c r="D2" s="2479"/>
      <c r="E2" s="1492"/>
    </row>
    <row r="3" spans="2:5" ht="12.75" customHeight="1" x14ac:dyDescent="0.2">
      <c r="B3" s="2493" t="s">
        <v>1865</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t="s">
        <v>2092</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customSheetViews>
    <customSheetView guid="{41DB9079-7F95-4228-8A4A-E6D48377DB38}" scale="110" showGridLines="0" topLeftCell="A4">
      <selection activeCell="C7" sqref="C7"/>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D71D2A76-4AD5-4124-819F-51F94C4C53C9}" scale="110" showGridLines="0" topLeftCell="A4">
      <selection activeCell="C7" sqref="C7"/>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3"/>
  <headerFooter>
    <oddFooter>&amp;C&amp;"Times New Roman,Regular"See Independent Auditor's Reports
&amp;P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6" colorId="8" zoomScale="110" zoomScaleNormal="110" zoomScaleSheetLayoutView="170" workbookViewId="0">
      <selection activeCell="K6" sqref="K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403</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475857155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2.4500000000000001E-2</v>
      </c>
      <c r="E10" s="356" t="s">
        <v>1061</v>
      </c>
      <c r="F10" s="355">
        <v>5.7499999999999999E-3</v>
      </c>
      <c r="G10" s="356" t="s">
        <v>1061</v>
      </c>
      <c r="H10" s="355">
        <v>2E-3</v>
      </c>
      <c r="I10" s="356" t="s">
        <v>1062</v>
      </c>
      <c r="J10" s="1754">
        <f>ROUND(D10+F10+H10,5)</f>
        <v>3.2250000000000001E-2</v>
      </c>
      <c r="K10" s="222"/>
      <c r="L10" s="355">
        <v>0</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22039124</v>
      </c>
      <c r="E16" s="356"/>
      <c r="F16" s="1755">
        <f>SUM('Acct Summary 7-8'!C17,'Acct Summary 7-8'!D17,'Acct Summary 7-8'!F17)</f>
        <v>21813817</v>
      </c>
      <c r="G16" s="356"/>
      <c r="H16" s="1755">
        <f>SUM(D16-F16)</f>
        <v>225307</v>
      </c>
      <c r="I16" s="222"/>
      <c r="J16" s="1755">
        <f>SUM('Acct Summary 7-8'!C81,'Acct Summary 7-8'!D81,'Acct Summary 7-8'!F81,'Acct Summary 7-8'!I81)</f>
        <v>17340693</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65668287.390000008</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22029520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41DB9079-7F95-4228-8A4A-E6D48377DB38}" scale="170" colorId="8" showPageBreaks="1" showGridLines="0" hiddenRows="1" view="pageBreakPreview">
      <selection activeCell="K6" sqref="K6"/>
      <pageMargins left="0.75" right="0.75" top="1" bottom="0.5" header="0.5" footer="0.5"/>
      <printOptions horizontalCentered="1"/>
      <pageSetup scale="91" firstPageNumber="3" orientation="portrait" r:id="rId1"/>
      <headerFooter>
        <oddHeader>&amp;C&amp;"Times New Roman,Regular"ROXANA COMMUNITY UNIT SCHOOL DISTRICT NO. 1</oddHeader>
        <oddFooter>&amp;C&amp;"Times New Roman,Regular"
&amp;P</oddFooter>
      </headerFooter>
    </customSheetView>
    <customSheetView guid="{D71D2A76-4AD5-4124-819F-51F94C4C53C9}" scale="170" colorId="8" showPageBreaks="1" showGridLines="0" hiddenRows="1" view="pageBreakPreview">
      <selection activeCell="K6" sqref="K6"/>
      <pageMargins left="0.75" right="0.75" top="1" bottom="0.5" header="0.5" footer="0.5"/>
      <printOptions horizontalCentered="1"/>
      <pageSetup scale="91" firstPageNumber="3" orientation="portrait" r:id="rId2"/>
      <headerFooter>
        <oddHeader>&amp;C&amp;"Times New Roman,Regular"ROXANA COMMUNITY UNIT SCHOOL DISTRICT NO. 1</oddHeader>
        <oddFooter>&amp;C&amp;"Times New Roman,Regular"
&amp;P</oddFooter>
      </headerFooter>
    </customSheetView>
  </customSheetViews>
  <mergeCells count="4">
    <mergeCell ref="A1:M1"/>
    <mergeCell ref="B54:L58"/>
    <mergeCell ref="D11:J11"/>
    <mergeCell ref="C61:D61"/>
  </mergeCells>
  <phoneticPr fontId="12" type="noConversion"/>
  <printOptions horizontalCentered="1"/>
  <pageMargins left="0.75" right="0.75" top="1" bottom="0.5" header="0.5" footer="0.5"/>
  <pageSetup scale="91" firstPageNumber="3" orientation="portrait" r:id="rId3"/>
  <headerFooter>
    <oddHeader>&amp;C&amp;"Times New Roman,Regular"ROXANA COMMUNITY UNIT SCHOOL DISTRICT NO. 1</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zoomScale="60" zoomScaleNormal="110" workbookViewId="0">
      <selection activeCell="F64" sqref="F6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576</v>
      </c>
      <c r="B2" s="2120"/>
      <c r="C2" s="2120"/>
      <c r="D2" s="2120"/>
      <c r="E2" s="2120"/>
      <c r="F2" s="2120"/>
      <c r="G2" s="2120"/>
      <c r="H2" s="2120"/>
      <c r="I2" s="2120"/>
      <c r="J2" s="2120"/>
      <c r="K2" s="2120"/>
      <c r="L2" s="2120"/>
      <c r="M2" s="2120"/>
      <c r="N2" s="2120"/>
      <c r="O2" s="2120"/>
      <c r="P2" s="2120"/>
      <c r="Q2" s="2120"/>
      <c r="R2" s="2120"/>
    </row>
    <row r="3" spans="1:18" ht="12.75" x14ac:dyDescent="0.2">
      <c r="A3" s="2121" t="s">
        <v>1479</v>
      </c>
      <c r="B3" s="2121"/>
      <c r="C3" s="2121"/>
      <c r="D3" s="2121"/>
      <c r="E3" s="2121"/>
      <c r="F3" s="2121"/>
      <c r="G3" s="2121"/>
      <c r="H3" s="2121"/>
      <c r="I3" s="2121"/>
      <c r="J3" s="2121"/>
      <c r="K3" s="2121"/>
      <c r="L3" s="2121"/>
      <c r="M3" s="2121"/>
      <c r="N3" s="2121"/>
      <c r="O3" s="2121"/>
      <c r="P3" s="2121"/>
      <c r="Q3" s="2121"/>
      <c r="R3" s="2121"/>
    </row>
    <row r="4" spans="1:18" x14ac:dyDescent="0.2">
      <c r="A4" s="2122" t="s">
        <v>1634</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Roxana CUSD 1</v>
      </c>
      <c r="E7" s="391"/>
      <c r="G7" s="252"/>
      <c r="H7" s="387"/>
      <c r="I7" s="387"/>
      <c r="J7" s="387"/>
      <c r="K7" s="387"/>
      <c r="L7" s="329"/>
      <c r="M7" s="329"/>
      <c r="N7" s="329"/>
      <c r="O7" s="329"/>
      <c r="P7" s="329"/>
    </row>
    <row r="8" spans="1:18" ht="12.75" x14ac:dyDescent="0.2">
      <c r="A8" s="329"/>
      <c r="B8" s="329"/>
      <c r="C8" s="389" t="s">
        <v>1186</v>
      </c>
      <c r="D8" s="392">
        <f>COVER!A13</f>
        <v>41057001026</v>
      </c>
      <c r="E8" s="393"/>
      <c r="G8" s="329"/>
      <c r="H8" s="329"/>
      <c r="I8" s="329"/>
      <c r="J8" s="329"/>
      <c r="K8" s="329"/>
      <c r="L8" s="329"/>
      <c r="M8" s="329"/>
      <c r="N8" s="329"/>
      <c r="O8" s="329"/>
      <c r="P8" s="329"/>
    </row>
    <row r="9" spans="1:18" ht="12.75" x14ac:dyDescent="0.2">
      <c r="A9" s="329"/>
      <c r="B9" s="329"/>
      <c r="C9" s="389" t="s">
        <v>736</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17340693</v>
      </c>
      <c r="I12" s="404"/>
      <c r="J12" s="404"/>
      <c r="K12" s="405">
        <f>TRUNC((H12/H13*100000),5)/100000</f>
        <v>0.78681407660000002</v>
      </c>
      <c r="L12" s="406"/>
      <c r="M12" s="360" t="s">
        <v>1205</v>
      </c>
      <c r="N12" s="360"/>
      <c r="O12" s="407">
        <v>0.35</v>
      </c>
      <c r="P12" s="218"/>
      <c r="Q12" s="218"/>
    </row>
    <row r="13" spans="1:18" s="408" customFormat="1" ht="12.75" x14ac:dyDescent="0.2">
      <c r="A13" s="218"/>
      <c r="B13" s="401"/>
      <c r="C13" s="2118" t="s">
        <v>1390</v>
      </c>
      <c r="D13" s="2119"/>
      <c r="E13" s="218"/>
      <c r="F13" s="409" t="s">
        <v>825</v>
      </c>
      <c r="G13" s="402"/>
      <c r="H13" s="403">
        <f>SUM('Acct Summary 7-8'!C8+'Acct Summary 7-8'!D8+'Acct Summary 7-8'!F8+'Acct Summary 7-8'!I8)+H14</f>
        <v>22039124</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21813817</v>
      </c>
      <c r="I17" s="404"/>
      <c r="J17" s="416"/>
      <c r="K17" s="405">
        <f>TRUNC((H17/H18*100000),5)/100000</f>
        <v>0.98977695300000001</v>
      </c>
      <c r="L17" s="406"/>
      <c r="M17" s="417" t="s">
        <v>1232</v>
      </c>
      <c r="O17" s="418" t="str">
        <f>IF(AND(O16="2", J20 &gt; 2),"1",IF(AND(O16 = "1", J20 &gt; 2),"2",IF(AND(O16="1", J20 &gt;1),"1","0")))</f>
        <v>0</v>
      </c>
      <c r="P17" s="218"/>
    </row>
    <row r="18" spans="1:18" s="408" customFormat="1" ht="11.25" x14ac:dyDescent="0.2">
      <c r="A18" s="218"/>
      <c r="B18" s="401"/>
      <c r="C18" s="2118" t="s">
        <v>1383</v>
      </c>
      <c r="D18" s="2119"/>
      <c r="E18" s="218"/>
      <c r="F18" s="419" t="s">
        <v>826</v>
      </c>
      <c r="G18" s="402"/>
      <c r="H18" s="403">
        <f>SUM('Acct Summary 7-8'!C8+'Acct Summary 7-8'!D8+'Acct Summary 7-8'!F8+'Acct Summary 7-8'!I8)+H19</f>
        <v>22039124</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4</v>
      </c>
      <c r="P23" s="216"/>
      <c r="R23" s="384"/>
    </row>
    <row r="24" spans="1:18" s="408" customFormat="1" ht="11.25" x14ac:dyDescent="0.2">
      <c r="A24" s="218"/>
      <c r="B24" s="401"/>
      <c r="C24" s="2115" t="s">
        <v>1478</v>
      </c>
      <c r="D24" s="2115"/>
      <c r="E24" s="218"/>
      <c r="F24" s="218" t="s">
        <v>464</v>
      </c>
      <c r="G24" s="402"/>
      <c r="H24" s="403">
        <f>SUM('Assets-Liab 5-6'!C4+'Assets-Liab 5-6'!D4+'Assets-Liab 5-6'!F4+'Assets-Liab 5-6'!I4+'Assets-Liab 5-6'!C5+'Assets-Liab 5-6'!D5+'Assets-Liab 5-6'!F5+'Assets-Liab 5-6'!I5)</f>
        <v>17340693</v>
      </c>
      <c r="I24" s="422"/>
      <c r="J24" s="422"/>
      <c r="K24" s="423">
        <f>TRUNC(((H24/H25*100000)/100000),2)</f>
        <v>286.17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60593.936110000002</v>
      </c>
      <c r="I25" s="425"/>
      <c r="J25" s="425"/>
      <c r="K25" s="410"/>
      <c r="L25" s="218"/>
      <c r="M25" s="360" t="s">
        <v>1206</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13044434.26144</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22029520</v>
      </c>
      <c r="I32" s="420"/>
      <c r="J32" s="420"/>
      <c r="K32" s="423">
        <f>TRUNC(100-((((H32/H33*100))*100)/100),2)</f>
        <v>66.45</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65668287.390000008</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41DB9079-7F95-4228-8A4A-E6D48377DB38}" scale="60" showPageBreaks="1" showGridLines="0" hiddenColumns="1" view="pageBreakPreview">
      <selection activeCell="F64" sqref="F64"/>
      <pageMargins left="0.75" right="0.75" top="1" bottom="0.5" header="0.5" footer="0.5"/>
      <printOptions horizontalCentered="1"/>
      <pageSetup scale="78" firstPageNumber="4" orientation="landscape" r:id="rId1"/>
      <headerFooter>
        <oddHeader>&amp;C&amp;"Times New Roman,Regular"ROXANA COMMUNITY UNIT SCHOOL DISTRICT NO. 1</oddHeader>
        <oddFooter>&amp;C&amp;"Times New Roman,Regular"
&amp;P</oddFooter>
      </headerFooter>
    </customSheetView>
    <customSheetView guid="{D71D2A76-4AD5-4124-819F-51F94C4C53C9}" scale="60" showPageBreaks="1" showGridLines="0" hiddenColumns="1" view="pageBreakPreview">
      <selection activeCell="F64" sqref="F64"/>
      <pageMargins left="0.75" right="0.75" top="1" bottom="0.5" header="0.5" footer="0.5"/>
      <printOptions horizontalCentered="1"/>
      <pageSetup scale="78" firstPageNumber="4" orientation="landscape" r:id="rId2"/>
      <headerFooter>
        <oddHeader>&amp;C&amp;"Times New Roman,Regular"ROXANA COMMUNITY UNIT SCHOOL DISTRICT NO. 1</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2" type="noConversion"/>
  <hyperlinks>
    <hyperlink ref="A4" r:id="rId3" display="www.isbe.net/sfms/p/profile.htm"/>
    <hyperlink ref="A4:R4" r:id="rId4" display="https://www.isbe.net/Pages/School-District-Financial-Profile.aspx"/>
  </hyperlinks>
  <printOptions horizontalCentered="1"/>
  <pageMargins left="0.75" right="0.75" top="1" bottom="0.5" header="0.5" footer="0.5"/>
  <pageSetup scale="78" firstPageNumber="4" orientation="landscape" r:id="rId5"/>
  <headerFooter>
    <oddHeader>&amp;C&amp;"Times New Roman,Regular"ROXANA COMMUNITY UNIT SCHOOL DISTRICT NO. 1</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BreakPreview" colorId="8" zoomScaleNormal="110" zoomScaleSheetLayoutView="100" workbookViewId="0">
      <pane ySplit="2" topLeftCell="A3" activePane="bottomLeft" state="frozen"/>
      <selection activeCell="AF38" sqref="AF38"/>
      <selection pane="bottomLeft" activeCell="K36" sqref="K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4"/>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5" t="s">
        <v>1029</v>
      </c>
      <c r="B3" s="2126"/>
      <c r="C3" s="1581"/>
      <c r="D3" s="1582"/>
      <c r="E3" s="1582"/>
      <c r="F3" s="1582"/>
      <c r="G3" s="1582"/>
      <c r="H3" s="1582"/>
      <c r="I3" s="1582"/>
      <c r="J3" s="1582"/>
      <c r="K3" s="1582"/>
      <c r="L3" s="1582"/>
      <c r="M3" s="1583"/>
      <c r="N3" s="1584"/>
    </row>
    <row r="4" spans="1:14" ht="13.5" customHeight="1" x14ac:dyDescent="0.2">
      <c r="A4" s="463" t="s">
        <v>1749</v>
      </c>
      <c r="B4" s="464"/>
      <c r="C4" s="465">
        <v>12006408</v>
      </c>
      <c r="D4" s="466">
        <v>1853235</v>
      </c>
      <c r="E4" s="466">
        <v>97529</v>
      </c>
      <c r="F4" s="466">
        <v>1139425</v>
      </c>
      <c r="G4" s="466">
        <v>725598</v>
      </c>
      <c r="H4" s="466">
        <v>669051</v>
      </c>
      <c r="I4" s="466">
        <v>2341625</v>
      </c>
      <c r="J4" s="467">
        <v>33750</v>
      </c>
      <c r="K4" s="466">
        <v>226047</v>
      </c>
      <c r="L4" s="466">
        <v>176910</v>
      </c>
      <c r="M4" s="468"/>
      <c r="N4" s="469"/>
    </row>
    <row r="5" spans="1:14" x14ac:dyDescent="0.2">
      <c r="A5" s="463" t="s">
        <v>1048</v>
      </c>
      <c r="B5" s="470">
        <v>120</v>
      </c>
      <c r="C5" s="465"/>
      <c r="D5" s="466"/>
      <c r="E5" s="466">
        <v>1544888</v>
      </c>
      <c r="F5" s="466"/>
      <c r="G5" s="466"/>
      <c r="H5" s="466"/>
      <c r="I5" s="466"/>
      <c r="J5" s="467"/>
      <c r="K5" s="471"/>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12006408</v>
      </c>
      <c r="D13" s="1759">
        <f t="shared" ref="D13:L13" si="0">SUM(D4:D12)</f>
        <v>1853235</v>
      </c>
      <c r="E13" s="1759">
        <f t="shared" si="0"/>
        <v>1642417</v>
      </c>
      <c r="F13" s="1759">
        <f t="shared" si="0"/>
        <v>1139425</v>
      </c>
      <c r="G13" s="1759">
        <f t="shared" si="0"/>
        <v>725598</v>
      </c>
      <c r="H13" s="1759">
        <f t="shared" si="0"/>
        <v>669051</v>
      </c>
      <c r="I13" s="1759">
        <f t="shared" si="0"/>
        <v>2341625</v>
      </c>
      <c r="J13" s="1759">
        <f t="shared" si="0"/>
        <v>33750</v>
      </c>
      <c r="K13" s="1759">
        <f t="shared" si="0"/>
        <v>226047</v>
      </c>
      <c r="L13" s="1759">
        <f t="shared" si="0"/>
        <v>176910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40021</v>
      </c>
      <c r="N16" s="484"/>
    </row>
    <row r="17" spans="1:14" s="485" customFormat="1" ht="12.75" customHeight="1" x14ac:dyDescent="0.2">
      <c r="A17" s="482" t="s">
        <v>1469</v>
      </c>
      <c r="B17" s="483">
        <v>230</v>
      </c>
      <c r="C17" s="477"/>
      <c r="D17" s="477"/>
      <c r="E17" s="477"/>
      <c r="F17" s="477"/>
      <c r="G17" s="477"/>
      <c r="H17" s="477"/>
      <c r="I17" s="477"/>
      <c r="J17" s="477"/>
      <c r="K17" s="477"/>
      <c r="L17" s="477"/>
      <c r="M17" s="467">
        <v>52582237</v>
      </c>
      <c r="N17" s="484"/>
    </row>
    <row r="18" spans="1:14" s="485" customFormat="1" ht="12.75" customHeight="1" x14ac:dyDescent="0.2">
      <c r="A18" s="482" t="s">
        <v>1470</v>
      </c>
      <c r="B18" s="483">
        <v>240</v>
      </c>
      <c r="C18" s="477"/>
      <c r="D18" s="477"/>
      <c r="E18" s="477"/>
      <c r="F18" s="477"/>
      <c r="G18" s="477"/>
      <c r="H18" s="477"/>
      <c r="I18" s="477"/>
      <c r="J18" s="477"/>
      <c r="K18" s="477"/>
      <c r="L18" s="477"/>
      <c r="M18" s="467">
        <v>345025</v>
      </c>
      <c r="N18" s="484"/>
    </row>
    <row r="19" spans="1:14" s="485" customFormat="1" ht="12.75" customHeight="1" x14ac:dyDescent="0.2">
      <c r="A19" s="482" t="s">
        <v>1471</v>
      </c>
      <c r="B19" s="483">
        <v>250</v>
      </c>
      <c r="C19" s="477"/>
      <c r="D19" s="477"/>
      <c r="E19" s="477"/>
      <c r="F19" s="477"/>
      <c r="G19" s="477"/>
      <c r="H19" s="477"/>
      <c r="I19" s="477"/>
      <c r="J19" s="477"/>
      <c r="K19" s="477"/>
      <c r="L19" s="477"/>
      <c r="M19" s="467">
        <v>9207251</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1642417</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20387103</v>
      </c>
    </row>
    <row r="23" spans="1:14" ht="13.5" customHeight="1" thickBot="1" x14ac:dyDescent="0.25">
      <c r="A23" s="1758" t="s">
        <v>663</v>
      </c>
      <c r="B23" s="1763"/>
      <c r="C23" s="468"/>
      <c r="D23" s="468"/>
      <c r="E23" s="468"/>
      <c r="F23" s="468"/>
      <c r="G23" s="468"/>
      <c r="H23" s="468"/>
      <c r="I23" s="468"/>
      <c r="J23" s="468"/>
      <c r="K23" s="468"/>
      <c r="L23" s="468"/>
      <c r="M23" s="1710">
        <f>SUM(M15:M22)</f>
        <v>62174534</v>
      </c>
      <c r="N23" s="1710">
        <f>SUM(N21:N22)</f>
        <v>22029520</v>
      </c>
    </row>
    <row r="24" spans="1:14" ht="18" customHeight="1" thickTop="1" x14ac:dyDescent="0.2">
      <c r="A24" s="2129" t="s">
        <v>618</v>
      </c>
      <c r="B24" s="2130"/>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176910</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176910</v>
      </c>
      <c r="M34" s="468"/>
      <c r="N34" s="480"/>
    </row>
    <row r="35" spans="1:14" ht="18" customHeight="1" thickTop="1" x14ac:dyDescent="0.2">
      <c r="A35" s="2131" t="s">
        <v>549</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22029520</v>
      </c>
    </row>
    <row r="37" spans="1:14" ht="13.5" thickBot="1" x14ac:dyDescent="0.25">
      <c r="A37" s="1758" t="s">
        <v>673</v>
      </c>
      <c r="B37" s="1763"/>
      <c r="C37" s="477"/>
      <c r="D37" s="477"/>
      <c r="E37" s="477"/>
      <c r="F37" s="477"/>
      <c r="G37" s="477"/>
      <c r="H37" s="477"/>
      <c r="I37" s="477"/>
      <c r="J37" s="477"/>
      <c r="K37" s="477"/>
      <c r="L37" s="480"/>
      <c r="M37" s="468"/>
      <c r="N37" s="1710">
        <f>SUM(N36:N36)</f>
        <v>22029520</v>
      </c>
    </row>
    <row r="38" spans="1:14" s="329" customFormat="1" ht="13.5" customHeight="1" thickTop="1" x14ac:dyDescent="0.2">
      <c r="A38" s="496" t="s">
        <v>439</v>
      </c>
      <c r="B38" s="483">
        <v>714</v>
      </c>
      <c r="C38" s="466"/>
      <c r="D38" s="466"/>
      <c r="E38" s="466"/>
      <c r="F38" s="466"/>
      <c r="G38" s="466">
        <v>301257</v>
      </c>
      <c r="H38" s="466"/>
      <c r="I38" s="466"/>
      <c r="J38" s="467"/>
      <c r="K38" s="466"/>
      <c r="L38" s="481"/>
      <c r="M38" s="497"/>
      <c r="N38" s="497"/>
    </row>
    <row r="39" spans="1:14" s="329" customFormat="1" ht="13.5" customHeight="1" x14ac:dyDescent="0.2">
      <c r="A39" s="496" t="s">
        <v>359</v>
      </c>
      <c r="B39" s="483">
        <v>730</v>
      </c>
      <c r="C39" s="466">
        <v>12006408</v>
      </c>
      <c r="D39" s="466">
        <v>1853235</v>
      </c>
      <c r="E39" s="466">
        <v>1642417</v>
      </c>
      <c r="F39" s="466">
        <v>1139425</v>
      </c>
      <c r="G39" s="466">
        <v>424341</v>
      </c>
      <c r="H39" s="466">
        <v>669051</v>
      </c>
      <c r="I39" s="466">
        <v>2341625</v>
      </c>
      <c r="J39" s="467">
        <v>33750</v>
      </c>
      <c r="K39" s="466">
        <v>226047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62174534</v>
      </c>
      <c r="N40" s="497"/>
    </row>
    <row r="41" spans="1:14" ht="13.5" customHeight="1" thickBot="1" x14ac:dyDescent="0.25">
      <c r="A41" s="1758" t="s">
        <v>675</v>
      </c>
      <c r="B41" s="1728"/>
      <c r="C41" s="1710">
        <f>(SUM(C34,C37,C38,C39))</f>
        <v>12006408</v>
      </c>
      <c r="D41" s="1710">
        <f t="shared" ref="D41:L41" si="2">SUM(D34,D37,D38:D39)</f>
        <v>1853235</v>
      </c>
      <c r="E41" s="1710">
        <f t="shared" si="2"/>
        <v>1642417</v>
      </c>
      <c r="F41" s="1710">
        <f t="shared" si="2"/>
        <v>1139425</v>
      </c>
      <c r="G41" s="1710">
        <f t="shared" si="2"/>
        <v>725598</v>
      </c>
      <c r="H41" s="1710">
        <f t="shared" si="2"/>
        <v>669051</v>
      </c>
      <c r="I41" s="1710">
        <f t="shared" si="2"/>
        <v>2341625</v>
      </c>
      <c r="J41" s="1710">
        <f t="shared" si="2"/>
        <v>33750</v>
      </c>
      <c r="K41" s="1710">
        <f t="shared" si="2"/>
        <v>226047</v>
      </c>
      <c r="L41" s="1710">
        <f t="shared" si="2"/>
        <v>176910</v>
      </c>
      <c r="M41" s="1710">
        <f>SUM(M40)</f>
        <v>62174534</v>
      </c>
      <c r="N41" s="1710">
        <f>SUM(N37)</f>
        <v>22029520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41DB9079-7F95-4228-8A4A-E6D48377DB38}" colorId="8" showPageBreaks="1" showGridLines="0" view="pageBreakPreview">
      <pane ySplit="2" topLeftCell="A3" activePane="bottomLeft" state="frozen"/>
      <selection pane="bottomLeft" activeCell="K36" sqref="K36"/>
      <pageMargins left="0.75" right="0.75" top="1.75" bottom="0.5" header="0.5" footer="0.5"/>
      <printOptions horizontalCentered="1"/>
      <pageSetup scale="56" firstPageNumber="13" orientation="landscape" useFirstPageNumber="1" r:id="rId1"/>
      <headerFooter>
        <oddHeader>&amp;C&amp;"Times New Roman,Regular"ROXANA COMMUNITY UNIT SCHOOL DISTRICT NO. 1
STATEMENT OF ASSETS AND LIABILITIES ARISING FROM CASH TRANSACTIONS - CASH - REGULATORY BASIS
ALL FUNDS AND ACCOUNT GROUPS
JUNE 30, 2018</oddHeader>
        <oddFooter>&amp;C&amp;"Times New Roman,Regular"See Notes to Financial Statements and Independent Auditor's Reports
&amp;P</oddFooter>
      </headerFooter>
    </customSheetView>
    <customSheetView guid="{D71D2A76-4AD5-4124-819F-51F94C4C53C9}" colorId="8" showPageBreaks="1" showGridLines="0" view="pageBreakPreview">
      <pane ySplit="2" topLeftCell="A3" activePane="bottomLeft" state="frozen"/>
      <selection pane="bottomLeft" activeCell="K36" sqref="K36"/>
      <pageMargins left="0.75" right="0.75" top="1.75" bottom="0.5" header="0.5" footer="0.5"/>
      <printOptions horizontalCentered="1"/>
      <pageSetup scale="56" firstPageNumber="13" orientation="landscape" useFirstPageNumber="1" r:id="rId2"/>
      <headerFooter>
        <oddHeader>&amp;C&amp;"Times New Roman,Regular"ROXANA COMMUNITY UNIT SCHOOL DISTRICT NO. 1
STATEMENT OF ASSETS AND LIABILITIES ARISING FROM CASH TRANSACTIONS - CASH - REGULATORY BASIS
ALL FUNDS AND ACCOUNT GROUPS
JUNE 30, 2018</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2" type="noConversion"/>
  <printOptions horizontalCentered="1" gridLinesSet="0"/>
  <pageMargins left="0.75" right="0.75" top="1.75" bottom="0.5" header="0.5" footer="0.5"/>
  <pageSetup scale="56" firstPageNumber="13" orientation="landscape" useFirstPageNumber="1" r:id="rId3"/>
  <headerFooter>
    <oddHeader>&amp;C&amp;"Times New Roman,Regular"ROXANA COMMUNITY UNIT SCHOOL DISTRICT NO. 1
STATEMENT OF ASSETS AND LIABILITIES ARISING FROM CASH TRANSACTIONS - CASH - REGULATORY BASIS
ALL FUNDS AND ACCOUNT GROUPS
JUNE 30, 2018</oddHeader>
    <oddFooter>&amp;C&amp;"Times New Roman,Regular"See Notes to Financial Statements and Independent Auditor's Reports
&amp;P</oddFooter>
  </headerFooter>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80" workbookViewId="0">
      <pane ySplit="2" topLeftCell="A3" activePane="bottomLeft" state="frozenSplit"/>
      <selection activeCell="AF38" sqref="AF38"/>
      <selection pane="bottomLeft" activeCell="K87" sqref="K8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2"/>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3" t="s">
        <v>1236</v>
      </c>
      <c r="B3" s="2154"/>
      <c r="C3" s="1595"/>
      <c r="D3" s="1596"/>
      <c r="E3" s="1596"/>
      <c r="F3" s="1596"/>
      <c r="G3" s="1596"/>
      <c r="H3" s="1596"/>
      <c r="I3" s="1596"/>
      <c r="J3" s="1596"/>
      <c r="K3" s="1597"/>
      <c r="L3" s="506"/>
    </row>
    <row r="4" spans="1:13" ht="15.75" customHeight="1" x14ac:dyDescent="0.2">
      <c r="A4" s="1954" t="s">
        <v>1578</v>
      </c>
      <c r="B4" s="1955">
        <v>1000</v>
      </c>
      <c r="C4" s="1764">
        <f>'Revenues 9-14'!C109</f>
        <v>13114946</v>
      </c>
      <c r="D4" s="1764">
        <f>'Revenues 9-14'!D109</f>
        <v>2688992</v>
      </c>
      <c r="E4" s="1764">
        <f>'Revenues 9-14'!E109</f>
        <v>2036114</v>
      </c>
      <c r="F4" s="1764">
        <f>'Revenues 9-14'!F109</f>
        <v>957693</v>
      </c>
      <c r="G4" s="1764">
        <f>'Revenues 9-14'!G109</f>
        <v>940830</v>
      </c>
      <c r="H4" s="1764">
        <f>'Revenues 9-14'!H109</f>
        <v>53174</v>
      </c>
      <c r="I4" s="1764">
        <f>'Revenues 9-14'!I109</f>
        <v>27733</v>
      </c>
      <c r="J4" s="1764">
        <f>'Revenues 9-14'!J109</f>
        <v>613010</v>
      </c>
      <c r="K4" s="1764">
        <f>'Revenues 9-14'!K109</f>
        <v>233197</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3025556</v>
      </c>
      <c r="D6" s="1765">
        <f>'Revenues 9-14'!D173</f>
        <v>0</v>
      </c>
      <c r="E6" s="1765">
        <f>'Revenues 9-14'!E173</f>
        <v>0</v>
      </c>
      <c r="F6" s="1765">
        <f>'Revenues 9-14'!F173</f>
        <v>291372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1917832</v>
      </c>
      <c r="D7" s="1765">
        <f>'Revenues 9-14'!D274</f>
        <v>15000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18058334</v>
      </c>
      <c r="D8" s="1710">
        <f t="shared" ref="D8:K8" si="0">SUM(D4:D7)</f>
        <v>2703992</v>
      </c>
      <c r="E8" s="1710">
        <f t="shared" si="0"/>
        <v>2036114</v>
      </c>
      <c r="F8" s="1710">
        <f t="shared" si="0"/>
        <v>1249065</v>
      </c>
      <c r="G8" s="1710">
        <f t="shared" si="0"/>
        <v>940830</v>
      </c>
      <c r="H8" s="1710">
        <f t="shared" si="0"/>
        <v>53174</v>
      </c>
      <c r="I8" s="1710">
        <f t="shared" si="0"/>
        <v>27733</v>
      </c>
      <c r="J8" s="1710">
        <f t="shared" si="0"/>
        <v>613010</v>
      </c>
      <c r="K8" s="1710">
        <f t="shared" si="0"/>
        <v>233197</v>
      </c>
      <c r="L8" s="347"/>
    </row>
    <row r="9" spans="1:13" ht="15.75" thickTop="1" x14ac:dyDescent="0.2">
      <c r="A9" s="514" t="s">
        <v>1751</v>
      </c>
      <c r="B9" s="515">
        <v>3998</v>
      </c>
      <c r="C9" s="481">
        <v>8887230</v>
      </c>
      <c r="D9" s="516"/>
      <c r="E9" s="481"/>
      <c r="F9" s="481"/>
      <c r="G9" s="517"/>
      <c r="H9" s="481"/>
      <c r="I9" s="509" t="s">
        <v>1230</v>
      </c>
      <c r="J9" s="478"/>
      <c r="K9" s="481"/>
      <c r="L9" s="347"/>
    </row>
    <row r="10" spans="1:13" s="519" customFormat="1" ht="13.5" thickBot="1" x14ac:dyDescent="0.25">
      <c r="A10" s="1758" t="s">
        <v>1234</v>
      </c>
      <c r="B10" s="1731"/>
      <c r="C10" s="1710">
        <f>SUM(C8:C9)</f>
        <v>26945564</v>
      </c>
      <c r="D10" s="1710">
        <f t="shared" ref="D10:K10" si="1">SUM(D8:D9)</f>
        <v>2703992</v>
      </c>
      <c r="E10" s="1710">
        <f t="shared" si="1"/>
        <v>2036114</v>
      </c>
      <c r="F10" s="1710">
        <f t="shared" si="1"/>
        <v>1249065</v>
      </c>
      <c r="G10" s="1710">
        <f t="shared" si="1"/>
        <v>940830</v>
      </c>
      <c r="H10" s="1710">
        <f t="shared" si="1"/>
        <v>53174</v>
      </c>
      <c r="I10" s="1710">
        <f t="shared" si="1"/>
        <v>27733</v>
      </c>
      <c r="J10" s="1710">
        <f t="shared" si="1"/>
        <v>613010</v>
      </c>
      <c r="K10" s="1710">
        <f t="shared" si="1"/>
        <v>233197</v>
      </c>
      <c r="L10" s="518"/>
    </row>
    <row r="11" spans="1:13" s="519" customFormat="1" ht="16.7" customHeight="1" thickTop="1" x14ac:dyDescent="0.2">
      <c r="A11" s="2127" t="s">
        <v>1237</v>
      </c>
      <c r="B11" s="2128"/>
      <c r="C11" s="1592"/>
      <c r="D11" s="1593"/>
      <c r="E11" s="1593"/>
      <c r="F11" s="1593"/>
      <c r="G11" s="1593"/>
      <c r="H11" s="1593"/>
      <c r="I11" s="1593"/>
      <c r="J11" s="1593"/>
      <c r="K11" s="1594"/>
      <c r="L11" s="518"/>
    </row>
    <row r="12" spans="1:13" ht="15.75" customHeight="1" x14ac:dyDescent="0.2">
      <c r="A12" s="1598" t="s">
        <v>475</v>
      </c>
      <c r="B12" s="1600">
        <v>1000</v>
      </c>
      <c r="C12" s="1764">
        <f>'Expenditures 15-22'!K33</f>
        <v>12376513</v>
      </c>
      <c r="D12" s="520" t="s">
        <v>1230</v>
      </c>
      <c r="E12" s="468" t="s">
        <v>1230</v>
      </c>
      <c r="F12" s="468" t="s">
        <v>1230</v>
      </c>
      <c r="G12" s="1764">
        <f>'Expenditures 15-22'!K229</f>
        <v>247439</v>
      </c>
      <c r="H12" s="521"/>
      <c r="I12" s="468" t="s">
        <v>1230</v>
      </c>
      <c r="J12" s="468" t="s">
        <v>1230</v>
      </c>
      <c r="K12" s="521" t="s">
        <v>1230</v>
      </c>
      <c r="L12" s="347"/>
    </row>
    <row r="13" spans="1:13" ht="15.75" customHeight="1" x14ac:dyDescent="0.2">
      <c r="A13" s="1598" t="s">
        <v>476</v>
      </c>
      <c r="B13" s="1600">
        <v>2000</v>
      </c>
      <c r="C13" s="1765">
        <f>'Expenditures 15-22'!K74</f>
        <v>5324270</v>
      </c>
      <c r="D13" s="1765">
        <f>'Expenditures 15-22'!K129</f>
        <v>2782372</v>
      </c>
      <c r="E13" s="469" t="s">
        <v>1230</v>
      </c>
      <c r="F13" s="1765">
        <f>'Expenditures 15-22'!K184</f>
        <v>1217850</v>
      </c>
      <c r="G13" s="1765">
        <f>'Expenditures 15-22'!K279</f>
        <v>660999</v>
      </c>
      <c r="H13" s="1765">
        <f>'Expenditures 15-22'!K303</f>
        <v>1485598</v>
      </c>
      <c r="I13" s="468" t="s">
        <v>1230</v>
      </c>
      <c r="J13" s="1765">
        <f>'Expenditures 15-22'!K330</f>
        <v>617147</v>
      </c>
      <c r="K13" s="1769">
        <f>'Expenditures 15-22'!K352</f>
        <v>249794</v>
      </c>
      <c r="L13" s="347"/>
    </row>
    <row r="14" spans="1:13" ht="15.75" customHeight="1" x14ac:dyDescent="0.2">
      <c r="A14" s="1598" t="s">
        <v>468</v>
      </c>
      <c r="B14" s="1600">
        <v>3000</v>
      </c>
      <c r="C14" s="1765">
        <f>'Expenditures 15-22'!K75</f>
        <v>78985</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33827</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2245638</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17813595</v>
      </c>
      <c r="D17" s="1710">
        <f t="shared" si="2"/>
        <v>2782372</v>
      </c>
      <c r="E17" s="1710">
        <f t="shared" si="2"/>
        <v>2245638</v>
      </c>
      <c r="F17" s="1710">
        <f t="shared" si="2"/>
        <v>1217850</v>
      </c>
      <c r="G17" s="1710">
        <f t="shared" si="2"/>
        <v>908438</v>
      </c>
      <c r="H17" s="1710">
        <f t="shared" si="2"/>
        <v>1485598</v>
      </c>
      <c r="I17" s="468"/>
      <c r="J17" s="1710">
        <f>SUM(J12:J16)</f>
        <v>617147</v>
      </c>
      <c r="K17" s="1710">
        <f>SUM(K12:K16)</f>
        <v>249794</v>
      </c>
      <c r="L17" s="347"/>
    </row>
    <row r="18" spans="1:12" ht="15" customHeight="1" thickTop="1" x14ac:dyDescent="0.2">
      <c r="A18" s="1766" t="s">
        <v>1752</v>
      </c>
      <c r="B18" s="1767">
        <v>4180</v>
      </c>
      <c r="C18" s="1764">
        <f t="shared" ref="C18:H18" si="3">C9</f>
        <v>8887230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26700825</v>
      </c>
      <c r="D19" s="1710">
        <f t="shared" si="4"/>
        <v>2782372</v>
      </c>
      <c r="E19" s="1710">
        <f t="shared" si="4"/>
        <v>2245638</v>
      </c>
      <c r="F19" s="1710">
        <f t="shared" si="4"/>
        <v>1217850</v>
      </c>
      <c r="G19" s="1710">
        <f t="shared" si="4"/>
        <v>908438</v>
      </c>
      <c r="H19" s="1710">
        <f t="shared" si="4"/>
        <v>1485598</v>
      </c>
      <c r="I19" s="468"/>
      <c r="J19" s="1710">
        <f>SUM(J17:J18)</f>
        <v>617147</v>
      </c>
      <c r="K19" s="1710">
        <f>SUM(K17:K18)</f>
        <v>249794</v>
      </c>
      <c r="L19" s="347"/>
    </row>
    <row r="20" spans="1:12" ht="16.5" thickTop="1" thickBot="1" x14ac:dyDescent="0.25">
      <c r="A20" s="2143" t="s">
        <v>1753</v>
      </c>
      <c r="B20" s="2144"/>
      <c r="C20" s="1768">
        <f>C8-C17</f>
        <v>244739</v>
      </c>
      <c r="D20" s="1768">
        <f t="shared" ref="D20:K20" si="5">D8-D17</f>
        <v>-78380</v>
      </c>
      <c r="E20" s="1768">
        <f t="shared" si="5"/>
        <v>-209524</v>
      </c>
      <c r="F20" s="1768">
        <f t="shared" si="5"/>
        <v>31215</v>
      </c>
      <c r="G20" s="1768">
        <f t="shared" si="5"/>
        <v>32392</v>
      </c>
      <c r="H20" s="1768">
        <f t="shared" si="5"/>
        <v>-1432424</v>
      </c>
      <c r="I20" s="1768">
        <f t="shared" si="5"/>
        <v>27733</v>
      </c>
      <c r="J20" s="1768">
        <f t="shared" si="5"/>
        <v>-4137</v>
      </c>
      <c r="K20" s="1768">
        <f t="shared" si="5"/>
        <v>-16597</v>
      </c>
      <c r="L20" s="347"/>
    </row>
    <row r="21" spans="1:12" ht="16.7" customHeight="1" thickTop="1" x14ac:dyDescent="0.2">
      <c r="A21" s="2155" t="s">
        <v>615</v>
      </c>
      <c r="B21" s="2156"/>
      <c r="C21" s="1592"/>
      <c r="D21" s="1593"/>
      <c r="E21" s="1593"/>
      <c r="F21" s="1593"/>
      <c r="G21" s="1593"/>
      <c r="H21" s="1593"/>
      <c r="I21" s="1593"/>
      <c r="J21" s="1593"/>
      <c r="K21" s="1594"/>
      <c r="L21" s="524"/>
    </row>
    <row r="22" spans="1:12" ht="15.75" customHeight="1" collapsed="1" x14ac:dyDescent="0.2">
      <c r="A22" s="2151" t="s">
        <v>616</v>
      </c>
      <c r="B22" s="2152"/>
      <c r="C22" s="477"/>
      <c r="D22" s="477"/>
      <c r="E22" s="477"/>
      <c r="F22" s="477"/>
      <c r="G22" s="477"/>
      <c r="H22" s="477"/>
      <c r="I22" s="477"/>
      <c r="J22" s="477"/>
      <c r="K22" s="477"/>
      <c r="L22" s="347"/>
    </row>
    <row r="23" spans="1:12" s="485" customFormat="1" ht="15.75" customHeight="1" x14ac:dyDescent="0.2">
      <c r="A23" s="2147" t="s">
        <v>310</v>
      </c>
      <c r="B23" s="214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v>27500</v>
      </c>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49" t="s">
        <v>1037</v>
      </c>
      <c r="B32" s="2150"/>
      <c r="C32" s="477"/>
      <c r="D32" s="477"/>
      <c r="E32" s="475"/>
      <c r="F32" s="477"/>
      <c r="G32" s="477"/>
      <c r="H32" s="477"/>
      <c r="I32" s="477"/>
      <c r="J32" s="477"/>
      <c r="K32" s="477"/>
      <c r="L32" s="524"/>
    </row>
    <row r="33" spans="1:12" s="485" customFormat="1" x14ac:dyDescent="0.2">
      <c r="A33" s="1511" t="s">
        <v>431</v>
      </c>
      <c r="B33" s="525">
        <v>7210</v>
      </c>
      <c r="C33" s="467"/>
      <c r="D33" s="467"/>
      <c r="E33" s="467">
        <v>519000</v>
      </c>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231338</v>
      </c>
      <c r="F37" s="475"/>
      <c r="G37" s="475"/>
      <c r="H37" s="475"/>
      <c r="I37" s="477"/>
      <c r="J37" s="475"/>
      <c r="K37" s="475"/>
      <c r="L37" s="524"/>
    </row>
    <row r="38" spans="1:12" s="485" customFormat="1" x14ac:dyDescent="0.2">
      <c r="A38" s="1511" t="s">
        <v>461</v>
      </c>
      <c r="B38" s="525">
        <v>7500</v>
      </c>
      <c r="C38" s="477"/>
      <c r="D38" s="477"/>
      <c r="E38" s="1765">
        <f>SUM(C58:D61,H58:H61)</f>
        <v>13891</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7" t="s">
        <v>391</v>
      </c>
      <c r="B44" s="2158"/>
      <c r="C44" s="1725">
        <f>SUM(C24:C43)</f>
        <v>27500</v>
      </c>
      <c r="D44" s="1725">
        <f t="shared" ref="D44:K44" si="6">SUM(D24:D43)</f>
        <v>0</v>
      </c>
      <c r="E44" s="1725">
        <f t="shared" si="6"/>
        <v>764229</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27500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v>231338</v>
      </c>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v>13891</v>
      </c>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33" t="s">
        <v>459</v>
      </c>
      <c r="B76" s="2134"/>
      <c r="C76" s="1725">
        <f t="shared" ref="C76:K76" si="7">SUM(C47:C75)</f>
        <v>245229</v>
      </c>
      <c r="D76" s="1725">
        <f t="shared" si="7"/>
        <v>0</v>
      </c>
      <c r="E76" s="1725">
        <f t="shared" si="7"/>
        <v>0</v>
      </c>
      <c r="F76" s="1725">
        <f t="shared" si="7"/>
        <v>0</v>
      </c>
      <c r="G76" s="1725">
        <f t="shared" si="7"/>
        <v>0</v>
      </c>
      <c r="H76" s="1725">
        <f t="shared" si="7"/>
        <v>0</v>
      </c>
      <c r="I76" s="1725">
        <f t="shared" si="7"/>
        <v>27500</v>
      </c>
      <c r="J76" s="1725">
        <f t="shared" si="7"/>
        <v>0</v>
      </c>
      <c r="K76" s="1725">
        <f t="shared" si="7"/>
        <v>0</v>
      </c>
      <c r="L76" s="524"/>
    </row>
    <row r="77" spans="1:12" ht="14.25" thickTop="1" thickBot="1" x14ac:dyDescent="0.25">
      <c r="A77" s="2135" t="s">
        <v>1238</v>
      </c>
      <c r="B77" s="2136"/>
      <c r="C77" s="1725">
        <f t="shared" ref="C77:K77" si="8">C44-C76</f>
        <v>-217729</v>
      </c>
      <c r="D77" s="1725">
        <f t="shared" si="8"/>
        <v>0</v>
      </c>
      <c r="E77" s="1725">
        <f t="shared" si="8"/>
        <v>764229</v>
      </c>
      <c r="F77" s="1725">
        <f t="shared" si="8"/>
        <v>0</v>
      </c>
      <c r="G77" s="1725">
        <f t="shared" si="8"/>
        <v>0</v>
      </c>
      <c r="H77" s="1725">
        <f t="shared" si="8"/>
        <v>0</v>
      </c>
      <c r="I77" s="1725">
        <f t="shared" si="8"/>
        <v>-27500</v>
      </c>
      <c r="J77" s="1725">
        <f t="shared" si="8"/>
        <v>0</v>
      </c>
      <c r="K77" s="1725">
        <f t="shared" si="8"/>
        <v>0</v>
      </c>
      <c r="L77" s="347"/>
    </row>
    <row r="78" spans="1:12" ht="21.75" customHeight="1" thickTop="1" thickBot="1" x14ac:dyDescent="0.25">
      <c r="A78" s="2139" t="s">
        <v>617</v>
      </c>
      <c r="B78" s="2140"/>
      <c r="C78" s="1724">
        <f t="shared" ref="C78:K78" si="9">C20+C77</f>
        <v>27010</v>
      </c>
      <c r="D78" s="1724">
        <f t="shared" si="9"/>
        <v>-78380</v>
      </c>
      <c r="E78" s="1724">
        <f t="shared" si="9"/>
        <v>554705</v>
      </c>
      <c r="F78" s="1724">
        <f t="shared" si="9"/>
        <v>31215</v>
      </c>
      <c r="G78" s="1724">
        <f t="shared" si="9"/>
        <v>32392</v>
      </c>
      <c r="H78" s="1724">
        <f t="shared" si="9"/>
        <v>-1432424</v>
      </c>
      <c r="I78" s="1724">
        <f t="shared" si="9"/>
        <v>233</v>
      </c>
      <c r="J78" s="1724">
        <f t="shared" si="9"/>
        <v>-4137</v>
      </c>
      <c r="K78" s="1724">
        <f t="shared" si="9"/>
        <v>-16597</v>
      </c>
      <c r="L78" s="533"/>
    </row>
    <row r="79" spans="1:12" ht="13.5" thickTop="1" x14ac:dyDescent="0.2">
      <c r="A79" s="1516" t="s">
        <v>2069</v>
      </c>
      <c r="B79" s="534"/>
      <c r="C79" s="478">
        <v>11979398</v>
      </c>
      <c r="D79" s="535">
        <v>1931615</v>
      </c>
      <c r="E79" s="535">
        <v>1087712</v>
      </c>
      <c r="F79" s="535">
        <v>1108210</v>
      </c>
      <c r="G79" s="535">
        <v>693206</v>
      </c>
      <c r="H79" s="535">
        <v>2101475</v>
      </c>
      <c r="I79" s="535">
        <v>2341392</v>
      </c>
      <c r="J79" s="535">
        <v>37887</v>
      </c>
      <c r="K79" s="535">
        <v>242644</v>
      </c>
      <c r="L79" s="347"/>
    </row>
    <row r="80" spans="1:12" x14ac:dyDescent="0.2">
      <c r="A80" s="2145" t="s">
        <v>1894</v>
      </c>
      <c r="B80" s="2146"/>
      <c r="C80" s="467"/>
      <c r="D80" s="467"/>
      <c r="E80" s="467"/>
      <c r="F80" s="467"/>
      <c r="G80" s="467"/>
      <c r="H80" s="467"/>
      <c r="I80" s="467"/>
      <c r="J80" s="467"/>
      <c r="K80" s="467"/>
      <c r="L80" s="347"/>
    </row>
    <row r="81" spans="1:12" ht="13.5" thickBot="1" x14ac:dyDescent="0.25">
      <c r="A81" s="2137" t="s">
        <v>2070</v>
      </c>
      <c r="B81" s="2138"/>
      <c r="C81" s="1710">
        <f>(SUM(C78:C80))</f>
        <v>12006408</v>
      </c>
      <c r="D81" s="1710">
        <f>SUM(D78:D80)</f>
        <v>1853235</v>
      </c>
      <c r="E81" s="1710">
        <f t="shared" ref="E81:K81" si="10">SUM(E78:E80)</f>
        <v>1642417</v>
      </c>
      <c r="F81" s="1710">
        <f t="shared" si="10"/>
        <v>1139425</v>
      </c>
      <c r="G81" s="1710">
        <f t="shared" si="10"/>
        <v>725598</v>
      </c>
      <c r="H81" s="1710">
        <f t="shared" si="10"/>
        <v>669051</v>
      </c>
      <c r="I81" s="1710">
        <f t="shared" si="10"/>
        <v>2341625</v>
      </c>
      <c r="J81" s="1710">
        <f t="shared" si="10"/>
        <v>33750</v>
      </c>
      <c r="K81" s="1710">
        <f t="shared" si="10"/>
        <v>226047</v>
      </c>
      <c r="L81" s="347"/>
    </row>
    <row r="82" spans="1:12" ht="0.75" customHeight="1" thickTop="1" thickBot="1" x14ac:dyDescent="0.25">
      <c r="A82" s="536" t="s">
        <v>360</v>
      </c>
      <c r="B82" s="537"/>
      <c r="C82" s="538">
        <f>(C81-C79)</f>
        <v>27010</v>
      </c>
      <c r="D82" s="538">
        <f t="shared" ref="D82:K82" si="11">(D81-D79)</f>
        <v>-78380</v>
      </c>
      <c r="E82" s="538">
        <f t="shared" si="11"/>
        <v>554705</v>
      </c>
      <c r="F82" s="538">
        <f t="shared" si="11"/>
        <v>31215</v>
      </c>
      <c r="G82" s="538">
        <f t="shared" si="11"/>
        <v>32392</v>
      </c>
      <c r="H82" s="538">
        <f t="shared" si="11"/>
        <v>-1432424</v>
      </c>
      <c r="I82" s="538">
        <f t="shared" si="11"/>
        <v>233</v>
      </c>
      <c r="J82" s="538">
        <f t="shared" si="11"/>
        <v>-4137</v>
      </c>
      <c r="K82" s="538">
        <f t="shared" si="11"/>
        <v>-16597</v>
      </c>
    </row>
    <row r="83" spans="1:12" ht="14.25" hidden="1" thickTop="1" thickBot="1" x14ac:dyDescent="0.25">
      <c r="A83" s="539" t="s">
        <v>361</v>
      </c>
      <c r="B83" s="464"/>
      <c r="C83" s="540">
        <f>C82/C81</f>
        <v>2.2496320298294042E-3</v>
      </c>
      <c r="D83" s="540">
        <f t="shared" ref="D83:K83" si="12">D82/D81</f>
        <v>-4.2293610902017283E-2</v>
      </c>
      <c r="E83" s="540">
        <f t="shared" si="12"/>
        <v>0.33773700588827321</v>
      </c>
      <c r="F83" s="540">
        <f t="shared" si="12"/>
        <v>2.7395396801018056E-2</v>
      </c>
      <c r="G83" s="540">
        <f t="shared" si="12"/>
        <v>4.4641798902422557E-2</v>
      </c>
      <c r="H83" s="540">
        <f t="shared" si="12"/>
        <v>-2.1409787893598544</v>
      </c>
      <c r="I83" s="540">
        <f t="shared" si="12"/>
        <v>9.9503549885229269E-5</v>
      </c>
      <c r="J83" s="540">
        <f t="shared" si="12"/>
        <v>-0.12257777777777777</v>
      </c>
      <c r="K83" s="540">
        <f t="shared" si="12"/>
        <v>-7.3422783757360194E-2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41DB9079-7F95-4228-8A4A-E6D48377DB38}" scale="110" colorId="8" showGridLines="0" hiddenRows="1" topLeftCell="B1">
      <pane ySplit="2" topLeftCell="A3" activePane="bottomLeft" state="frozenSplit"/>
      <selection pane="bottomLeft" activeCell="K87" sqref="K87"/>
      <pageMargins left="0.75" right="0.75" top="1.25" bottom="0.5" header="0.5" footer="0.5"/>
      <printOptions horizontalCentered="1"/>
      <pageSetup scale="48" firstPageNumber="7" orientation="portrait" r:id="rId1"/>
      <headerFooter>
        <oddHeader>&amp;C&amp;"Times New Roman,Regular"ROXANA COMMUNITY UNIT SCHOOL DISTRICT NO. 1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customSheetView>
    <customSheetView guid="{D71D2A76-4AD5-4124-819F-51F94C4C53C9}" scale="110" colorId="8" showGridLines="0" hiddenRows="1" topLeftCell="B1">
      <pane ySplit="2" topLeftCell="A3" activePane="bottomLeft" state="frozenSplit"/>
      <selection pane="bottomLeft" activeCell="K87" sqref="K87"/>
      <pageMargins left="0.75" right="0.75" top="1.25" bottom="0.5" header="0.5" footer="0.5"/>
      <printOptions horizontalCentered="1"/>
      <pageSetup scale="48" firstPageNumber="7" orientation="portrait" r:id="rId2"/>
      <headerFooter>
        <oddHeader>&amp;C&amp;"Times New Roman,Regular"ROXANA COMMUNITY UNIT SCHOOL DISTRICT NO. 1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orizontalCentered="1"/>
  <pageMargins left="0.75" right="0.75" top="1.25" bottom="0.5" header="0.5" footer="0.5"/>
  <pageSetup scale="48" firstPageNumber="7" orientation="portrait" r:id="rId3"/>
  <headerFooter>
    <oddHeader>&amp;C&amp;"Times New Roman,Regular"ROXANA COMMUNITY UNIT SCHOOL DISTRICT NO. 1
STATEMENT OF RECEIPTS, DISBURSEMENTS, OTHER SOURCES (USES), AND CHANGES IN FUND BALANCES - CASH - REGULATORY BASIS
ALL FUNDS
FOR THE YEAR ENDED JUNE 30, 2018</oddHeader>
    <oddFooter>&amp;C&amp;"Times New Roman,Regular"See Notes to Financial Statements and Independent Auditor's Reports
&amp;P</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110" workbookViewId="0">
      <pane ySplit="2" topLeftCell="A186" activePane="bottomLeft" state="frozen"/>
      <selection activeCell="AF38" sqref="AF38"/>
      <selection pane="bottomLeft" activeCell="C194" sqref="C19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1901</v>
      </c>
      <c r="B1" s="452"/>
      <c r="C1" s="453" t="s">
        <v>444</v>
      </c>
      <c r="D1" s="453" t="s">
        <v>445</v>
      </c>
      <c r="E1" s="453" t="s">
        <v>446</v>
      </c>
      <c r="F1" s="453" t="s">
        <v>447</v>
      </c>
      <c r="G1" s="453" t="s">
        <v>448</v>
      </c>
      <c r="H1" s="453" t="s">
        <v>449</v>
      </c>
      <c r="I1" s="453" t="s">
        <v>450</v>
      </c>
      <c r="J1" s="453" t="s">
        <v>451</v>
      </c>
      <c r="K1" s="453" t="s">
        <v>779</v>
      </c>
    </row>
    <row r="2" spans="1:12" ht="36" x14ac:dyDescent="0.2">
      <c r="A2" s="2142"/>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11303401</v>
      </c>
      <c r="D5" s="481">
        <v>2652831</v>
      </c>
      <c r="E5" s="466">
        <v>2005315</v>
      </c>
      <c r="F5" s="548">
        <v>922720</v>
      </c>
      <c r="G5" s="466">
        <v>470152</v>
      </c>
      <c r="H5" s="466"/>
      <c r="I5" s="466"/>
      <c r="J5" s="467">
        <v>610903</v>
      </c>
      <c r="K5" s="466">
        <v>230680</v>
      </c>
    </row>
    <row r="6" spans="1:12" ht="15" x14ac:dyDescent="0.2">
      <c r="A6" s="463" t="s">
        <v>1760</v>
      </c>
      <c r="B6" s="470">
        <v>1130</v>
      </c>
      <c r="C6" s="466">
        <v>230680</v>
      </c>
      <c r="D6" s="466"/>
      <c r="E6" s="475"/>
      <c r="F6" s="475"/>
      <c r="G6" s="468"/>
      <c r="H6" s="468"/>
      <c r="I6" s="468"/>
      <c r="J6" s="468"/>
      <c r="K6" s="468"/>
    </row>
    <row r="7" spans="1:12" x14ac:dyDescent="0.2">
      <c r="A7" s="463" t="s">
        <v>112</v>
      </c>
      <c r="B7" s="549">
        <v>1140</v>
      </c>
      <c r="C7" s="466">
        <v>184544</v>
      </c>
      <c r="D7" s="466"/>
      <c r="E7" s="468"/>
      <c r="F7" s="467"/>
      <c r="G7" s="467"/>
      <c r="H7" s="467"/>
      <c r="I7" s="468"/>
      <c r="J7" s="468"/>
      <c r="K7" s="468"/>
    </row>
    <row r="8" spans="1:12" x14ac:dyDescent="0.2">
      <c r="A8" s="463" t="s">
        <v>432</v>
      </c>
      <c r="B8" s="470">
        <v>1150</v>
      </c>
      <c r="C8" s="475"/>
      <c r="D8" s="475"/>
      <c r="E8" s="477"/>
      <c r="F8" s="477"/>
      <c r="G8" s="481">
        <v>381963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11718625</v>
      </c>
      <c r="D12" s="1729">
        <f t="shared" si="0"/>
        <v>2652831</v>
      </c>
      <c r="E12" s="1729">
        <f t="shared" si="0"/>
        <v>2005315</v>
      </c>
      <c r="F12" s="1729">
        <f t="shared" si="0"/>
        <v>922720</v>
      </c>
      <c r="G12" s="1729">
        <f t="shared" si="0"/>
        <v>852115</v>
      </c>
      <c r="H12" s="1729">
        <f t="shared" si="0"/>
        <v>0</v>
      </c>
      <c r="I12" s="1729">
        <f t="shared" si="0"/>
        <v>0</v>
      </c>
      <c r="J12" s="1729">
        <f t="shared" si="0"/>
        <v>610903</v>
      </c>
      <c r="K12" s="1710">
        <f t="shared" si="0"/>
        <v>230680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3798</v>
      </c>
      <c r="D14" s="466">
        <v>860</v>
      </c>
      <c r="E14" s="466">
        <v>650</v>
      </c>
      <c r="F14" s="466">
        <v>299</v>
      </c>
      <c r="G14" s="466">
        <v>276</v>
      </c>
      <c r="H14" s="466"/>
      <c r="I14" s="466"/>
      <c r="J14" s="467">
        <v>198</v>
      </c>
      <c r="K14" s="466">
        <v>75</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1027653</v>
      </c>
      <c r="D16" s="466"/>
      <c r="E16" s="466"/>
      <c r="F16" s="466"/>
      <c r="G16" s="466">
        <v>76808</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1031451</v>
      </c>
      <c r="D18" s="1732">
        <f t="shared" ref="D18:K18" si="1">SUM(D14:D17)</f>
        <v>860</v>
      </c>
      <c r="E18" s="1732">
        <f t="shared" si="1"/>
        <v>650</v>
      </c>
      <c r="F18" s="1732">
        <f t="shared" si="1"/>
        <v>299</v>
      </c>
      <c r="G18" s="1732">
        <f t="shared" si="1"/>
        <v>77084</v>
      </c>
      <c r="H18" s="1732">
        <f t="shared" si="1"/>
        <v>0</v>
      </c>
      <c r="I18" s="1732">
        <f t="shared" si="1"/>
        <v>0</v>
      </c>
      <c r="J18" s="1732">
        <f t="shared" si="1"/>
        <v>198</v>
      </c>
      <c r="K18" s="1733">
        <f t="shared" si="1"/>
        <v>75</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v>1134</v>
      </c>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1134</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171047</v>
      </c>
      <c r="D65" s="466">
        <v>25782</v>
      </c>
      <c r="E65" s="466">
        <v>30096</v>
      </c>
      <c r="F65" s="467">
        <v>14788</v>
      </c>
      <c r="G65" s="466">
        <v>8339</v>
      </c>
      <c r="H65" s="466">
        <v>12220</v>
      </c>
      <c r="I65" s="466">
        <v>27733</v>
      </c>
      <c r="J65" s="467">
        <v>1909</v>
      </c>
      <c r="K65" s="466">
        <v>2442</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171047</v>
      </c>
      <c r="D67" s="1710">
        <f t="shared" ref="D67:K67" si="2">SUM(D65:D66)</f>
        <v>25782</v>
      </c>
      <c r="E67" s="1710">
        <f t="shared" si="2"/>
        <v>30096</v>
      </c>
      <c r="F67" s="1710">
        <f t="shared" si="2"/>
        <v>14788</v>
      </c>
      <c r="G67" s="1710">
        <f t="shared" si="2"/>
        <v>8339</v>
      </c>
      <c r="H67" s="1710">
        <f t="shared" si="2"/>
        <v>12220</v>
      </c>
      <c r="I67" s="1710">
        <f t="shared" si="2"/>
        <v>27733</v>
      </c>
      <c r="J67" s="1710">
        <f t="shared" si="2"/>
        <v>1909</v>
      </c>
      <c r="K67" s="1710">
        <f t="shared" si="2"/>
        <v>2442</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5068</v>
      </c>
      <c r="D69" s="468"/>
      <c r="E69" s="468"/>
      <c r="F69" s="468"/>
      <c r="G69" s="468"/>
      <c r="H69" s="468"/>
      <c r="I69" s="468"/>
      <c r="J69" s="468"/>
      <c r="K69" s="468"/>
    </row>
    <row r="70" spans="1:11" ht="12.75" customHeight="1" x14ac:dyDescent="0.2">
      <c r="A70" s="463" t="s">
        <v>1053</v>
      </c>
      <c r="B70" s="470">
        <v>1612</v>
      </c>
      <c r="C70" s="551">
        <v>74</v>
      </c>
      <c r="D70" s="468"/>
      <c r="E70" s="468"/>
      <c r="F70" s="468"/>
      <c r="G70" s="468"/>
      <c r="H70" s="468"/>
      <c r="I70" s="468"/>
      <c r="J70" s="468"/>
      <c r="K70" s="468"/>
    </row>
    <row r="71" spans="1:11" ht="12.75" customHeight="1" x14ac:dyDescent="0.2">
      <c r="A71" s="463" t="s">
        <v>290</v>
      </c>
      <c r="B71" s="470">
        <v>1613</v>
      </c>
      <c r="C71" s="551">
        <v>27975</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16367</v>
      </c>
      <c r="D73" s="468"/>
      <c r="E73" s="468"/>
      <c r="F73" s="468"/>
      <c r="G73" s="468"/>
      <c r="H73" s="468"/>
      <c r="I73" s="468"/>
      <c r="J73" s="468"/>
      <c r="K73" s="468"/>
    </row>
    <row r="74" spans="1:11" ht="12.75" customHeight="1" x14ac:dyDescent="0.2">
      <c r="A74" s="463" t="s">
        <v>25</v>
      </c>
      <c r="B74" s="470">
        <v>1690</v>
      </c>
      <c r="C74" s="551">
        <v>15259</v>
      </c>
      <c r="D74" s="468"/>
      <c r="E74" s="468"/>
      <c r="F74" s="468"/>
      <c r="G74" s="468"/>
      <c r="H74" s="468"/>
      <c r="I74" s="468"/>
      <c r="J74" s="468"/>
      <c r="K74" s="468"/>
    </row>
    <row r="75" spans="1:11" ht="12.75" customHeight="1" thickBot="1" x14ac:dyDescent="0.25">
      <c r="A75" s="1730" t="s">
        <v>568</v>
      </c>
      <c r="B75" s="1731"/>
      <c r="C75" s="1710">
        <f>SUM(C69:C74)</f>
        <v>64743</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23391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42178</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17775</v>
      </c>
      <c r="D81" s="466"/>
      <c r="E81" s="468"/>
      <c r="F81" s="468"/>
      <c r="G81" s="468"/>
      <c r="H81" s="468"/>
      <c r="I81" s="468"/>
      <c r="J81" s="468"/>
      <c r="K81" s="468"/>
    </row>
    <row r="82" spans="1:11" ht="12.75" customHeight="1" thickBot="1" x14ac:dyDescent="0.25">
      <c r="A82" s="1730" t="s">
        <v>259</v>
      </c>
      <c r="B82" s="1731"/>
      <c r="C82" s="1729">
        <f>SUM(C77:C81)</f>
        <v>83344</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20</v>
      </c>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20</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c r="E95" s="521"/>
      <c r="F95" s="521"/>
      <c r="G95" s="521"/>
      <c r="H95" s="521"/>
      <c r="I95" s="521"/>
      <c r="J95" s="521"/>
      <c r="K95" s="521"/>
    </row>
    <row r="96" spans="1:11" ht="12.75" customHeight="1" x14ac:dyDescent="0.2">
      <c r="A96" s="463" t="s">
        <v>408</v>
      </c>
      <c r="B96" s="470">
        <v>1920</v>
      </c>
      <c r="C96" s="551">
        <v>8061</v>
      </c>
      <c r="D96" s="551"/>
      <c r="E96" s="479"/>
      <c r="F96" s="478"/>
      <c r="G96" s="478"/>
      <c r="H96" s="478">
        <v>40954</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5936</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4340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27379</v>
      </c>
      <c r="D107" s="466">
        <v>9519</v>
      </c>
      <c r="E107" s="466">
        <v>53</v>
      </c>
      <c r="F107" s="466">
        <v>18752</v>
      </c>
      <c r="G107" s="466">
        <v>3292</v>
      </c>
      <c r="H107" s="466"/>
      <c r="I107" s="466"/>
      <c r="J107" s="467"/>
      <c r="K107" s="466"/>
    </row>
    <row r="108" spans="1:12" ht="12.75" customHeight="1" thickBot="1" x14ac:dyDescent="0.25">
      <c r="A108" s="1730" t="s">
        <v>507</v>
      </c>
      <c r="B108" s="1734"/>
      <c r="C108" s="1729">
        <f>SUM(C95:C107)</f>
        <v>45716</v>
      </c>
      <c r="D108" s="1729">
        <f t="shared" ref="D108:K108" si="3">SUM(D95:D107)</f>
        <v>9519</v>
      </c>
      <c r="E108" s="1729">
        <f t="shared" si="3"/>
        <v>53</v>
      </c>
      <c r="F108" s="1729">
        <f t="shared" si="3"/>
        <v>18752</v>
      </c>
      <c r="G108" s="1729">
        <f t="shared" si="3"/>
        <v>3292</v>
      </c>
      <c r="H108" s="1729">
        <f t="shared" si="3"/>
        <v>40954</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13114946</v>
      </c>
      <c r="D109" s="1737">
        <f t="shared" si="4"/>
        <v>2688992</v>
      </c>
      <c r="E109" s="1737">
        <f t="shared" si="4"/>
        <v>2036114</v>
      </c>
      <c r="F109" s="1737">
        <f t="shared" si="4"/>
        <v>957693</v>
      </c>
      <c r="G109" s="1737">
        <f t="shared" si="4"/>
        <v>940830</v>
      </c>
      <c r="H109" s="1737">
        <f t="shared" si="4"/>
        <v>53174</v>
      </c>
      <c r="I109" s="1737">
        <f t="shared" si="4"/>
        <v>27733</v>
      </c>
      <c r="J109" s="1737">
        <f t="shared" si="4"/>
        <v>613010</v>
      </c>
      <c r="K109" s="1724">
        <f t="shared" si="4"/>
        <v>233197</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2080632</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2080632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70626</v>
      </c>
      <c r="D124" s="561"/>
      <c r="E124" s="468"/>
      <c r="F124" s="548"/>
      <c r="G124" s="468"/>
      <c r="H124" s="468"/>
      <c r="I124" s="468"/>
      <c r="J124" s="468"/>
      <c r="K124" s="468"/>
    </row>
    <row r="125" spans="1:11" ht="12.75" customHeight="1" x14ac:dyDescent="0.2">
      <c r="A125" s="463" t="s">
        <v>1520</v>
      </c>
      <c r="B125" s="562">
        <v>3105</v>
      </c>
      <c r="C125" s="466">
        <v>126226</v>
      </c>
      <c r="D125" s="561"/>
      <c r="E125" s="468"/>
      <c r="F125" s="466"/>
      <c r="G125" s="468"/>
      <c r="H125" s="468"/>
      <c r="I125" s="468"/>
      <c r="J125" s="468"/>
      <c r="K125" s="468"/>
    </row>
    <row r="126" spans="1:11" ht="12.75" customHeight="1" x14ac:dyDescent="0.2">
      <c r="A126" s="463" t="s">
        <v>921</v>
      </c>
      <c r="B126" s="562">
        <v>3110</v>
      </c>
      <c r="C126" s="551">
        <v>150684</v>
      </c>
      <c r="D126" s="466"/>
      <c r="E126" s="468"/>
      <c r="F126" s="466"/>
      <c r="G126" s="468"/>
      <c r="H126" s="468"/>
      <c r="I126" s="468"/>
      <c r="J126" s="468"/>
      <c r="K126" s="468"/>
    </row>
    <row r="127" spans="1:11" ht="12.75" customHeight="1" x14ac:dyDescent="0.2">
      <c r="A127" s="463" t="s">
        <v>107</v>
      </c>
      <c r="B127" s="562">
        <v>3120</v>
      </c>
      <c r="C127" s="466">
        <v>18070</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5402</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371008</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v>67141</v>
      </c>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67141</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12320</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24763</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20594</v>
      </c>
      <c r="G151" s="467"/>
      <c r="H151" s="468"/>
      <c r="I151" s="468"/>
      <c r="J151" s="468"/>
      <c r="K151" s="468"/>
    </row>
    <row r="152" spans="1:11" ht="12.75" customHeight="1" x14ac:dyDescent="0.2">
      <c r="A152" s="463" t="s">
        <v>1116</v>
      </c>
      <c r="B152" s="562">
        <v>3510</v>
      </c>
      <c r="C152" s="551"/>
      <c r="D152" s="466"/>
      <c r="E152" s="561"/>
      <c r="F152" s="466">
        <v>260778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281372</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449173</v>
      </c>
      <c r="D158" s="578"/>
      <c r="E158" s="561"/>
      <c r="F158" s="576">
        <v>10000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20519</v>
      </c>
      <c r="D171" s="580"/>
      <c r="E171" s="580"/>
      <c r="F171" s="580"/>
      <c r="G171" s="581"/>
      <c r="H171" s="582"/>
      <c r="I171" s="581"/>
      <c r="J171" s="581"/>
      <c r="K171" s="582"/>
    </row>
    <row r="172" spans="1:11" ht="12.75" customHeight="1" thickTop="1" thickBot="1" x14ac:dyDescent="0.25">
      <c r="A172" s="2161" t="s">
        <v>417</v>
      </c>
      <c r="B172" s="2162"/>
      <c r="C172" s="1744">
        <f t="shared" ref="C172:K172" si="6">SUM(C131,C140,C144,C145:C149,C154,C155:C170,C171)</f>
        <v>944924</v>
      </c>
      <c r="D172" s="1744">
        <f t="shared" si="6"/>
        <v>0</v>
      </c>
      <c r="E172" s="1744">
        <f t="shared" si="6"/>
        <v>0</v>
      </c>
      <c r="F172" s="1744">
        <f t="shared" si="6"/>
        <v>291372</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3025556</v>
      </c>
      <c r="D173" s="1737">
        <f>SUM(D121,D172)</f>
        <v>0</v>
      </c>
      <c r="E173" s="1737">
        <f>SUM(E121,E172)</f>
        <v>0</v>
      </c>
      <c r="F173" s="1737">
        <f t="shared" ref="F173:K173" si="7">SUM(F121,F172)</f>
        <v>291372</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3" t="s">
        <v>1571</v>
      </c>
      <c r="B175" s="2164"/>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7" t="s">
        <v>1763</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1762</v>
      </c>
      <c r="B179" s="2172"/>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69" t="s">
        <v>817</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1902</v>
      </c>
      <c r="B185" s="2166"/>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533553</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141841</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v>98607</v>
      </c>
      <c r="D200" s="468"/>
      <c r="E200" s="561"/>
      <c r="F200" s="468"/>
      <c r="G200" s="585"/>
      <c r="H200" s="468"/>
      <c r="I200" s="468"/>
      <c r="J200" s="468"/>
      <c r="K200" s="468"/>
    </row>
    <row r="201" spans="1:11" ht="12.75" customHeight="1" thickBot="1" x14ac:dyDescent="0.25">
      <c r="A201" s="1730" t="s">
        <v>568</v>
      </c>
      <c r="B201" s="1731"/>
      <c r="C201" s="1710">
        <f>SUM(C193:C200)</f>
        <v>774001</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511709</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511709</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v>14195</v>
      </c>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14195</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12752</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376055</v>
      </c>
      <c r="D220" s="466">
        <v>15000</v>
      </c>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388807</v>
      </c>
      <c r="D224" s="1729">
        <f>SUM(D218:D223)</f>
        <v>15000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v>32934</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32934</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67424</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31899</v>
      </c>
      <c r="D270" s="576"/>
      <c r="E270" s="468"/>
      <c r="F270" s="576"/>
      <c r="G270" s="576"/>
      <c r="H270" s="468"/>
      <c r="I270" s="468"/>
      <c r="J270" s="468"/>
      <c r="K270" s="468"/>
    </row>
    <row r="271" spans="1:11" ht="12.75" customHeight="1" thickTop="1" thickBot="1" x14ac:dyDescent="0.25">
      <c r="A271" s="463" t="s">
        <v>394</v>
      </c>
      <c r="B271" s="470">
        <v>4992</v>
      </c>
      <c r="C271" s="575">
        <v>96863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1917832</v>
      </c>
      <c r="D273" s="1737">
        <f t="shared" si="10"/>
        <v>15000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1917832</v>
      </c>
      <c r="D274" s="1737">
        <f>SUM(D178,D184,D273)</f>
        <v>15000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18058334</v>
      </c>
      <c r="D275" s="1737">
        <f t="shared" si="12"/>
        <v>2703992</v>
      </c>
      <c r="E275" s="1737">
        <f t="shared" si="12"/>
        <v>2036114</v>
      </c>
      <c r="F275" s="1737">
        <f t="shared" si="12"/>
        <v>1249065</v>
      </c>
      <c r="G275" s="1737">
        <f t="shared" si="12"/>
        <v>940830</v>
      </c>
      <c r="H275" s="1737">
        <f t="shared" si="12"/>
        <v>53174</v>
      </c>
      <c r="I275" s="1737">
        <f t="shared" si="12"/>
        <v>27733</v>
      </c>
      <c r="J275" s="1737">
        <f t="shared" si="12"/>
        <v>613010</v>
      </c>
      <c r="K275" s="1724">
        <f t="shared" si="12"/>
        <v>233197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41DB9079-7F95-4228-8A4A-E6D48377DB38}" scale="110" colorId="8" showPageBreaks="1" showGridLines="0" view="pageBreakPreview">
      <pane ySplit="2" topLeftCell="A186" activePane="bottomLeft" state="frozen"/>
      <selection pane="bottomLeft" activeCell="C107" sqref="C107"/>
      <rowBreaks count="4" manualBreakCount="4">
        <brk id="56" max="16383" man="1"/>
        <brk id="109" max="16383" man="1"/>
        <brk id="164" max="16383" man="1"/>
        <brk id="218" max="16383" man="1"/>
      </rowBreaks>
      <pageMargins left="0.75" right="0.75" top="1" bottom="0.5" header="0.5" footer="0.5"/>
      <printOptions horizontalCentered="1"/>
      <pageSetup scale="60" firstPageNumber="9" orientation="landscape" r:id="rId1"/>
      <headerFooter>
        <oddHeader>&amp;C&amp;"Times New Roman,Regular"ROXANA COMMUNITY UNIT SCHOOL DISTRICT NO. 1
STATEMENT OF RECEIPTS - CASH - REGULATORY BASIS
ALL FUNDS
FOR THE YEAR ENDED JUNE 30, 2018</oddHeader>
        <oddFooter>&amp;C&amp;"Times New Roman,Regular"See Notes to Financial Statements and Independent Auditor's Reports
&amp;P</oddFooter>
      </headerFooter>
    </customSheetView>
    <customSheetView guid="{D71D2A76-4AD5-4124-819F-51F94C4C53C9}" scale="110" colorId="8" showPageBreaks="1" showGridLines="0" view="pageBreakPreview">
      <pane ySplit="2" topLeftCell="A186" activePane="bottomLeft" state="frozen"/>
      <selection pane="bottomLeft" activeCell="C107" sqref="C107"/>
      <rowBreaks count="4" manualBreakCount="4">
        <brk id="56" max="16383" man="1"/>
        <brk id="109" max="16383" man="1"/>
        <brk id="164" max="16383" man="1"/>
        <brk id="218" max="16383" man="1"/>
      </rowBreaks>
      <pageMargins left="0.75" right="0.75" top="1" bottom="0.5" header="0.5" footer="0.5"/>
      <printOptions horizontalCentered="1"/>
      <pageSetup scale="60" firstPageNumber="9" orientation="landscape" r:id="rId2"/>
      <headerFooter>
        <oddHeader>&amp;C&amp;"Times New Roman,Regular"ROXANA COMMUNITY UNIT SCHOOL DISTRICT NO. 1
STATEMENT OF RECEIPTS - CASH - REGULATORY BASIS
ALL FUNDS
FOR THE YEAR ENDED JUNE 30, 2018</oddHeader>
        <oddFooter>&amp;C&amp;"Times New Roman,Regular"See Notes to Financial Statements and Independent Auditor's Reports
&amp;P</oddFooter>
      </headerFooter>
    </customSheetView>
  </customSheetViews>
  <mergeCells count="7">
    <mergeCell ref="A1:A2"/>
    <mergeCell ref="A172:B172"/>
    <mergeCell ref="A175:B175"/>
    <mergeCell ref="A185:B185"/>
    <mergeCell ref="A178:B178"/>
    <mergeCell ref="A184:B184"/>
    <mergeCell ref="A179:B179"/>
  </mergeCells>
  <phoneticPr fontId="12" type="noConversion"/>
  <printOptions horizontalCentered="1"/>
  <pageMargins left="0.75" right="0.75" top="1" bottom="0.5" header="0.5" footer="0.5"/>
  <pageSetup scale="60" firstPageNumber="9" orientation="landscape" r:id="rId3"/>
  <headerFooter>
    <oddHeader>&amp;C&amp;"Times New Roman,Regular"ROXANA COMMUNITY UNIT SCHOOL DISTRICT NO. 1
STATEMENT OF RECEIPTS - CASH - REGULATORY BASIS
ALL FUNDS
FOR THE YEAR ENDED JUNE 30, 2018</oddHeader>
    <oddFooter>&amp;C&amp;"Times New Roman,Regular"See Notes to Financial Statements and Independent Auditor's Reports
&amp;P</oddFooter>
  </headerFooter>
  <rowBreaks count="4" manualBreakCount="4">
    <brk id="56" max="16383" man="1"/>
    <brk id="109" max="16383" man="1"/>
    <brk id="164" max="16383" man="1"/>
    <brk id="218" max="16383" man="1"/>
  </rowBreaks>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110" zoomScaleNormal="110" zoomScaleSheetLayoutView="110" workbookViewId="0">
      <pane ySplit="2" topLeftCell="A333" activePane="bottomLeft" state="frozen"/>
      <selection activeCell="AF38" sqref="AF38"/>
      <selection pane="bottomLeft" activeCell="E349" sqref="E3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3"/>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79" t="s">
        <v>314</v>
      </c>
      <c r="B3" s="2180"/>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6405981</v>
      </c>
      <c r="D5" s="466">
        <v>1382495</v>
      </c>
      <c r="E5" s="466">
        <v>28961</v>
      </c>
      <c r="F5" s="466">
        <v>202043</v>
      </c>
      <c r="G5" s="466">
        <v>64915</v>
      </c>
      <c r="H5" s="466">
        <v>1670</v>
      </c>
      <c r="I5" s="467"/>
      <c r="J5" s="467">
        <v>654</v>
      </c>
      <c r="K5" s="1693">
        <f>SUM(C5:J5)</f>
        <v>8086719</v>
      </c>
      <c r="L5" s="466">
        <v>8098997</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235647</v>
      </c>
      <c r="D7" s="467">
        <v>30933</v>
      </c>
      <c r="E7" s="467">
        <v>1610</v>
      </c>
      <c r="F7" s="467">
        <v>2661</v>
      </c>
      <c r="G7" s="467"/>
      <c r="H7" s="467"/>
      <c r="I7" s="467"/>
      <c r="J7" s="467"/>
      <c r="K7" s="1693">
        <f t="shared" ref="K7:K32" si="0">SUM(C7:J7)</f>
        <v>270851</v>
      </c>
      <c r="L7" s="466">
        <v>272029</v>
      </c>
    </row>
    <row r="8" spans="1:14" x14ac:dyDescent="0.2">
      <c r="A8" s="1526" t="s">
        <v>166</v>
      </c>
      <c r="B8" s="615">
        <v>1200</v>
      </c>
      <c r="C8" s="466">
        <v>1624713</v>
      </c>
      <c r="D8" s="466">
        <v>308466</v>
      </c>
      <c r="E8" s="466">
        <v>96001</v>
      </c>
      <c r="F8" s="466">
        <v>8682</v>
      </c>
      <c r="G8" s="466">
        <v>39575</v>
      </c>
      <c r="H8" s="466"/>
      <c r="I8" s="467"/>
      <c r="J8" s="467"/>
      <c r="K8" s="1693">
        <f t="shared" si="0"/>
        <v>2077437</v>
      </c>
      <c r="L8" s="466">
        <v>2032038</v>
      </c>
    </row>
    <row r="9" spans="1:14" x14ac:dyDescent="0.2">
      <c r="A9" s="1526" t="s">
        <v>744</v>
      </c>
      <c r="B9" s="615" t="s">
        <v>1024</v>
      </c>
      <c r="C9" s="467"/>
      <c r="D9" s="467"/>
      <c r="E9" s="467"/>
      <c r="F9" s="467"/>
      <c r="G9" s="467"/>
      <c r="H9" s="467"/>
      <c r="I9" s="467"/>
      <c r="J9" s="467"/>
      <c r="K9" s="1693">
        <f t="shared" si="0"/>
        <v>0</v>
      </c>
      <c r="L9" s="466">
        <v>90640</v>
      </c>
    </row>
    <row r="10" spans="1:14" x14ac:dyDescent="0.2">
      <c r="A10" s="1526" t="s">
        <v>745</v>
      </c>
      <c r="B10" s="615">
        <v>1250</v>
      </c>
      <c r="C10" s="466">
        <v>174564</v>
      </c>
      <c r="D10" s="466">
        <v>26820</v>
      </c>
      <c r="E10" s="466">
        <v>35196</v>
      </c>
      <c r="F10" s="466">
        <v>139111</v>
      </c>
      <c r="G10" s="466">
        <v>2584</v>
      </c>
      <c r="H10" s="466"/>
      <c r="I10" s="467"/>
      <c r="J10" s="467"/>
      <c r="K10" s="1693">
        <f t="shared" si="0"/>
        <v>378275</v>
      </c>
      <c r="L10" s="466">
        <v>413208</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474686</v>
      </c>
      <c r="D13" s="466">
        <v>116074</v>
      </c>
      <c r="E13" s="466">
        <v>766</v>
      </c>
      <c r="F13" s="466">
        <v>61038</v>
      </c>
      <c r="G13" s="466">
        <v>42567</v>
      </c>
      <c r="H13" s="466"/>
      <c r="I13" s="467"/>
      <c r="J13" s="467"/>
      <c r="K13" s="1693">
        <f t="shared" si="0"/>
        <v>695131</v>
      </c>
      <c r="L13" s="466">
        <v>693669</v>
      </c>
    </row>
    <row r="14" spans="1:14" x14ac:dyDescent="0.2">
      <c r="A14" s="1526" t="s">
        <v>1019</v>
      </c>
      <c r="B14" s="615">
        <v>1500</v>
      </c>
      <c r="C14" s="466">
        <v>232149</v>
      </c>
      <c r="D14" s="466">
        <v>20891</v>
      </c>
      <c r="E14" s="466">
        <v>57764</v>
      </c>
      <c r="F14" s="466">
        <v>32999</v>
      </c>
      <c r="G14" s="466">
        <v>5952</v>
      </c>
      <c r="H14" s="466">
        <v>10436</v>
      </c>
      <c r="I14" s="467"/>
      <c r="J14" s="467"/>
      <c r="K14" s="1693">
        <f t="shared" si="0"/>
        <v>360191</v>
      </c>
      <c r="L14" s="466">
        <v>363376</v>
      </c>
    </row>
    <row r="15" spans="1:14" x14ac:dyDescent="0.2">
      <c r="A15" s="1526" t="s">
        <v>1020</v>
      </c>
      <c r="B15" s="615">
        <v>1600</v>
      </c>
      <c r="C15" s="466">
        <v>6014</v>
      </c>
      <c r="D15" s="466">
        <v>692</v>
      </c>
      <c r="E15" s="466"/>
      <c r="F15" s="466"/>
      <c r="G15" s="466"/>
      <c r="H15" s="466"/>
      <c r="I15" s="467"/>
      <c r="J15" s="467"/>
      <c r="K15" s="1693">
        <f t="shared" si="0"/>
        <v>6706</v>
      </c>
      <c r="L15" s="466">
        <v>11293</v>
      </c>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65493</v>
      </c>
      <c r="D17" s="467">
        <v>13166</v>
      </c>
      <c r="E17" s="467">
        <v>1026</v>
      </c>
      <c r="F17" s="467"/>
      <c r="G17" s="467"/>
      <c r="H17" s="467"/>
      <c r="I17" s="467"/>
      <c r="J17" s="467"/>
      <c r="K17" s="1693">
        <f t="shared" si="0"/>
        <v>79685</v>
      </c>
      <c r="L17" s="466">
        <v>79670</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v>67765</v>
      </c>
      <c r="D19" s="466">
        <v>16522</v>
      </c>
      <c r="E19" s="466"/>
      <c r="F19" s="466"/>
      <c r="G19" s="466"/>
      <c r="H19" s="466">
        <v>337231</v>
      </c>
      <c r="I19" s="467"/>
      <c r="J19" s="467"/>
      <c r="K19" s="1693">
        <f t="shared" si="0"/>
        <v>421518</v>
      </c>
      <c r="L19" s="466">
        <v>455495</v>
      </c>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9287012</v>
      </c>
      <c r="D33" s="1692">
        <f t="shared" ref="D33:L33" si="1">SUM(D5:D32)</f>
        <v>1916059</v>
      </c>
      <c r="E33" s="1692">
        <f t="shared" si="1"/>
        <v>221324</v>
      </c>
      <c r="F33" s="1692">
        <f t="shared" si="1"/>
        <v>446534</v>
      </c>
      <c r="G33" s="1692">
        <f t="shared" si="1"/>
        <v>155593</v>
      </c>
      <c r="H33" s="1692">
        <f t="shared" si="1"/>
        <v>349337</v>
      </c>
      <c r="I33" s="1692">
        <f t="shared" si="1"/>
        <v>0</v>
      </c>
      <c r="J33" s="1692">
        <f t="shared" si="1"/>
        <v>654</v>
      </c>
      <c r="K33" s="1692">
        <f t="shared" si="1"/>
        <v>12376513</v>
      </c>
      <c r="L33" s="1692">
        <f t="shared" si="1"/>
        <v>12510415</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v>287122</v>
      </c>
      <c r="D36" s="481">
        <v>51662</v>
      </c>
      <c r="E36" s="481"/>
      <c r="F36" s="481">
        <v>380</v>
      </c>
      <c r="G36" s="481"/>
      <c r="H36" s="481"/>
      <c r="I36" s="467"/>
      <c r="J36" s="467"/>
      <c r="K36" s="1693">
        <f t="shared" ref="K36:K41" si="2">SUM(C36:J36)</f>
        <v>339164</v>
      </c>
      <c r="L36" s="466">
        <v>339858</v>
      </c>
    </row>
    <row r="37" spans="1:14" x14ac:dyDescent="0.2">
      <c r="A37" s="1526" t="s">
        <v>1150</v>
      </c>
      <c r="B37" s="615">
        <v>2120</v>
      </c>
      <c r="C37" s="466">
        <v>153094</v>
      </c>
      <c r="D37" s="466">
        <v>34705</v>
      </c>
      <c r="E37" s="466">
        <v>5561</v>
      </c>
      <c r="F37" s="466">
        <v>1000</v>
      </c>
      <c r="G37" s="466"/>
      <c r="H37" s="466"/>
      <c r="I37" s="467"/>
      <c r="J37" s="467"/>
      <c r="K37" s="1693">
        <f t="shared" si="2"/>
        <v>194360</v>
      </c>
      <c r="L37" s="466">
        <v>191611</v>
      </c>
    </row>
    <row r="38" spans="1:14" x14ac:dyDescent="0.2">
      <c r="A38" s="1526" t="s">
        <v>207</v>
      </c>
      <c r="B38" s="615">
        <v>2130</v>
      </c>
      <c r="C38" s="466">
        <v>126293</v>
      </c>
      <c r="D38" s="466">
        <v>25962</v>
      </c>
      <c r="E38" s="466">
        <v>534</v>
      </c>
      <c r="F38" s="466">
        <v>1944</v>
      </c>
      <c r="G38" s="466">
        <v>3585</v>
      </c>
      <c r="H38" s="466"/>
      <c r="I38" s="467"/>
      <c r="J38" s="467"/>
      <c r="K38" s="1693">
        <f t="shared" si="2"/>
        <v>158318</v>
      </c>
      <c r="L38" s="466">
        <v>161935</v>
      </c>
    </row>
    <row r="39" spans="1:14" x14ac:dyDescent="0.2">
      <c r="A39" s="1526" t="s">
        <v>208</v>
      </c>
      <c r="B39" s="615">
        <v>2140</v>
      </c>
      <c r="C39" s="466">
        <v>75610</v>
      </c>
      <c r="D39" s="466">
        <v>16530</v>
      </c>
      <c r="E39" s="466"/>
      <c r="F39" s="466"/>
      <c r="G39" s="466"/>
      <c r="H39" s="466"/>
      <c r="I39" s="467"/>
      <c r="J39" s="467"/>
      <c r="K39" s="1693">
        <f t="shared" si="2"/>
        <v>92140</v>
      </c>
      <c r="L39" s="466">
        <v>92710</v>
      </c>
    </row>
    <row r="40" spans="1:14" x14ac:dyDescent="0.2">
      <c r="A40" s="1526" t="s">
        <v>209</v>
      </c>
      <c r="B40" s="615">
        <v>2150</v>
      </c>
      <c r="C40" s="466">
        <v>234931</v>
      </c>
      <c r="D40" s="466">
        <v>51115</v>
      </c>
      <c r="E40" s="466"/>
      <c r="F40" s="466">
        <v>892</v>
      </c>
      <c r="G40" s="466"/>
      <c r="H40" s="466">
        <v>675</v>
      </c>
      <c r="I40" s="467"/>
      <c r="J40" s="467"/>
      <c r="K40" s="1693">
        <f t="shared" si="2"/>
        <v>287613</v>
      </c>
      <c r="L40" s="466">
        <v>296867</v>
      </c>
    </row>
    <row r="41" spans="1:14" x14ac:dyDescent="0.2">
      <c r="A41" s="1526" t="s">
        <v>1767</v>
      </c>
      <c r="B41" s="615">
        <v>2190</v>
      </c>
      <c r="C41" s="466">
        <v>100593</v>
      </c>
      <c r="D41" s="466">
        <v>11208</v>
      </c>
      <c r="E41" s="466">
        <v>712</v>
      </c>
      <c r="F41" s="466"/>
      <c r="G41" s="466"/>
      <c r="H41" s="466">
        <v>1822</v>
      </c>
      <c r="I41" s="467"/>
      <c r="J41" s="467"/>
      <c r="K41" s="1693">
        <f t="shared" si="2"/>
        <v>114335</v>
      </c>
      <c r="L41" s="466">
        <v>116575</v>
      </c>
    </row>
    <row r="42" spans="1:14" ht="12.75" customHeight="1" thickBot="1" x14ac:dyDescent="0.25">
      <c r="A42" s="1690" t="s">
        <v>580</v>
      </c>
      <c r="B42" s="1691" t="s">
        <v>739</v>
      </c>
      <c r="C42" s="1692">
        <f>SUM(C36:C41)</f>
        <v>977643</v>
      </c>
      <c r="D42" s="1692">
        <f t="shared" ref="D42:L42" si="3">SUM(D36:D41)</f>
        <v>191182</v>
      </c>
      <c r="E42" s="1692">
        <f t="shared" si="3"/>
        <v>6807</v>
      </c>
      <c r="F42" s="1692">
        <f t="shared" si="3"/>
        <v>4216</v>
      </c>
      <c r="G42" s="1692">
        <f t="shared" si="3"/>
        <v>3585</v>
      </c>
      <c r="H42" s="1692">
        <f t="shared" si="3"/>
        <v>2497</v>
      </c>
      <c r="I42" s="1692">
        <f t="shared" si="3"/>
        <v>0</v>
      </c>
      <c r="J42" s="1692">
        <f t="shared" si="3"/>
        <v>0</v>
      </c>
      <c r="K42" s="1692">
        <f t="shared" si="3"/>
        <v>1185930</v>
      </c>
      <c r="L42" s="1692">
        <f t="shared" si="3"/>
        <v>1199556</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205558</v>
      </c>
      <c r="D44" s="481">
        <v>45395</v>
      </c>
      <c r="E44" s="481">
        <v>60695</v>
      </c>
      <c r="F44" s="481">
        <v>7908</v>
      </c>
      <c r="G44" s="481"/>
      <c r="H44" s="481">
        <v>1878</v>
      </c>
      <c r="I44" s="467"/>
      <c r="J44" s="467"/>
      <c r="K44" s="1694">
        <f>SUM(C44:J44)</f>
        <v>321434</v>
      </c>
      <c r="L44" s="481">
        <v>341987</v>
      </c>
    </row>
    <row r="45" spans="1:14" x14ac:dyDescent="0.2">
      <c r="A45" s="1526" t="s">
        <v>868</v>
      </c>
      <c r="B45" s="615">
        <v>2220</v>
      </c>
      <c r="C45" s="466">
        <v>231346</v>
      </c>
      <c r="D45" s="466">
        <v>40469</v>
      </c>
      <c r="E45" s="466"/>
      <c r="F45" s="466">
        <v>6978</v>
      </c>
      <c r="G45" s="466"/>
      <c r="H45" s="466">
        <v>12727</v>
      </c>
      <c r="I45" s="467"/>
      <c r="J45" s="467"/>
      <c r="K45" s="1694">
        <f>SUM(C45:J45)</f>
        <v>291520</v>
      </c>
      <c r="L45" s="466">
        <v>295430</v>
      </c>
    </row>
    <row r="46" spans="1:14" x14ac:dyDescent="0.2">
      <c r="A46" s="1526" t="s">
        <v>869</v>
      </c>
      <c r="B46" s="615">
        <v>2230</v>
      </c>
      <c r="C46" s="466"/>
      <c r="D46" s="466"/>
      <c r="E46" s="466">
        <v>24195</v>
      </c>
      <c r="F46" s="466"/>
      <c r="G46" s="466"/>
      <c r="H46" s="466"/>
      <c r="I46" s="467"/>
      <c r="J46" s="467"/>
      <c r="K46" s="1694">
        <f>SUM(C46:J46)</f>
        <v>24195</v>
      </c>
      <c r="L46" s="466">
        <v>24195</v>
      </c>
    </row>
    <row r="47" spans="1:14" ht="12.75" customHeight="1" thickBot="1" x14ac:dyDescent="0.25">
      <c r="A47" s="1690" t="s">
        <v>581</v>
      </c>
      <c r="B47" s="1691" t="s">
        <v>32</v>
      </c>
      <c r="C47" s="1692">
        <f>SUM(C44:C46)</f>
        <v>436904</v>
      </c>
      <c r="D47" s="1692">
        <f t="shared" ref="D47:K47" si="4">SUM(D44:D46)</f>
        <v>85864</v>
      </c>
      <c r="E47" s="1692">
        <f t="shared" si="4"/>
        <v>84890</v>
      </c>
      <c r="F47" s="1692">
        <f t="shared" si="4"/>
        <v>14886</v>
      </c>
      <c r="G47" s="1692">
        <f t="shared" si="4"/>
        <v>0</v>
      </c>
      <c r="H47" s="1692">
        <f t="shared" si="4"/>
        <v>14605</v>
      </c>
      <c r="I47" s="1692">
        <f t="shared" si="4"/>
        <v>0</v>
      </c>
      <c r="J47" s="1692">
        <f t="shared" si="4"/>
        <v>0</v>
      </c>
      <c r="K47" s="1692">
        <f t="shared" si="4"/>
        <v>637149</v>
      </c>
      <c r="L47" s="1692">
        <f>SUM(L44:L46)</f>
        <v>661612</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65867</v>
      </c>
      <c r="F49" s="481">
        <v>1381</v>
      </c>
      <c r="G49" s="481"/>
      <c r="H49" s="481">
        <v>6307</v>
      </c>
      <c r="I49" s="467"/>
      <c r="J49" s="467"/>
      <c r="K49" s="1694">
        <f>SUM(C49:J49)</f>
        <v>73555</v>
      </c>
      <c r="L49" s="481">
        <v>75925</v>
      </c>
    </row>
    <row r="50" spans="1:14" x14ac:dyDescent="0.2">
      <c r="A50" s="1526" t="s">
        <v>871</v>
      </c>
      <c r="B50" s="615">
        <v>2320</v>
      </c>
      <c r="C50" s="466">
        <v>198242</v>
      </c>
      <c r="D50" s="466">
        <v>40713</v>
      </c>
      <c r="E50" s="466">
        <v>58392</v>
      </c>
      <c r="F50" s="466">
        <v>56826</v>
      </c>
      <c r="G50" s="466">
        <v>32786</v>
      </c>
      <c r="H50" s="466">
        <v>5588</v>
      </c>
      <c r="I50" s="467"/>
      <c r="J50" s="467"/>
      <c r="K50" s="1694">
        <f>SUM(C50:J50)</f>
        <v>392547</v>
      </c>
      <c r="L50" s="466">
        <v>392583</v>
      </c>
    </row>
    <row r="51" spans="1:14" x14ac:dyDescent="0.2">
      <c r="A51" s="1526" t="s">
        <v>44</v>
      </c>
      <c r="B51" s="615">
        <v>2330</v>
      </c>
      <c r="C51" s="466">
        <v>133732</v>
      </c>
      <c r="D51" s="466">
        <v>23514</v>
      </c>
      <c r="E51" s="466">
        <v>4882</v>
      </c>
      <c r="F51" s="466">
        <v>2542</v>
      </c>
      <c r="G51" s="466">
        <v>1262</v>
      </c>
      <c r="H51" s="466"/>
      <c r="I51" s="467"/>
      <c r="J51" s="467"/>
      <c r="K51" s="1694">
        <f>SUM(C51:J51)</f>
        <v>165932</v>
      </c>
      <c r="L51" s="466">
        <v>166384</v>
      </c>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331974</v>
      </c>
      <c r="D53" s="1692">
        <f t="shared" ref="D53:L53" si="5">SUM(D49:D52)</f>
        <v>64227</v>
      </c>
      <c r="E53" s="1692">
        <f t="shared" si="5"/>
        <v>129141</v>
      </c>
      <c r="F53" s="1692">
        <f t="shared" si="5"/>
        <v>60749</v>
      </c>
      <c r="G53" s="1692">
        <f t="shared" si="5"/>
        <v>34048</v>
      </c>
      <c r="H53" s="1692">
        <f t="shared" si="5"/>
        <v>11895</v>
      </c>
      <c r="I53" s="1692">
        <f t="shared" si="5"/>
        <v>0</v>
      </c>
      <c r="J53" s="1692">
        <f t="shared" si="5"/>
        <v>0</v>
      </c>
      <c r="K53" s="1692">
        <f t="shared" si="5"/>
        <v>632034</v>
      </c>
      <c r="L53" s="1692">
        <f t="shared" si="5"/>
        <v>634892</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785294</v>
      </c>
      <c r="D55" s="481">
        <v>140478</v>
      </c>
      <c r="E55" s="481">
        <v>27120</v>
      </c>
      <c r="F55" s="481">
        <v>6215</v>
      </c>
      <c r="G55" s="481">
        <v>7131</v>
      </c>
      <c r="H55" s="481">
        <v>2310</v>
      </c>
      <c r="I55" s="467"/>
      <c r="J55" s="467">
        <v>633</v>
      </c>
      <c r="K55" s="1694">
        <f>SUM(C55:J55)</f>
        <v>969181</v>
      </c>
      <c r="L55" s="481">
        <v>977195</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785294</v>
      </c>
      <c r="D57" s="1696">
        <f t="shared" ref="D57:K57" si="6">SUM(D55:D56)</f>
        <v>140478</v>
      </c>
      <c r="E57" s="1696">
        <f t="shared" si="6"/>
        <v>27120</v>
      </c>
      <c r="F57" s="1696">
        <f t="shared" si="6"/>
        <v>6215</v>
      </c>
      <c r="G57" s="1696">
        <f t="shared" si="6"/>
        <v>7131</v>
      </c>
      <c r="H57" s="1696">
        <f t="shared" si="6"/>
        <v>2310</v>
      </c>
      <c r="I57" s="1696">
        <f t="shared" si="6"/>
        <v>0</v>
      </c>
      <c r="J57" s="1696">
        <f t="shared" si="6"/>
        <v>633</v>
      </c>
      <c r="K57" s="1696">
        <f t="shared" si="6"/>
        <v>969181</v>
      </c>
      <c r="L57" s="1692">
        <f>SUM(L55:L56)</f>
        <v>977195</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255312</v>
      </c>
      <c r="D60" s="466">
        <v>56986</v>
      </c>
      <c r="E60" s="466">
        <v>18810</v>
      </c>
      <c r="F60" s="466">
        <v>1925</v>
      </c>
      <c r="G60" s="466"/>
      <c r="H60" s="466">
        <v>1458</v>
      </c>
      <c r="I60" s="467"/>
      <c r="J60" s="467">
        <v>18901</v>
      </c>
      <c r="K60" s="1694">
        <f t="shared" si="7"/>
        <v>353392</v>
      </c>
      <c r="L60" s="466">
        <v>370278</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1009</v>
      </c>
      <c r="B62" s="615">
        <v>2550</v>
      </c>
      <c r="C62" s="466"/>
      <c r="D62" s="466"/>
      <c r="E62" s="466">
        <v>10000</v>
      </c>
      <c r="F62" s="466"/>
      <c r="G62" s="466"/>
      <c r="H62" s="466"/>
      <c r="I62" s="467"/>
      <c r="J62" s="467"/>
      <c r="K62" s="1694">
        <f t="shared" si="7"/>
        <v>10000</v>
      </c>
      <c r="L62" s="466">
        <v>10300</v>
      </c>
      <c r="M62" s="610"/>
      <c r="N62" s="610"/>
    </row>
    <row r="63" spans="1:14" s="610" customFormat="1" x14ac:dyDescent="0.2">
      <c r="A63" s="1526" t="s">
        <v>102</v>
      </c>
      <c r="B63" s="615">
        <v>2560</v>
      </c>
      <c r="C63" s="466">
        <v>513007</v>
      </c>
      <c r="D63" s="466">
        <v>27717</v>
      </c>
      <c r="E63" s="466">
        <v>11014</v>
      </c>
      <c r="F63" s="466">
        <v>412812</v>
      </c>
      <c r="G63" s="466">
        <v>41426</v>
      </c>
      <c r="H63" s="466">
        <v>174</v>
      </c>
      <c r="I63" s="467"/>
      <c r="J63" s="467">
        <v>31</v>
      </c>
      <c r="K63" s="1694">
        <f t="shared" si="7"/>
        <v>1006181</v>
      </c>
      <c r="L63" s="466">
        <v>949595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768319</v>
      </c>
      <c r="D65" s="1692">
        <f t="shared" ref="D65:L65" si="8">SUM(D59:D64)</f>
        <v>84703</v>
      </c>
      <c r="E65" s="1692">
        <f t="shared" si="8"/>
        <v>39824</v>
      </c>
      <c r="F65" s="1692">
        <f t="shared" si="8"/>
        <v>414737</v>
      </c>
      <c r="G65" s="1692">
        <f t="shared" si="8"/>
        <v>41426</v>
      </c>
      <c r="H65" s="1692">
        <f t="shared" si="8"/>
        <v>1632</v>
      </c>
      <c r="I65" s="1692">
        <f t="shared" si="8"/>
        <v>0</v>
      </c>
      <c r="J65" s="1692">
        <f t="shared" si="8"/>
        <v>18932</v>
      </c>
      <c r="K65" s="1692">
        <f t="shared" si="8"/>
        <v>1369573</v>
      </c>
      <c r="L65" s="1692">
        <f t="shared" si="8"/>
        <v>1330173</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v>247419</v>
      </c>
      <c r="D71" s="466">
        <v>26088</v>
      </c>
      <c r="E71" s="466">
        <v>68714</v>
      </c>
      <c r="F71" s="466">
        <v>94880</v>
      </c>
      <c r="G71" s="466">
        <v>93049</v>
      </c>
      <c r="H71" s="466"/>
      <c r="I71" s="467"/>
      <c r="J71" s="467"/>
      <c r="K71" s="1694">
        <f>SUM(C71:J71)</f>
        <v>530150</v>
      </c>
      <c r="L71" s="466">
        <v>785920</v>
      </c>
      <c r="M71" s="610"/>
      <c r="N71" s="610"/>
    </row>
    <row r="72" spans="1:14" s="343" customFormat="1" ht="12.75" customHeight="1" thickBot="1" x14ac:dyDescent="0.25">
      <c r="A72" s="1690" t="s">
        <v>37</v>
      </c>
      <c r="B72" s="1697" t="s">
        <v>36</v>
      </c>
      <c r="C72" s="1692">
        <f>SUM(C67:C71)</f>
        <v>247419</v>
      </c>
      <c r="D72" s="1692">
        <f t="shared" ref="D72:K72" si="9">SUM(D67:D71)</f>
        <v>26088</v>
      </c>
      <c r="E72" s="1692">
        <f t="shared" si="9"/>
        <v>68714</v>
      </c>
      <c r="F72" s="1692">
        <f t="shared" si="9"/>
        <v>94880</v>
      </c>
      <c r="G72" s="1692">
        <f t="shared" si="9"/>
        <v>93049</v>
      </c>
      <c r="H72" s="1692">
        <f t="shared" si="9"/>
        <v>0</v>
      </c>
      <c r="I72" s="1692">
        <f t="shared" si="9"/>
        <v>0</v>
      </c>
      <c r="J72" s="1692">
        <f t="shared" si="9"/>
        <v>0</v>
      </c>
      <c r="K72" s="1692">
        <f t="shared" si="9"/>
        <v>530150</v>
      </c>
      <c r="L72" s="1692">
        <f>SUM(L67:L71)</f>
        <v>785920</v>
      </c>
      <c r="M72" s="610"/>
      <c r="N72" s="610"/>
    </row>
    <row r="73" spans="1:14" s="343" customFormat="1" ht="14.25" thickTop="1" thickBot="1" x14ac:dyDescent="0.25">
      <c r="A73" s="1532" t="s">
        <v>1036</v>
      </c>
      <c r="B73" s="633" t="s">
        <v>594</v>
      </c>
      <c r="C73" s="573"/>
      <c r="D73" s="573"/>
      <c r="E73" s="573"/>
      <c r="F73" s="573">
        <v>253</v>
      </c>
      <c r="G73" s="573"/>
      <c r="H73" s="573"/>
      <c r="I73" s="531"/>
      <c r="J73" s="531"/>
      <c r="K73" s="1692">
        <f>SUM(C73:J73)</f>
        <v>253</v>
      </c>
      <c r="L73" s="576">
        <v>255</v>
      </c>
      <c r="M73" s="610"/>
      <c r="N73" s="610"/>
    </row>
    <row r="74" spans="1:14" ht="12.75" customHeight="1" thickTop="1" thickBot="1" x14ac:dyDescent="0.25">
      <c r="A74" s="1690" t="s">
        <v>864</v>
      </c>
      <c r="B74" s="1698">
        <v>2000</v>
      </c>
      <c r="C74" s="1699">
        <f>SUM(C42,C47,C53,C57,C65,C72,C73)</f>
        <v>3547553</v>
      </c>
      <c r="D74" s="1699">
        <f t="shared" ref="D74:K74" si="10">SUM(D42,D47,D53,D57,D65,D72,D73)</f>
        <v>592542</v>
      </c>
      <c r="E74" s="1699">
        <f t="shared" si="10"/>
        <v>356496</v>
      </c>
      <c r="F74" s="1699">
        <f t="shared" si="10"/>
        <v>595936</v>
      </c>
      <c r="G74" s="1699">
        <f t="shared" si="10"/>
        <v>179239</v>
      </c>
      <c r="H74" s="1699">
        <f t="shared" si="10"/>
        <v>32939</v>
      </c>
      <c r="I74" s="1699">
        <f t="shared" si="10"/>
        <v>0</v>
      </c>
      <c r="J74" s="1699">
        <f t="shared" si="10"/>
        <v>19565</v>
      </c>
      <c r="K74" s="1699">
        <f t="shared" si="10"/>
        <v>5324270</v>
      </c>
      <c r="L74" s="1699">
        <f>SUM(L42,L47,L53,L57,L65,L72,L73)</f>
        <v>5589603</v>
      </c>
    </row>
    <row r="75" spans="1:14" s="259" customFormat="1" ht="15.75" customHeight="1" thickTop="1" thickBot="1" x14ac:dyDescent="0.25">
      <c r="A75" s="1632" t="s">
        <v>49</v>
      </c>
      <c r="B75" s="1633" t="s">
        <v>595</v>
      </c>
      <c r="C75" s="573">
        <v>56305</v>
      </c>
      <c r="D75" s="573">
        <v>5887</v>
      </c>
      <c r="E75" s="573">
        <v>1886</v>
      </c>
      <c r="F75" s="573">
        <v>13619</v>
      </c>
      <c r="G75" s="573">
        <v>1288</v>
      </c>
      <c r="H75" s="573"/>
      <c r="I75" s="531"/>
      <c r="J75" s="531"/>
      <c r="K75" s="1692">
        <f>SUM(C75:J75)</f>
        <v>78985</v>
      </c>
      <c r="L75" s="576">
        <v>81017</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v>33827</v>
      </c>
      <c r="I79" s="477"/>
      <c r="J79" s="477"/>
      <c r="K79" s="1693">
        <f t="shared" si="11"/>
        <v>33827</v>
      </c>
      <c r="L79" s="466">
        <v>44465</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33827</v>
      </c>
      <c r="I84" s="477"/>
      <c r="J84" s="477"/>
      <c r="K84" s="1692">
        <f>SUM(K78:K83)</f>
        <v>33827</v>
      </c>
      <c r="L84" s="1692">
        <f>SUM(L78:L83)</f>
        <v>44465</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c r="I86" s="477"/>
      <c r="J86" s="477"/>
      <c r="K86" s="1699">
        <f t="shared" ref="K86:K98" si="12">H86</f>
        <v>0</v>
      </c>
      <c r="L86" s="530"/>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c r="I88" s="477"/>
      <c r="J88" s="477"/>
      <c r="K88" s="1699">
        <f t="shared" si="12"/>
        <v>0</v>
      </c>
      <c r="L88" s="530"/>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33827</v>
      </c>
      <c r="I102" s="477"/>
      <c r="J102" s="477"/>
      <c r="K102" s="1699">
        <f>SUM(K84,K92,K100,K101)</f>
        <v>33827</v>
      </c>
      <c r="L102" s="1699">
        <f>SUM(L84,L92,L100,L101)</f>
        <v>44465</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12890870</v>
      </c>
      <c r="D114" s="1692">
        <f t="shared" ref="D114:K114" si="13">SUM(D33,D74,D75,D102,D112,D113)</f>
        <v>2514488</v>
      </c>
      <c r="E114" s="1692">
        <f t="shared" si="13"/>
        <v>579706</v>
      </c>
      <c r="F114" s="1692">
        <f t="shared" si="13"/>
        <v>1056089</v>
      </c>
      <c r="G114" s="1692">
        <f t="shared" si="13"/>
        <v>336120</v>
      </c>
      <c r="H114" s="1692">
        <f>SUM(H33,H74,H75,H102,H112,H113)</f>
        <v>416103</v>
      </c>
      <c r="I114" s="1692">
        <f t="shared" si="13"/>
        <v>0</v>
      </c>
      <c r="J114" s="1692">
        <f t="shared" si="13"/>
        <v>20219</v>
      </c>
      <c r="K114" s="1692">
        <f t="shared" si="13"/>
        <v>17813595</v>
      </c>
      <c r="L114" s="1692">
        <f>SUM(L33,L74,L75,L102,L112,L113)</f>
        <v>18225500</v>
      </c>
    </row>
    <row r="115" spans="1:14" ht="13.5" thickTop="1" x14ac:dyDescent="0.2">
      <c r="A115" s="2198" t="s">
        <v>1052</v>
      </c>
      <c r="B115" s="2199"/>
      <c r="C115" s="619"/>
      <c r="D115" s="619"/>
      <c r="E115" s="619"/>
      <c r="F115" s="619"/>
      <c r="G115" s="619"/>
      <c r="H115" s="619"/>
      <c r="I115" s="619"/>
      <c r="J115" s="619"/>
      <c r="K115" s="1706">
        <f>'Revenues 9-14'!C275-'Expenditures 15-22'!K114</f>
        <v>244739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313</v>
      </c>
      <c r="B117" s="2177"/>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839056</v>
      </c>
      <c r="D124" s="466">
        <v>96524</v>
      </c>
      <c r="E124" s="466">
        <v>242071</v>
      </c>
      <c r="F124" s="466">
        <v>636508</v>
      </c>
      <c r="G124" s="466">
        <v>160374</v>
      </c>
      <c r="H124" s="466">
        <v>806988</v>
      </c>
      <c r="I124" s="467"/>
      <c r="J124" s="467">
        <v>851</v>
      </c>
      <c r="K124" s="1692">
        <f>SUM(C124:J124)</f>
        <v>2782372</v>
      </c>
      <c r="L124" s="466">
        <v>2859773</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839056</v>
      </c>
      <c r="D127" s="1692">
        <f t="shared" ref="D127:L127" si="14">SUM(D122:D126)</f>
        <v>96524</v>
      </c>
      <c r="E127" s="1692">
        <f t="shared" si="14"/>
        <v>242071</v>
      </c>
      <c r="F127" s="1692">
        <f t="shared" si="14"/>
        <v>636508</v>
      </c>
      <c r="G127" s="1692">
        <f t="shared" si="14"/>
        <v>160374</v>
      </c>
      <c r="H127" s="1692">
        <f t="shared" si="14"/>
        <v>806988</v>
      </c>
      <c r="I127" s="1692">
        <f t="shared" si="14"/>
        <v>0</v>
      </c>
      <c r="J127" s="1692">
        <f t="shared" si="14"/>
        <v>851</v>
      </c>
      <c r="K127" s="1692">
        <f t="shared" si="14"/>
        <v>2782372</v>
      </c>
      <c r="L127" s="1692">
        <f t="shared" si="14"/>
        <v>2859773</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839056</v>
      </c>
      <c r="D129" s="1699">
        <f t="shared" ref="D129:L129" si="15">SUM(D120,D127,D128)</f>
        <v>96524</v>
      </c>
      <c r="E129" s="1699">
        <f t="shared" si="15"/>
        <v>242071</v>
      </c>
      <c r="F129" s="1699">
        <f t="shared" si="15"/>
        <v>636508</v>
      </c>
      <c r="G129" s="1699">
        <f t="shared" si="15"/>
        <v>160374</v>
      </c>
      <c r="H129" s="1699">
        <f t="shared" si="15"/>
        <v>806988</v>
      </c>
      <c r="I129" s="1699">
        <f t="shared" si="15"/>
        <v>0</v>
      </c>
      <c r="J129" s="1699">
        <f t="shared" si="15"/>
        <v>851</v>
      </c>
      <c r="K129" s="1699">
        <f t="shared" si="15"/>
        <v>2782372</v>
      </c>
      <c r="L129" s="1699">
        <f t="shared" si="15"/>
        <v>2859773</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88" t="s">
        <v>640</v>
      </c>
      <c r="B151" s="2170"/>
      <c r="C151" s="1692">
        <f>SUM(C129,C130,C139,C149,C150)</f>
        <v>839056</v>
      </c>
      <c r="D151" s="1692">
        <f t="shared" ref="D151:K151" si="16">SUM(D129,D130,D139,D149,D150)</f>
        <v>96524</v>
      </c>
      <c r="E151" s="1692">
        <f t="shared" si="16"/>
        <v>242071</v>
      </c>
      <c r="F151" s="1692">
        <f t="shared" si="16"/>
        <v>636508</v>
      </c>
      <c r="G151" s="1692">
        <f t="shared" si="16"/>
        <v>160374</v>
      </c>
      <c r="H151" s="1692">
        <f t="shared" si="16"/>
        <v>806988</v>
      </c>
      <c r="I151" s="1692">
        <f t="shared" si="16"/>
        <v>0</v>
      </c>
      <c r="J151" s="1692">
        <f t="shared" si="16"/>
        <v>851</v>
      </c>
      <c r="K151" s="1692">
        <f t="shared" si="16"/>
        <v>2782372</v>
      </c>
      <c r="L151" s="1692">
        <f>SUM(L129,L130,L139,L149,L150)</f>
        <v>2859773</v>
      </c>
    </row>
    <row r="152" spans="1:14" ht="12.75" customHeight="1" thickTop="1" x14ac:dyDescent="0.2">
      <c r="A152" s="2191" t="s">
        <v>1239</v>
      </c>
      <c r="B152" s="2192"/>
      <c r="C152" s="619"/>
      <c r="D152" s="619"/>
      <c r="E152" s="619"/>
      <c r="F152" s="619"/>
      <c r="G152" s="619"/>
      <c r="H152" s="619"/>
      <c r="I152" s="619"/>
      <c r="J152" s="617"/>
      <c r="K152" s="1706">
        <f>'Revenues 9-14'!D275-'Expenditures 15-22'!K151</f>
        <v>-78380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641</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787999</v>
      </c>
      <c r="I169" s="617"/>
      <c r="J169" s="617"/>
      <c r="K169" s="1693">
        <f>SUM(C169:H169)</f>
        <v>787999</v>
      </c>
      <c r="L169" s="657">
        <v>774109</v>
      </c>
    </row>
    <row r="170" spans="1:14" ht="33.75" customHeight="1" x14ac:dyDescent="0.2">
      <c r="A170" s="670" t="s">
        <v>1768</v>
      </c>
      <c r="B170" s="672" t="s">
        <v>31</v>
      </c>
      <c r="C170" s="617"/>
      <c r="D170" s="617"/>
      <c r="E170" s="617"/>
      <c r="F170" s="617"/>
      <c r="G170" s="617"/>
      <c r="H170" s="569">
        <v>1441338</v>
      </c>
      <c r="I170" s="617"/>
      <c r="J170" s="617"/>
      <c r="K170" s="1693">
        <f>SUM(C170:J170)</f>
        <v>1441338</v>
      </c>
      <c r="L170" s="569">
        <v>1274000</v>
      </c>
    </row>
    <row r="171" spans="1:14" ht="15.75" customHeight="1" x14ac:dyDescent="0.2">
      <c r="A171" s="622" t="s">
        <v>789</v>
      </c>
      <c r="B171" s="673" t="s">
        <v>86</v>
      </c>
      <c r="C171" s="617"/>
      <c r="D171" s="617"/>
      <c r="E171" s="466"/>
      <c r="F171" s="617"/>
      <c r="G171" s="617"/>
      <c r="H171" s="569">
        <v>16301</v>
      </c>
      <c r="I171" s="477"/>
      <c r="J171" s="617"/>
      <c r="K171" s="1693">
        <f>SUM(C171:J171)</f>
        <v>16301</v>
      </c>
      <c r="L171" s="569">
        <v>4350</v>
      </c>
    </row>
    <row r="172" spans="1:14" ht="12.75" customHeight="1" thickBot="1" x14ac:dyDescent="0.25">
      <c r="A172" s="1690" t="s">
        <v>658</v>
      </c>
      <c r="B172" s="1691" t="s">
        <v>512</v>
      </c>
      <c r="C172" s="617"/>
      <c r="D172" s="617"/>
      <c r="E172" s="1699">
        <f>SUM(E168,E169,E170,E171)</f>
        <v>0</v>
      </c>
      <c r="F172" s="617"/>
      <c r="G172" s="617"/>
      <c r="H172" s="1699">
        <f>SUM(H168,H169,H170,H171)</f>
        <v>2245638</v>
      </c>
      <c r="I172" s="639"/>
      <c r="J172" s="617"/>
      <c r="K172" s="1699">
        <f>SUM(K168,K169,K170,K171)</f>
        <v>2245638</v>
      </c>
      <c r="L172" s="1699">
        <f>SUM(L168,L169,L170,L171)</f>
        <v>2052459</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2245638</v>
      </c>
      <c r="I174" s="639"/>
      <c r="J174" s="617"/>
      <c r="K174" s="1699">
        <f>SUM(K160,K172,K173)</f>
        <v>2245638</v>
      </c>
      <c r="L174" s="1699">
        <f>SUM(L160,L172,L173)</f>
        <v>2052459</v>
      </c>
    </row>
    <row r="175" spans="1:14" ht="13.5" thickTop="1" x14ac:dyDescent="0.2">
      <c r="A175" s="2198" t="s">
        <v>1052</v>
      </c>
      <c r="B175" s="2199"/>
      <c r="C175" s="617"/>
      <c r="D175" s="617"/>
      <c r="E175" s="617"/>
      <c r="F175" s="617"/>
      <c r="G175" s="617"/>
      <c r="H175" s="619"/>
      <c r="I175" s="617"/>
      <c r="J175" s="617"/>
      <c r="K175" s="1706">
        <f>'Revenues 9-14'!E275-'Expenditures 15-22'!K174</f>
        <v>-209524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509683</v>
      </c>
      <c r="D182" s="466">
        <v>29984</v>
      </c>
      <c r="E182" s="466">
        <v>62309</v>
      </c>
      <c r="F182" s="466">
        <v>102466</v>
      </c>
      <c r="G182" s="466">
        <v>212743</v>
      </c>
      <c r="H182" s="466">
        <v>300665</v>
      </c>
      <c r="I182" s="467"/>
      <c r="J182" s="467"/>
      <c r="K182" s="1693">
        <f>SUM(C182:J182)</f>
        <v>1217850</v>
      </c>
      <c r="L182" s="466">
        <v>1245084</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509683</v>
      </c>
      <c r="D184" s="1699">
        <f t="shared" ref="D184:J184" si="17">SUM(D180,D182,D183)</f>
        <v>29984</v>
      </c>
      <c r="E184" s="1699">
        <f t="shared" si="17"/>
        <v>62309</v>
      </c>
      <c r="F184" s="1699">
        <f t="shared" si="17"/>
        <v>102466</v>
      </c>
      <c r="G184" s="1699">
        <f t="shared" si="17"/>
        <v>212743</v>
      </c>
      <c r="H184" s="1699">
        <f t="shared" si="17"/>
        <v>300665</v>
      </c>
      <c r="I184" s="1699">
        <f t="shared" si="17"/>
        <v>0</v>
      </c>
      <c r="J184" s="1699">
        <f t="shared" si="17"/>
        <v>0</v>
      </c>
      <c r="K184" s="1699">
        <f>SUM(K180,K182,K183)</f>
        <v>1217850</v>
      </c>
      <c r="L184" s="1699">
        <f>SUM(L180, L182:L183)</f>
        <v>1245084</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509683</v>
      </c>
      <c r="D210" s="1692">
        <f>SUM(D184,D185)</f>
        <v>29984</v>
      </c>
      <c r="E210" s="1692">
        <f>SUM(E184,E185,E196)</f>
        <v>62309</v>
      </c>
      <c r="F210" s="1692">
        <f>SUM(F184,F185)</f>
        <v>102466</v>
      </c>
      <c r="G210" s="1692">
        <f>SUM(G184,G185)</f>
        <v>212743</v>
      </c>
      <c r="H210" s="1692">
        <f>SUM(H184,H185,H196,H208,H209)</f>
        <v>300665</v>
      </c>
      <c r="I210" s="1692">
        <f>SUM(I184,I185)</f>
        <v>0</v>
      </c>
      <c r="J210" s="1692">
        <f>SUM(J184,J185)</f>
        <v>0</v>
      </c>
      <c r="K210" s="1693">
        <f>SUM(K184,K185,K196,K208,K209)</f>
        <v>1217850</v>
      </c>
      <c r="L210" s="1692">
        <f>SUM(L184,L185,L196,L208,L209)</f>
        <v>1245084</v>
      </c>
    </row>
    <row r="211" spans="1:14" ht="13.5" thickTop="1" x14ac:dyDescent="0.2">
      <c r="A211" s="2198" t="s">
        <v>1052</v>
      </c>
      <c r="B211" s="2199"/>
      <c r="C211" s="619"/>
      <c r="D211" s="619"/>
      <c r="E211" s="619"/>
      <c r="F211" s="619"/>
      <c r="G211" s="619"/>
      <c r="H211" s="619"/>
      <c r="I211" s="617"/>
      <c r="J211" s="617"/>
      <c r="K211" s="1706">
        <f>'Revenues 9-14'!F275-'Expenditures 15-22'!K210</f>
        <v>31215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1021</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110216</v>
      </c>
      <c r="E215" s="617"/>
      <c r="F215" s="617"/>
      <c r="G215" s="617"/>
      <c r="H215" s="617"/>
      <c r="I215" s="617"/>
      <c r="J215" s="617"/>
      <c r="K215" s="1693">
        <f>D215</f>
        <v>110216</v>
      </c>
      <c r="L215" s="466">
        <v>92651</v>
      </c>
    </row>
    <row r="216" spans="1:14" x14ac:dyDescent="0.2">
      <c r="A216" s="1526" t="s">
        <v>165</v>
      </c>
      <c r="B216" s="615" t="s">
        <v>1023</v>
      </c>
      <c r="C216" s="617"/>
      <c r="D216" s="467"/>
      <c r="E216" s="617"/>
      <c r="F216" s="617"/>
      <c r="G216" s="617"/>
      <c r="H216" s="617"/>
      <c r="I216" s="617"/>
      <c r="J216" s="617"/>
      <c r="K216" s="1693">
        <f t="shared" ref="K216:K228" si="19">D216</f>
        <v>0</v>
      </c>
      <c r="L216" s="466">
        <v>17064</v>
      </c>
    </row>
    <row r="217" spans="1:14" x14ac:dyDescent="0.2">
      <c r="A217" s="1526" t="s">
        <v>166</v>
      </c>
      <c r="B217" s="615">
        <v>1200</v>
      </c>
      <c r="C217" s="617"/>
      <c r="D217" s="466">
        <v>97974</v>
      </c>
      <c r="E217" s="617"/>
      <c r="F217" s="617"/>
      <c r="G217" s="617"/>
      <c r="H217" s="617"/>
      <c r="I217" s="617"/>
      <c r="J217" s="617"/>
      <c r="K217" s="1693">
        <f t="shared" si="19"/>
        <v>97974</v>
      </c>
      <c r="L217" s="466">
        <v>98526</v>
      </c>
    </row>
    <row r="218" spans="1:14" x14ac:dyDescent="0.2">
      <c r="A218" s="1526" t="s">
        <v>295</v>
      </c>
      <c r="B218" s="615" t="s">
        <v>1024</v>
      </c>
      <c r="C218" s="617"/>
      <c r="D218" s="467">
        <v>23080</v>
      </c>
      <c r="E218" s="617"/>
      <c r="F218" s="617"/>
      <c r="G218" s="617"/>
      <c r="H218" s="617"/>
      <c r="I218" s="617"/>
      <c r="J218" s="617"/>
      <c r="K218" s="1693">
        <f t="shared" si="19"/>
        <v>23080</v>
      </c>
      <c r="L218" s="466">
        <v>4897</v>
      </c>
    </row>
    <row r="219" spans="1:14" x14ac:dyDescent="0.2">
      <c r="A219" s="1526" t="s">
        <v>296</v>
      </c>
      <c r="B219" s="615">
        <v>1250</v>
      </c>
      <c r="C219" s="617"/>
      <c r="D219" s="466"/>
      <c r="E219" s="617"/>
      <c r="F219" s="617"/>
      <c r="G219" s="617"/>
      <c r="H219" s="617"/>
      <c r="I219" s="617"/>
      <c r="J219" s="617"/>
      <c r="K219" s="1693">
        <f t="shared" si="19"/>
        <v>0</v>
      </c>
      <c r="L219" s="466">
        <v>24301</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6410</v>
      </c>
      <c r="E222" s="617"/>
      <c r="F222" s="617"/>
      <c r="G222" s="617"/>
      <c r="H222" s="617"/>
      <c r="I222" s="617"/>
      <c r="J222" s="617"/>
      <c r="K222" s="1693">
        <f t="shared" si="19"/>
        <v>6410</v>
      </c>
      <c r="L222" s="466">
        <v>6420</v>
      </c>
    </row>
    <row r="223" spans="1:14" x14ac:dyDescent="0.2">
      <c r="A223" s="1526" t="s">
        <v>1019</v>
      </c>
      <c r="B223" s="615">
        <v>1500</v>
      </c>
      <c r="C223" s="617"/>
      <c r="D223" s="466">
        <v>7872</v>
      </c>
      <c r="E223" s="617"/>
      <c r="F223" s="617"/>
      <c r="G223" s="617"/>
      <c r="H223" s="617"/>
      <c r="I223" s="617"/>
      <c r="J223" s="617"/>
      <c r="K223" s="1693">
        <f t="shared" si="19"/>
        <v>7872</v>
      </c>
      <c r="L223" s="466">
        <v>7878</v>
      </c>
    </row>
    <row r="224" spans="1:14" x14ac:dyDescent="0.2">
      <c r="A224" s="1526" t="s">
        <v>1020</v>
      </c>
      <c r="B224" s="615">
        <v>1600</v>
      </c>
      <c r="C224" s="617"/>
      <c r="D224" s="466">
        <v>87</v>
      </c>
      <c r="E224" s="617"/>
      <c r="F224" s="617"/>
      <c r="G224" s="617"/>
      <c r="H224" s="617"/>
      <c r="I224" s="617"/>
      <c r="J224" s="617"/>
      <c r="K224" s="1693">
        <f t="shared" si="19"/>
        <v>87</v>
      </c>
      <c r="L224" s="466">
        <v>100</v>
      </c>
    </row>
    <row r="225" spans="1:12" x14ac:dyDescent="0.2">
      <c r="A225" s="1526" t="s">
        <v>1043</v>
      </c>
      <c r="B225" s="615">
        <v>1650</v>
      </c>
      <c r="C225" s="617"/>
      <c r="D225" s="466">
        <v>930</v>
      </c>
      <c r="E225" s="617"/>
      <c r="F225" s="617"/>
      <c r="G225" s="617"/>
      <c r="H225" s="617"/>
      <c r="I225" s="617"/>
      <c r="J225" s="617"/>
      <c r="K225" s="1693">
        <f t="shared" si="19"/>
        <v>930</v>
      </c>
      <c r="L225" s="466"/>
    </row>
    <row r="226" spans="1:12" x14ac:dyDescent="0.2">
      <c r="A226" s="1526" t="s">
        <v>747</v>
      </c>
      <c r="B226" s="615" t="s">
        <v>164</v>
      </c>
      <c r="C226" s="617"/>
      <c r="D226" s="467"/>
      <c r="E226" s="617"/>
      <c r="F226" s="617"/>
      <c r="G226" s="617"/>
      <c r="H226" s="617"/>
      <c r="I226" s="617"/>
      <c r="J226" s="617"/>
      <c r="K226" s="1693">
        <f t="shared" si="19"/>
        <v>0</v>
      </c>
      <c r="L226" s="466">
        <v>875</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v>870</v>
      </c>
      <c r="E228" s="617"/>
      <c r="F228" s="617"/>
      <c r="G228" s="617"/>
      <c r="H228" s="617"/>
      <c r="I228" s="617"/>
      <c r="J228" s="617"/>
      <c r="K228" s="1693">
        <f t="shared" si="19"/>
        <v>870</v>
      </c>
      <c r="L228" s="466">
        <v>875</v>
      </c>
    </row>
    <row r="229" spans="1:12" ht="12.75" customHeight="1" thickBot="1" x14ac:dyDescent="0.25">
      <c r="A229" s="1690" t="s">
        <v>738</v>
      </c>
      <c r="B229" s="1697" t="s">
        <v>590</v>
      </c>
      <c r="C229" s="617"/>
      <c r="D229" s="1692">
        <f>SUM(D215:D228)</f>
        <v>247439</v>
      </c>
      <c r="E229" s="617"/>
      <c r="F229" s="617"/>
      <c r="G229" s="617"/>
      <c r="H229" s="617"/>
      <c r="I229" s="617"/>
      <c r="J229" s="617"/>
      <c r="K229" s="1692">
        <f>SUM(K215:K228)</f>
        <v>247439</v>
      </c>
      <c r="L229" s="1692">
        <f>SUM(L215:L228)</f>
        <v>253587</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v>4189</v>
      </c>
      <c r="E232" s="617"/>
      <c r="F232" s="617"/>
      <c r="G232" s="617"/>
      <c r="H232" s="617"/>
      <c r="I232" s="617"/>
      <c r="J232" s="617"/>
      <c r="K232" s="1693">
        <f t="shared" ref="K232:K237" si="20">D232</f>
        <v>4189</v>
      </c>
      <c r="L232" s="466">
        <v>4192</v>
      </c>
    </row>
    <row r="233" spans="1:12" x14ac:dyDescent="0.2">
      <c r="A233" s="1526" t="s">
        <v>1150</v>
      </c>
      <c r="B233" s="615">
        <v>2120</v>
      </c>
      <c r="C233" s="617"/>
      <c r="D233" s="466">
        <v>4048</v>
      </c>
      <c r="E233" s="617"/>
      <c r="F233" s="617"/>
      <c r="G233" s="617"/>
      <c r="H233" s="617"/>
      <c r="I233" s="617"/>
      <c r="J233" s="617"/>
      <c r="K233" s="1693">
        <f t="shared" si="20"/>
        <v>4048</v>
      </c>
      <c r="L233" s="466">
        <v>4025</v>
      </c>
    </row>
    <row r="234" spans="1:12" x14ac:dyDescent="0.2">
      <c r="A234" s="1526" t="s">
        <v>207</v>
      </c>
      <c r="B234" s="615">
        <v>2130</v>
      </c>
      <c r="C234" s="617"/>
      <c r="D234" s="466">
        <v>12645</v>
      </c>
      <c r="E234" s="617"/>
      <c r="F234" s="617"/>
      <c r="G234" s="617"/>
      <c r="H234" s="617"/>
      <c r="I234" s="617"/>
      <c r="J234" s="617"/>
      <c r="K234" s="1693">
        <f t="shared" si="20"/>
        <v>12645</v>
      </c>
      <c r="L234" s="466">
        <v>12616</v>
      </c>
    </row>
    <row r="235" spans="1:12" x14ac:dyDescent="0.2">
      <c r="A235" s="1526" t="s">
        <v>208</v>
      </c>
      <c r="B235" s="615">
        <v>2140</v>
      </c>
      <c r="C235" s="617"/>
      <c r="D235" s="466">
        <v>1061</v>
      </c>
      <c r="E235" s="617"/>
      <c r="F235" s="617"/>
      <c r="G235" s="617"/>
      <c r="H235" s="617"/>
      <c r="I235" s="617"/>
      <c r="J235" s="617"/>
      <c r="K235" s="1693">
        <f t="shared" si="20"/>
        <v>1061</v>
      </c>
      <c r="L235" s="466">
        <v>1060</v>
      </c>
    </row>
    <row r="236" spans="1:12" x14ac:dyDescent="0.2">
      <c r="A236" s="1526" t="s">
        <v>209</v>
      </c>
      <c r="B236" s="615">
        <v>2150</v>
      </c>
      <c r="C236" s="617"/>
      <c r="D236" s="466">
        <v>3189</v>
      </c>
      <c r="E236" s="617"/>
      <c r="F236" s="617"/>
      <c r="G236" s="617"/>
      <c r="H236" s="617"/>
      <c r="I236" s="617"/>
      <c r="J236" s="617"/>
      <c r="K236" s="1693">
        <f t="shared" si="20"/>
        <v>3189</v>
      </c>
      <c r="L236" s="466">
        <v>3136</v>
      </c>
    </row>
    <row r="237" spans="1:12" x14ac:dyDescent="0.2">
      <c r="A237" s="1526" t="s">
        <v>167</v>
      </c>
      <c r="B237" s="615">
        <v>2190</v>
      </c>
      <c r="C237" s="617"/>
      <c r="D237" s="466">
        <v>2558</v>
      </c>
      <c r="E237" s="617"/>
      <c r="F237" s="617"/>
      <c r="G237" s="617"/>
      <c r="H237" s="617"/>
      <c r="I237" s="617"/>
      <c r="J237" s="617"/>
      <c r="K237" s="1693">
        <f t="shared" si="20"/>
        <v>2558</v>
      </c>
      <c r="L237" s="466">
        <v>2565</v>
      </c>
    </row>
    <row r="238" spans="1:12" ht="12.75" customHeight="1" thickBot="1" x14ac:dyDescent="0.25">
      <c r="A238" s="1690" t="s">
        <v>580</v>
      </c>
      <c r="B238" s="1697" t="s">
        <v>739</v>
      </c>
      <c r="C238" s="617"/>
      <c r="D238" s="1692">
        <f>SUM(D232:D237)</f>
        <v>27690</v>
      </c>
      <c r="E238" s="617"/>
      <c r="F238" s="617"/>
      <c r="G238" s="617"/>
      <c r="H238" s="617"/>
      <c r="I238" s="617"/>
      <c r="J238" s="617"/>
      <c r="K238" s="1692">
        <f>SUM(K232:K237)</f>
        <v>27690</v>
      </c>
      <c r="L238" s="1692">
        <f>SUM(L232:L237)</f>
        <v>27594</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17463</v>
      </c>
      <c r="E240" s="617"/>
      <c r="F240" s="617"/>
      <c r="G240" s="617"/>
      <c r="H240" s="617"/>
      <c r="I240" s="617"/>
      <c r="J240" s="617"/>
      <c r="K240" s="1694">
        <f>D240</f>
        <v>17463</v>
      </c>
      <c r="L240" s="481">
        <v>17159</v>
      </c>
    </row>
    <row r="241" spans="1:12" x14ac:dyDescent="0.2">
      <c r="A241" s="1526" t="s">
        <v>868</v>
      </c>
      <c r="B241" s="615">
        <v>2220</v>
      </c>
      <c r="C241" s="617"/>
      <c r="D241" s="466">
        <v>16882</v>
      </c>
      <c r="E241" s="617"/>
      <c r="F241" s="617"/>
      <c r="G241" s="617"/>
      <c r="H241" s="617"/>
      <c r="I241" s="617"/>
      <c r="J241" s="617"/>
      <c r="K241" s="1694">
        <f>D241</f>
        <v>16882</v>
      </c>
      <c r="L241" s="466">
        <v>17865</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34345</v>
      </c>
      <c r="E243" s="617"/>
      <c r="F243" s="617"/>
      <c r="G243" s="617"/>
      <c r="H243" s="617"/>
      <c r="I243" s="617"/>
      <c r="J243" s="617"/>
      <c r="K243" s="1692">
        <f>SUM(K240:K242)</f>
        <v>34345</v>
      </c>
      <c r="L243" s="1692">
        <f>SUM(L240:L242)</f>
        <v>35024</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14436</v>
      </c>
      <c r="E246" s="617"/>
      <c r="F246" s="617"/>
      <c r="G246" s="617"/>
      <c r="H246" s="617"/>
      <c r="I246" s="617"/>
      <c r="J246" s="617"/>
      <c r="K246" s="1694">
        <f t="shared" ref="K246:K256" si="21">D246</f>
        <v>14436</v>
      </c>
      <c r="L246" s="466">
        <v>14460</v>
      </c>
    </row>
    <row r="247" spans="1:12" x14ac:dyDescent="0.2">
      <c r="A247" s="1526" t="s">
        <v>872</v>
      </c>
      <c r="B247" s="615">
        <v>2330</v>
      </c>
      <c r="C247" s="617"/>
      <c r="D247" s="466">
        <v>7007</v>
      </c>
      <c r="E247" s="617"/>
      <c r="F247" s="617"/>
      <c r="G247" s="617"/>
      <c r="H247" s="617"/>
      <c r="I247" s="617"/>
      <c r="J247" s="617"/>
      <c r="K247" s="1694">
        <f t="shared" si="21"/>
        <v>7007</v>
      </c>
      <c r="L247" s="466">
        <v>7165</v>
      </c>
    </row>
    <row r="248" spans="1:12" x14ac:dyDescent="0.2">
      <c r="A248" s="1527" t="s">
        <v>316</v>
      </c>
      <c r="B248" s="603" t="s">
        <v>298</v>
      </c>
      <c r="C248" s="617"/>
      <c r="D248" s="474">
        <v>22339</v>
      </c>
      <c r="E248" s="617"/>
      <c r="F248" s="617"/>
      <c r="G248" s="617"/>
      <c r="H248" s="617"/>
      <c r="I248" s="617"/>
      <c r="J248" s="617"/>
      <c r="K248" s="1694">
        <f t="shared" si="21"/>
        <v>22339</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v>24487</v>
      </c>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43782</v>
      </c>
      <c r="E257" s="617"/>
      <c r="F257" s="617"/>
      <c r="G257" s="617"/>
      <c r="H257" s="617"/>
      <c r="I257" s="617"/>
      <c r="J257" s="617"/>
      <c r="K257" s="1692">
        <f>SUM(K245:K256)</f>
        <v>43782</v>
      </c>
      <c r="L257" s="1692">
        <f>SUM(L245:L256)</f>
        <v>46112</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46691</v>
      </c>
      <c r="E259" s="617"/>
      <c r="F259" s="617"/>
      <c r="G259" s="617"/>
      <c r="H259" s="617"/>
      <c r="I259" s="617"/>
      <c r="J259" s="617"/>
      <c r="K259" s="1694">
        <f>D259</f>
        <v>46691</v>
      </c>
      <c r="L259" s="481">
        <v>47376</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46691</v>
      </c>
      <c r="E261" s="617"/>
      <c r="F261" s="617"/>
      <c r="G261" s="617"/>
      <c r="H261" s="617"/>
      <c r="I261" s="617"/>
      <c r="J261" s="617"/>
      <c r="K261" s="1692">
        <f>SUM(K259:K260)</f>
        <v>46691</v>
      </c>
      <c r="L261" s="1692">
        <f>SUM(L259:L260)</f>
        <v>47376</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v>28910</v>
      </c>
      <c r="E264" s="617"/>
      <c r="F264" s="617"/>
      <c r="G264" s="617"/>
      <c r="H264" s="617"/>
      <c r="I264" s="617"/>
      <c r="J264" s="617"/>
      <c r="K264" s="1694">
        <f t="shared" ref="K264:K269" si="22">D264</f>
        <v>28910</v>
      </c>
      <c r="L264" s="466">
        <v>29100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193343</v>
      </c>
      <c r="E266" s="617"/>
      <c r="F266" s="617"/>
      <c r="G266" s="617"/>
      <c r="H266" s="617"/>
      <c r="I266" s="617"/>
      <c r="J266" s="617"/>
      <c r="K266" s="1694">
        <f t="shared" si="22"/>
        <v>193343</v>
      </c>
      <c r="L266" s="466">
        <v>193635</v>
      </c>
    </row>
    <row r="267" spans="1:14" x14ac:dyDescent="0.2">
      <c r="A267" s="1526" t="s">
        <v>1009</v>
      </c>
      <c r="B267" s="615">
        <v>2550</v>
      </c>
      <c r="C267" s="617"/>
      <c r="D267" s="466">
        <v>119566</v>
      </c>
      <c r="E267" s="617"/>
      <c r="F267" s="617"/>
      <c r="G267" s="617"/>
      <c r="H267" s="617"/>
      <c r="I267" s="617"/>
      <c r="J267" s="617"/>
      <c r="K267" s="1694">
        <f t="shared" si="22"/>
        <v>119566</v>
      </c>
      <c r="L267" s="466">
        <v>118194</v>
      </c>
    </row>
    <row r="268" spans="1:14" x14ac:dyDescent="0.2">
      <c r="A268" s="1526" t="s">
        <v>102</v>
      </c>
      <c r="B268" s="615">
        <v>2560</v>
      </c>
      <c r="C268" s="617"/>
      <c r="D268" s="466">
        <v>98410</v>
      </c>
      <c r="E268" s="617"/>
      <c r="F268" s="617"/>
      <c r="G268" s="617"/>
      <c r="H268" s="617"/>
      <c r="I268" s="617"/>
      <c r="J268" s="617"/>
      <c r="K268" s="1694">
        <f t="shared" si="22"/>
        <v>98410</v>
      </c>
      <c r="L268" s="466">
        <v>100978</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440229</v>
      </c>
      <c r="E270" s="617"/>
      <c r="F270" s="617"/>
      <c r="G270" s="617"/>
      <c r="H270" s="617"/>
      <c r="I270" s="617"/>
      <c r="J270" s="617"/>
      <c r="K270" s="1692">
        <f>SUM(K263:K269)</f>
        <v>440229</v>
      </c>
      <c r="L270" s="1692">
        <f>SUM(L263:L269)</f>
        <v>441907</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v>56125</v>
      </c>
      <c r="E276" s="617"/>
      <c r="F276" s="617"/>
      <c r="G276" s="617"/>
      <c r="H276" s="617"/>
      <c r="I276" s="617"/>
      <c r="J276" s="617"/>
      <c r="K276" s="1694">
        <f>D276</f>
        <v>56125</v>
      </c>
      <c r="L276" s="466">
        <v>56265</v>
      </c>
    </row>
    <row r="277" spans="1:12" ht="12.75" customHeight="1" thickBot="1" x14ac:dyDescent="0.25">
      <c r="A277" s="1713" t="s">
        <v>37</v>
      </c>
      <c r="B277" s="1691" t="s">
        <v>36</v>
      </c>
      <c r="C277" s="617"/>
      <c r="D277" s="1692">
        <f>SUM(D272:D276)</f>
        <v>56125</v>
      </c>
      <c r="E277" s="617"/>
      <c r="F277" s="617"/>
      <c r="G277" s="617"/>
      <c r="H277" s="617"/>
      <c r="I277" s="617"/>
      <c r="J277" s="617"/>
      <c r="K277" s="1692">
        <f>SUM(K272:K276)</f>
        <v>56125</v>
      </c>
      <c r="L277" s="1692">
        <f>SUM(L272:L276)</f>
        <v>56265</v>
      </c>
    </row>
    <row r="278" spans="1:12" ht="13.5" customHeight="1" thickTop="1" x14ac:dyDescent="0.2">
      <c r="A278" s="1532" t="s">
        <v>1036</v>
      </c>
      <c r="B278" s="656" t="s">
        <v>594</v>
      </c>
      <c r="C278" s="617"/>
      <c r="D278" s="657">
        <v>12137</v>
      </c>
      <c r="E278" s="617"/>
      <c r="F278" s="617"/>
      <c r="G278" s="617"/>
      <c r="H278" s="617"/>
      <c r="I278" s="617"/>
      <c r="J278" s="617"/>
      <c r="K278" s="1707">
        <f>D278</f>
        <v>12137</v>
      </c>
      <c r="L278" s="657"/>
    </row>
    <row r="279" spans="1:12" ht="12.75" customHeight="1" thickBot="1" x14ac:dyDescent="0.25">
      <c r="A279" s="1720" t="s">
        <v>864</v>
      </c>
      <c r="B279" s="1703">
        <v>2000</v>
      </c>
      <c r="C279" s="617"/>
      <c r="D279" s="1699">
        <f>SUM(D238,D243,D257,D261,D270,D277,D278)</f>
        <v>660999</v>
      </c>
      <c r="E279" s="617"/>
      <c r="F279" s="617"/>
      <c r="G279" s="617"/>
      <c r="H279" s="617"/>
      <c r="I279" s="617"/>
      <c r="J279" s="617"/>
      <c r="K279" s="1699">
        <f>SUM(K238,K243,K257,K261,K270,K277,K278)</f>
        <v>660999</v>
      </c>
      <c r="L279" s="1699">
        <f>SUM(L238,L243,L257,L261,L270,L277,L278)</f>
        <v>654278</v>
      </c>
    </row>
    <row r="280" spans="1:12" ht="15.75" customHeight="1" thickTop="1" thickBot="1" x14ac:dyDescent="0.25">
      <c r="A280" s="1646" t="s">
        <v>929</v>
      </c>
      <c r="B280" s="1635">
        <v>3000</v>
      </c>
      <c r="C280" s="617"/>
      <c r="D280" s="576"/>
      <c r="E280" s="617"/>
      <c r="F280" s="617"/>
      <c r="G280" s="617"/>
      <c r="H280" s="617"/>
      <c r="I280" s="617"/>
      <c r="J280" s="617"/>
      <c r="K280" s="1701">
        <f>D280</f>
        <v>0</v>
      </c>
      <c r="L280" s="576">
        <v>12135</v>
      </c>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89" t="s">
        <v>525</v>
      </c>
      <c r="B295" s="2190"/>
      <c r="C295" s="617"/>
      <c r="D295" s="1692">
        <f>SUM(D229,D279,D280,D285)</f>
        <v>908438</v>
      </c>
      <c r="E295" s="617"/>
      <c r="F295" s="617"/>
      <c r="G295" s="617"/>
      <c r="H295" s="1692">
        <f>H293</f>
        <v>0</v>
      </c>
      <c r="I295" s="617"/>
      <c r="J295" s="617"/>
      <c r="K295" s="1692">
        <f>SUM(K229,K279,K280,K285,K293,K294)</f>
        <v>908438</v>
      </c>
      <c r="L295" s="1692">
        <f>SUM(L229,L279,L280,L285,L293,L294)</f>
        <v>920000</v>
      </c>
    </row>
    <row r="296" spans="1:14" ht="13.5" thickTop="1" x14ac:dyDescent="0.2">
      <c r="A296" s="2198" t="s">
        <v>1052</v>
      </c>
      <c r="B296" s="2199"/>
      <c r="C296" s="617"/>
      <c r="D296" s="619"/>
      <c r="E296" s="617"/>
      <c r="F296" s="617"/>
      <c r="G296" s="617"/>
      <c r="H296" s="688"/>
      <c r="I296" s="617"/>
      <c r="J296" s="617"/>
      <c r="K296" s="1706">
        <f>'Revenues 9-14'!G275-'Expenditures 15-22'!K295</f>
        <v>32392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43596</v>
      </c>
      <c r="F301" s="466"/>
      <c r="G301" s="466">
        <v>1442002</v>
      </c>
      <c r="H301" s="466"/>
      <c r="I301" s="467"/>
      <c r="J301" s="467"/>
      <c r="K301" s="1693">
        <f>SUM(C301:J301)</f>
        <v>1485598</v>
      </c>
      <c r="L301" s="467">
        <v>1520000</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43596</v>
      </c>
      <c r="F303" s="1699">
        <f t="shared" si="23"/>
        <v>0</v>
      </c>
      <c r="G303" s="1699">
        <f t="shared" si="23"/>
        <v>1442002</v>
      </c>
      <c r="H303" s="1699">
        <f t="shared" si="23"/>
        <v>0</v>
      </c>
      <c r="I303" s="1699">
        <f t="shared" si="23"/>
        <v>0</v>
      </c>
      <c r="J303" s="1699">
        <f t="shared" si="23"/>
        <v>0</v>
      </c>
      <c r="K303" s="1699">
        <f t="shared" si="23"/>
        <v>1485598</v>
      </c>
      <c r="L303" s="1699">
        <f t="shared" si="23"/>
        <v>1520000</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6" t="s">
        <v>294</v>
      </c>
      <c r="B312" s="2187"/>
      <c r="C312" s="1692">
        <f>SUM(C303)</f>
        <v>0</v>
      </c>
      <c r="D312" s="1692">
        <f>SUM(D303)</f>
        <v>0</v>
      </c>
      <c r="E312" s="1692">
        <f>SUM(E303,E310)</f>
        <v>43596</v>
      </c>
      <c r="F312" s="1692">
        <f>SUM(F303)</f>
        <v>0</v>
      </c>
      <c r="G312" s="1692">
        <f>SUM(G303)</f>
        <v>1442002</v>
      </c>
      <c r="H312" s="1692">
        <f>SUM(H303,H310)</f>
        <v>0</v>
      </c>
      <c r="I312" s="1692">
        <f>SUM(I303)</f>
        <v>0</v>
      </c>
      <c r="J312" s="1692">
        <f>SUM(J303)</f>
        <v>0</v>
      </c>
      <c r="K312" s="1692">
        <f>SUM(K303,K310,K311)</f>
        <v>1485598</v>
      </c>
      <c r="L312" s="1692">
        <f>SUM(L303,L310,L311)</f>
        <v>1520000</v>
      </c>
      <c r="M312" s="666"/>
      <c r="N312" s="666"/>
    </row>
    <row r="313" spans="1:14" ht="13.5" thickTop="1" x14ac:dyDescent="0.2">
      <c r="A313" s="2182" t="s">
        <v>1052</v>
      </c>
      <c r="B313" s="2183"/>
      <c r="C313" s="627"/>
      <c r="D313" s="627"/>
      <c r="E313" s="627"/>
      <c r="F313" s="627"/>
      <c r="G313" s="627"/>
      <c r="H313" s="627"/>
      <c r="I313" s="627"/>
      <c r="J313" s="627"/>
      <c r="K313" s="1707">
        <f>'Revenues 9-14'!H275-'Expenditures 15-22'!K312</f>
        <v>-1432424</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953</v>
      </c>
      <c r="B317" s="2196"/>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v>206561</v>
      </c>
      <c r="F320" s="467"/>
      <c r="G320" s="467"/>
      <c r="H320" s="467"/>
      <c r="I320" s="467"/>
      <c r="J320" s="467"/>
      <c r="K320" s="1693">
        <f t="shared" ref="K320:K327" si="24">SUM(C320:J320)</f>
        <v>206561</v>
      </c>
      <c r="L320" s="467">
        <v>206561</v>
      </c>
      <c r="M320" s="666"/>
      <c r="N320" s="666"/>
    </row>
    <row r="321" spans="1:14" s="675" customFormat="1" x14ac:dyDescent="0.2">
      <c r="A321" s="1541" t="s">
        <v>317</v>
      </c>
      <c r="B321" s="698" t="s">
        <v>300</v>
      </c>
      <c r="C321" s="467"/>
      <c r="D321" s="467"/>
      <c r="E321" s="467">
        <v>13210</v>
      </c>
      <c r="F321" s="467"/>
      <c r="G321" s="467"/>
      <c r="H321" s="467"/>
      <c r="I321" s="467"/>
      <c r="J321" s="467"/>
      <c r="K321" s="1693">
        <f t="shared" si="24"/>
        <v>13210</v>
      </c>
      <c r="L321" s="467">
        <v>13210</v>
      </c>
      <c r="M321" s="666"/>
      <c r="N321" s="666"/>
    </row>
    <row r="322" spans="1:14" s="675" customFormat="1" x14ac:dyDescent="0.2">
      <c r="A322" s="1541" t="s">
        <v>256</v>
      </c>
      <c r="B322" s="698" t="s">
        <v>301</v>
      </c>
      <c r="C322" s="467"/>
      <c r="D322" s="467"/>
      <c r="E322" s="467">
        <v>64190</v>
      </c>
      <c r="F322" s="467"/>
      <c r="G322" s="467"/>
      <c r="H322" s="467"/>
      <c r="I322" s="467"/>
      <c r="J322" s="467"/>
      <c r="K322" s="1693">
        <f t="shared" si="24"/>
        <v>64190</v>
      </c>
      <c r="L322" s="467">
        <v>64191</v>
      </c>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v>92158</v>
      </c>
      <c r="D325" s="467">
        <v>7439</v>
      </c>
      <c r="E325" s="467">
        <v>57589</v>
      </c>
      <c r="F325" s="467">
        <v>11781</v>
      </c>
      <c r="G325" s="467">
        <v>116361</v>
      </c>
      <c r="H325" s="467"/>
      <c r="I325" s="467"/>
      <c r="J325" s="467"/>
      <c r="K325" s="1693">
        <f t="shared" si="24"/>
        <v>285328</v>
      </c>
      <c r="L325" s="467">
        <v>301416</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v>47858</v>
      </c>
      <c r="F327" s="467"/>
      <c r="G327" s="467"/>
      <c r="H327" s="467"/>
      <c r="I327" s="467"/>
      <c r="J327" s="467"/>
      <c r="K327" s="1693">
        <f t="shared" si="24"/>
        <v>47858</v>
      </c>
      <c r="L327" s="467">
        <v>57700</v>
      </c>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92158</v>
      </c>
      <c r="D330" s="1692">
        <f t="shared" ref="D330:J330" si="25">SUM(D319:D329)</f>
        <v>7439</v>
      </c>
      <c r="E330" s="1692">
        <f t="shared" si="25"/>
        <v>389408</v>
      </c>
      <c r="F330" s="1692">
        <f t="shared" si="25"/>
        <v>11781</v>
      </c>
      <c r="G330" s="1692">
        <f t="shared" si="25"/>
        <v>116361</v>
      </c>
      <c r="H330" s="1692">
        <f t="shared" si="25"/>
        <v>0</v>
      </c>
      <c r="I330" s="1692">
        <f t="shared" si="25"/>
        <v>0</v>
      </c>
      <c r="J330" s="1692">
        <f t="shared" si="25"/>
        <v>0</v>
      </c>
      <c r="K330" s="1692">
        <f>SUM(K319:K329)</f>
        <v>617147</v>
      </c>
      <c r="L330" s="1692">
        <f>SUM(L319:L329)</f>
        <v>643078</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92158</v>
      </c>
      <c r="D342" s="1692">
        <f>SUM(D330)</f>
        <v>7439</v>
      </c>
      <c r="E342" s="1692">
        <f>SUM(E330)</f>
        <v>389408</v>
      </c>
      <c r="F342" s="1692">
        <f>SUM(F330)</f>
        <v>11781</v>
      </c>
      <c r="G342" s="1692">
        <f>SUM(G330)</f>
        <v>116361</v>
      </c>
      <c r="H342" s="1692">
        <f>SUM(H330,H334,H340)</f>
        <v>0</v>
      </c>
      <c r="I342" s="1692">
        <f>SUM(I330)</f>
        <v>0</v>
      </c>
      <c r="J342" s="1692">
        <f>SUM(J330)</f>
        <v>0</v>
      </c>
      <c r="K342" s="1692">
        <f>SUM(K330,K334,K340)</f>
        <v>617147</v>
      </c>
      <c r="L342" s="1699">
        <f>SUM(L330,L340,L341)</f>
        <v>643078</v>
      </c>
    </row>
    <row r="343" spans="1:14" ht="12.75" customHeight="1" thickTop="1" x14ac:dyDescent="0.2">
      <c r="A343" s="2184" t="s">
        <v>1052</v>
      </c>
      <c r="B343" s="2185"/>
      <c r="C343" s="617"/>
      <c r="D343" s="617"/>
      <c r="E343" s="617"/>
      <c r="F343" s="617"/>
      <c r="G343" s="617"/>
      <c r="H343" s="617"/>
      <c r="I343" s="617"/>
      <c r="J343" s="617"/>
      <c r="K343" s="1706">
        <f>'Revenues 9-14'!J275-'Expenditures 15-22'!K342</f>
        <v>-4137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1022</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v>18794</v>
      </c>
      <c r="F348" s="466"/>
      <c r="G348" s="466">
        <v>231000</v>
      </c>
      <c r="H348" s="466"/>
      <c r="I348" s="467"/>
      <c r="J348" s="467"/>
      <c r="K348" s="1693">
        <f>SUM(C348:J348)</f>
        <v>249794</v>
      </c>
      <c r="L348" s="466">
        <v>398714</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742</v>
      </c>
      <c r="B350" s="1691" t="s">
        <v>35</v>
      </c>
      <c r="C350" s="1692">
        <f>SUM(C348:C349)</f>
        <v>0</v>
      </c>
      <c r="D350" s="1692">
        <f t="shared" ref="D350:L350" si="26">SUM(D348:D349)</f>
        <v>0</v>
      </c>
      <c r="E350" s="1692">
        <f t="shared" si="26"/>
        <v>18794</v>
      </c>
      <c r="F350" s="1692">
        <f t="shared" si="26"/>
        <v>0</v>
      </c>
      <c r="G350" s="1692">
        <f t="shared" si="26"/>
        <v>231000</v>
      </c>
      <c r="H350" s="1692">
        <f t="shared" si="26"/>
        <v>0</v>
      </c>
      <c r="I350" s="1692">
        <f t="shared" si="26"/>
        <v>0</v>
      </c>
      <c r="J350" s="1692">
        <f t="shared" si="26"/>
        <v>0</v>
      </c>
      <c r="K350" s="1692">
        <f t="shared" si="26"/>
        <v>249794</v>
      </c>
      <c r="L350" s="1692">
        <f t="shared" si="26"/>
        <v>398714</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18794</v>
      </c>
      <c r="F352" s="1692">
        <f t="shared" si="27"/>
        <v>0</v>
      </c>
      <c r="G352" s="1692">
        <f t="shared" si="27"/>
        <v>231000</v>
      </c>
      <c r="H352" s="1692">
        <f t="shared" si="27"/>
        <v>0</v>
      </c>
      <c r="I352" s="1692">
        <f t="shared" si="27"/>
        <v>0</v>
      </c>
      <c r="J352" s="1692">
        <f t="shared" si="27"/>
        <v>0</v>
      </c>
      <c r="K352" s="1692">
        <f t="shared" si="27"/>
        <v>249794</v>
      </c>
      <c r="L352" s="1692">
        <f t="shared" si="27"/>
        <v>398714</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18794</v>
      </c>
      <c r="F367" s="1692">
        <f t="shared" si="28"/>
        <v>0</v>
      </c>
      <c r="G367" s="1692">
        <f t="shared" si="28"/>
        <v>231000</v>
      </c>
      <c r="H367" s="1692">
        <f t="shared" si="28"/>
        <v>0</v>
      </c>
      <c r="I367" s="1692">
        <f t="shared" si="28"/>
        <v>0</v>
      </c>
      <c r="J367" s="1692">
        <f t="shared" si="28"/>
        <v>0</v>
      </c>
      <c r="K367" s="1692">
        <f t="shared" si="28"/>
        <v>249794</v>
      </c>
      <c r="L367" s="1692">
        <f t="shared" si="28"/>
        <v>398714</v>
      </c>
    </row>
    <row r="368" spans="1:14" ht="13.5" thickTop="1" x14ac:dyDescent="0.2">
      <c r="A368" s="2198" t="s">
        <v>1052</v>
      </c>
      <c r="B368" s="2199"/>
      <c r="C368" s="655"/>
      <c r="D368" s="655"/>
      <c r="E368" s="627"/>
      <c r="F368" s="627"/>
      <c r="G368" s="627"/>
      <c r="H368" s="627"/>
      <c r="I368" s="627"/>
      <c r="J368" s="624"/>
      <c r="K368" s="1693">
        <f>'Revenues 9-14'!K275-'Expenditures 15-22'!K367</f>
        <v>-16597</v>
      </c>
      <c r="L368" s="655"/>
    </row>
  </sheetData>
  <sheetProtection algorithmName="SHA-512" hashValue="G4dXZuBjL8yQpMpwoN+bYEi6EQjfRKIv4agFVM6c9PcDdPknU/WJA+yLr2HjfJTVOSsJD/2hG5cKBnSZhE0jwA==" saltValue="DXoEFYu9/KwPw9ZAsKpPYg==" spinCount="100000" sheet="1" objects="1" scenarios="1"/>
  <customSheetViews>
    <customSheetView guid="{41DB9079-7F95-4228-8A4A-E6D48377DB38}" scale="110" colorId="8" showPageBreaks="1" showGridLines="0" view="pageBreakPreview">
      <pane ySplit="2" topLeftCell="A333" activePane="bottomLeft" state="frozen"/>
      <selection pane="bottomLeft" activeCell="E349" sqref="E349"/>
      <rowBreaks count="6" manualBreakCount="6">
        <brk id="53" max="16383" man="1"/>
        <brk id="107" max="16383" man="1"/>
        <brk id="160" max="16383" man="1"/>
        <brk id="208" max="16383" man="1"/>
        <brk id="261" max="16383" man="1"/>
        <brk id="316" max="16383" man="1"/>
      </rowBreaks>
      <pageMargins left="0.75" right="0.75" top="1.1499999999999999" bottom="0.5" header="0.5" footer="0.5"/>
      <printOptions horizontalCentered="1"/>
      <pageSetup scale="60" firstPageNumber="15" fitToHeight="0" orientation="landscape" r:id="rId1"/>
      <headerFooter>
        <oddHeader>&amp;C&amp;"Times New Roman,Regular"ROXANA COMMUNITY UNIT SCHOOL DISTRICT NO. 1
STATEMENT OF DISBURSEMENTS - CASH - REGULATORY BASIS
(ACTUAL AND BUDGET)
ALL FUNDS
FOR THE YEAR ENDED JUNE 30, 2018</oddHeader>
        <oddFooter>&amp;C&amp;"Times New Roman,Regular"See Notes to Financial Statements and Independent Auditor's Reports
&amp;P</oddFooter>
      </headerFooter>
    </customSheetView>
    <customSheetView guid="{D71D2A76-4AD5-4124-819F-51F94C4C53C9}" scale="110" colorId="8" showPageBreaks="1" showGridLines="0" view="pageBreakPreview">
      <pane ySplit="2" topLeftCell="A333" activePane="bottomLeft" state="frozen"/>
      <selection pane="bottomLeft" activeCell="E349" sqref="E349"/>
      <rowBreaks count="6" manualBreakCount="6">
        <brk id="53" max="16383" man="1"/>
        <brk id="107" max="16383" man="1"/>
        <brk id="160" max="16383" man="1"/>
        <brk id="208" max="16383" man="1"/>
        <brk id="261" max="16383" man="1"/>
        <brk id="316" max="16383" man="1"/>
      </rowBreaks>
      <pageMargins left="0.75" right="0.75" top="1.1499999999999999" bottom="0.5" header="0.5" footer="0.5"/>
      <printOptions horizontalCentered="1"/>
      <pageSetup scale="60" firstPageNumber="15" fitToHeight="0" orientation="landscape" r:id="rId2"/>
      <headerFooter>
        <oddHeader>&amp;C&amp;"Times New Roman,Regular"ROXANA COMMUNITY UNIT SCHOOL DISTRICT NO. 1
STATEMENT OF DISBURSEMENTS - CASH - REGULATORY BASIS
(ACTUAL AND BUDGET)
ALL FUNDS
FOR THE YEAR ENDED JUNE 30, 2018</oddHeader>
        <oddFooter>&amp;C&amp;"Times New Roman,Regular"See Notes to Financial Statements and Independent Auditor's Reports
&amp;P</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orizontalCentered="1" gridLinesSet="0"/>
  <pageMargins left="0.75" right="0.75" top="1.1499999999999999" bottom="0.5" header="0.5" footer="0.5"/>
  <pageSetup scale="60" firstPageNumber="15" fitToHeight="0" orientation="landscape" r:id="rId3"/>
  <headerFooter>
    <oddHeader>&amp;C&amp;"Times New Roman,Regular"ROXANA COMMUNITY UNIT SCHOOL DISTRICT NO. 1
STATEMENT OF DISBURSEMENTS - CASH - REGULATORY BASIS
(ACTUAL AND BUDGET)
ALL FUNDS
FOR THE YEAR ENDED JUNE 30, 2018</oddHeader>
    <oddFooter>&amp;C&amp;"Times New Roman,Regular"See Notes to Financial Statements and Independent Auditor's Reports
&amp;P</oddFooter>
  </headerFooter>
  <rowBreaks count="6" manualBreakCount="6">
    <brk id="53" max="16383" man="1"/>
    <brk id="107" max="16383" man="1"/>
    <brk id="160" max="16383" man="1"/>
    <brk id="208" max="16383" man="1"/>
    <brk id="261" max="16383" man="1"/>
    <brk id="316" max="16383" man="1"/>
  </rowBreak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www.w3.org/XML/1998/namespace"/>
    <ds:schemaRef ds:uri="http://purl.org/dc/terms/"/>
    <ds:schemaRef ds:uri="http://schemas.microsoft.com/office/2006/metadata/properties"/>
    <ds:schemaRef ds:uri="d21dc803-237d-4c68-8692-8d731fd29118"/>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 ds:uri="http://purl.org/dc/elements/1.1/"/>
    <ds:schemaRef ds:uri="6ce3111e-7420-4802-b50a-75d4e9a0b980"/>
    <ds:schemaRef ds:uri="http://schemas.microsoft.com/sharepoint/v3"/>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 SEFA (4)</vt:lpstr>
      <vt:lpstr>SF&amp;QC Sec-1</vt:lpstr>
      <vt:lpstr>SF&amp;QC Sec-2</vt:lpstr>
      <vt:lpstr>SF&amp;QC Sec-3</vt:lpstr>
      <vt:lpstr>SSPAF</vt:lpstr>
      <vt:lpstr>' SEFA'!Print_Area</vt:lpstr>
      <vt:lpstr>' SEFA (2)'!Print_Area</vt:lpstr>
      <vt:lpstr>' SEFA (3)'!Print_Area</vt:lpstr>
      <vt:lpstr>' SEFA (4)'!Print_Area</vt:lpstr>
      <vt:lpstr>'Aud Quest 2'!Print_Area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2018-09-25T15:13:57Z</cp:lastPrinted>
  <dcterms:created xsi:type="dcterms:W3CDTF">2003-10-29T19:06:34Z</dcterms:created>
  <dcterms:modified xsi:type="dcterms:W3CDTF">2018-10-04T18:34:05Z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