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75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 SEFA (5)" sheetId="186" r:id="rId33"/>
    <sheet name="SF&amp;QC Sec-1" sheetId="174" r:id="rId34"/>
    <sheet name="SF&amp;QC Sec-2" sheetId="175" r:id="rId35"/>
    <sheet name="SF&amp;QC Sec-3" sheetId="176" r:id="rId36"/>
    <sheet name="SSPAF" sheetId="177"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27">'SEFA NOTES'!$A$1:$F$52</definedName>
    <definedName name="_xlnm.Print_Area" localSheetId="26">'SEFA Reconcile'!$A$1:$E$49</definedName>
    <definedName name="_xlnm.Print_Area" localSheetId="33">'SF&amp;QC Sec-1'!$A$1:$J$63</definedName>
    <definedName name="_xlnm.Print_Area" localSheetId="35">'SF&amp;QC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7" i="5" l="1"/>
  <c r="D45" i="174" l="1"/>
  <c r="K27" i="186"/>
  <c r="J27" i="186"/>
  <c r="H27" i="186"/>
  <c r="G27" i="186"/>
  <c r="E27" i="186"/>
  <c r="K17" i="186"/>
  <c r="J17" i="186"/>
  <c r="H17" i="186"/>
  <c r="G17" i="186"/>
  <c r="K15" i="186"/>
  <c r="J15" i="186"/>
  <c r="I15" i="186"/>
  <c r="H15" i="186"/>
  <c r="G15" i="186"/>
  <c r="F15" i="186"/>
  <c r="K13" i="186"/>
  <c r="J13" i="186"/>
  <c r="I13" i="186"/>
  <c r="H13" i="186"/>
  <c r="G13" i="186"/>
  <c r="F13" i="186"/>
  <c r="E17" i="186"/>
  <c r="E15" i="186"/>
  <c r="E13" i="186"/>
  <c r="K27" i="185"/>
  <c r="J27" i="185"/>
  <c r="I27" i="185"/>
  <c r="I17" i="186" s="1"/>
  <c r="I27" i="186" s="1"/>
  <c r="H27" i="185"/>
  <c r="G27" i="185"/>
  <c r="F27" i="185"/>
  <c r="F17" i="186" s="1"/>
  <c r="F27" i="186" s="1"/>
  <c r="D35" i="171" s="1"/>
  <c r="E27" i="185"/>
  <c r="K27" i="184"/>
  <c r="J27" i="184"/>
  <c r="I27" i="184"/>
  <c r="H27" i="184"/>
  <c r="G27" i="184"/>
  <c r="F27" i="184"/>
  <c r="E27" i="184"/>
  <c r="K27" i="183"/>
  <c r="J27" i="183"/>
  <c r="I27" i="183"/>
  <c r="H27" i="183"/>
  <c r="G27" i="183"/>
  <c r="F27" i="183"/>
  <c r="E27" i="183"/>
  <c r="K27" i="179"/>
  <c r="J27" i="179"/>
  <c r="I27" i="179"/>
  <c r="H27" i="179"/>
  <c r="G27" i="179"/>
  <c r="F27" i="179"/>
  <c r="E27" i="179"/>
  <c r="L27" i="186" l="1"/>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M19" i="3" l="1"/>
  <c r="M17" i="3"/>
  <c r="J32" i="8"/>
  <c r="E6" i="7"/>
  <c r="E322" i="29"/>
  <c r="D215" i="29"/>
  <c r="C5" i="29"/>
  <c r="E325" i="29"/>
  <c r="D268" i="29"/>
  <c r="D267" i="29"/>
  <c r="D266" i="29"/>
  <c r="D264" i="29"/>
  <c r="D259" i="29"/>
  <c r="D254" i="29"/>
  <c r="D246" i="29"/>
  <c r="D245" i="29"/>
  <c r="D247" i="29"/>
  <c r="D241" i="29"/>
  <c r="D240" i="29"/>
  <c r="D234" i="29"/>
  <c r="D223" i="29"/>
  <c r="D219" i="29"/>
  <c r="D216" i="29"/>
  <c r="F75" i="29"/>
  <c r="C75" i="29"/>
  <c r="G51" i="29"/>
  <c r="D51" i="29"/>
  <c r="H49" i="29"/>
  <c r="H44" i="29"/>
  <c r="F63" i="29"/>
  <c r="F60" i="29"/>
  <c r="F55" i="29"/>
  <c r="F45" i="29"/>
  <c r="F44" i="29"/>
  <c r="F38" i="29"/>
  <c r="F37" i="29"/>
  <c r="E63" i="29"/>
  <c r="E60" i="29"/>
  <c r="E50" i="29"/>
  <c r="E49" i="29"/>
  <c r="E45" i="29"/>
  <c r="E44" i="29"/>
  <c r="E38" i="29"/>
  <c r="D63" i="29"/>
  <c r="D60" i="29"/>
  <c r="D55" i="29"/>
  <c r="D50" i="29"/>
  <c r="D45" i="29"/>
  <c r="D44" i="29"/>
  <c r="D38" i="29"/>
  <c r="D37" i="29"/>
  <c r="C63" i="29"/>
  <c r="C55" i="29"/>
  <c r="C50" i="29"/>
  <c r="C45" i="29"/>
  <c r="G10" i="29"/>
  <c r="F14" i="29"/>
  <c r="F10" i="29"/>
  <c r="F7" i="29"/>
  <c r="F5" i="29"/>
  <c r="E14" i="29"/>
  <c r="E10" i="29"/>
  <c r="E7" i="29"/>
  <c r="E5" i="29"/>
  <c r="D14" i="29"/>
  <c r="D10" i="29"/>
  <c r="D7" i="29"/>
  <c r="D5" i="29"/>
  <c r="C14" i="29"/>
  <c r="C10" i="29"/>
  <c r="C7" i="29"/>
  <c r="C268" i="5"/>
  <c r="C203" i="5"/>
  <c r="C158" i="5"/>
  <c r="C145" i="5" l="1"/>
  <c r="K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1" i="186" l="1"/>
  <c r="B1" i="184"/>
  <c r="B1" i="185"/>
  <c r="B1" i="183"/>
  <c r="B2" i="179"/>
  <c r="B2" i="186"/>
  <c r="B2" i="184"/>
  <c r="B2" i="183"/>
  <c r="B2" i="185"/>
  <c r="A2" i="170"/>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D7763" i="106" s="1"/>
  <c r="B7762" i="106"/>
  <c r="K12" i="12"/>
  <c r="B7719" i="106" s="1"/>
  <c r="D7719" i="106" s="1"/>
  <c r="K23" i="12"/>
  <c r="J12" i="12"/>
  <c r="B7718" i="106" s="1"/>
  <c r="D7718" i="106" s="1"/>
  <c r="J21" i="12"/>
  <c r="J23" i="12"/>
  <c r="B7729" i="106"/>
  <c r="B7734" i="106"/>
  <c r="D7734" i="106" s="1"/>
  <c r="B7726" i="106"/>
  <c r="D76" i="36"/>
  <c r="F162" i="34"/>
  <c r="B30" i="36"/>
  <c r="B33" i="36" s="1"/>
  <c r="B43" i="36" s="1"/>
  <c r="B56" i="36" s="1"/>
  <c r="B66" i="36" s="1"/>
  <c r="B70" i="36" s="1"/>
  <c r="B74" i="36" s="1"/>
  <c r="D73" i="36"/>
  <c r="C191" i="5"/>
  <c r="C201" i="5"/>
  <c r="C211" i="5"/>
  <c r="B5260" i="106" s="1"/>
  <c r="D5260" i="106" s="1"/>
  <c r="C216" i="5"/>
  <c r="C224" i="5"/>
  <c r="C228" i="5"/>
  <c r="C259" i="5"/>
  <c r="B6833" i="106" s="1"/>
  <c r="D6833" i="106" s="1"/>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c r="B6359" i="106"/>
  <c r="D6359" i="106" s="1"/>
  <c r="B6360" i="106"/>
  <c r="D6360" i="106" s="1"/>
  <c r="B6361" i="106"/>
  <c r="D6361" i="106" s="1"/>
  <c r="B6362" i="106"/>
  <c r="D6362" i="106" s="1"/>
  <c r="B6363" i="106"/>
  <c r="D6363" i="106" s="1"/>
  <c r="B6364" i="106"/>
  <c r="D6364" i="106"/>
  <c r="B6365" i="106"/>
  <c r="D6365" i="106" s="1"/>
  <c r="B6366" i="106"/>
  <c r="D6366" i="106" s="1"/>
  <c r="B6367" i="106"/>
  <c r="D6367" i="106" s="1"/>
  <c r="B6368" i="106"/>
  <c r="D6368" i="106" s="1"/>
  <c r="B6369" i="106"/>
  <c r="D6369" i="106" s="1"/>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c r="B6732" i="106"/>
  <c r="D6732" i="106" s="1"/>
  <c r="B6733" i="106"/>
  <c r="D6733" i="106" s="1"/>
  <c r="B6734" i="106"/>
  <c r="D6734" i="106" s="1"/>
  <c r="B6735" i="106"/>
  <c r="D6735" i="106" s="1"/>
  <c r="B6736" i="106"/>
  <c r="D6736" i="106" s="1"/>
  <c r="B6737" i="106"/>
  <c r="D6737" i="106" s="1"/>
  <c r="B6738" i="106"/>
  <c r="D6738" i="106" s="1"/>
  <c r="B6739" i="106"/>
  <c r="D6739" i="106"/>
  <c r="B6740" i="106"/>
  <c r="D6740" i="106" s="1"/>
  <c r="B6741" i="106"/>
  <c r="D6741" i="106" s="1"/>
  <c r="B6742" i="106"/>
  <c r="D6742" i="106" s="1"/>
  <c r="B6743" i="106"/>
  <c r="D6743" i="106" s="1"/>
  <c r="B6744" i="106"/>
  <c r="D6744" i="106" s="1"/>
  <c r="B6745" i="106"/>
  <c r="D6745" i="106" s="1"/>
  <c r="B6746" i="106"/>
  <c r="D6746" i="106" s="1"/>
  <c r="B6747" i="106"/>
  <c r="D6747" i="106"/>
  <c r="B6748" i="106"/>
  <c r="D6748" i="106" s="1"/>
  <c r="B6749" i="106"/>
  <c r="D6749" i="106" s="1"/>
  <c r="B6750" i="106"/>
  <c r="D6750" i="106" s="1"/>
  <c r="B6751" i="106"/>
  <c r="D6751" i="106" s="1"/>
  <c r="B6752" i="106"/>
  <c r="D6752" i="106" s="1"/>
  <c r="B6753" i="106"/>
  <c r="D6753" i="106" s="1"/>
  <c r="B6754" i="106"/>
  <c r="D6754" i="106" s="1"/>
  <c r="B6755" i="106"/>
  <c r="D6755" i="106"/>
  <c r="B6756" i="106"/>
  <c r="D6756" i="106" s="1"/>
  <c r="B6757" i="106"/>
  <c r="D6757" i="106" s="1"/>
  <c r="B6758" i="106"/>
  <c r="D6758" i="106" s="1"/>
  <c r="B6759" i="106"/>
  <c r="D6759" i="106" s="1"/>
  <c r="B6760" i="106"/>
  <c r="D6760" i="106" s="1"/>
  <c r="B6761" i="106"/>
  <c r="D6761" i="106" s="1"/>
  <c r="B6762" i="106"/>
  <c r="D6762" i="106" s="1"/>
  <c r="B6763" i="106"/>
  <c r="D6763" i="106"/>
  <c r="B6764" i="106"/>
  <c r="D6764" i="106" s="1"/>
  <c r="B6765" i="106"/>
  <c r="D6765" i="106" s="1"/>
  <c r="B6766" i="106"/>
  <c r="D6766" i="106" s="1"/>
  <c r="B6767" i="106"/>
  <c r="D6767" i="106" s="1"/>
  <c r="B6768" i="106"/>
  <c r="D6768" i="106" s="1"/>
  <c r="B6769" i="106"/>
  <c r="D6769" i="106" s="1"/>
  <c r="B6770" i="106"/>
  <c r="D6770" i="106" s="1"/>
  <c r="B6771" i="106"/>
  <c r="D6771" i="106"/>
  <c r="B6772" i="106"/>
  <c r="D6772" i="106" s="1"/>
  <c r="B6773" i="106"/>
  <c r="D6773" i="106" s="1"/>
  <c r="B6774" i="106"/>
  <c r="D6774" i="106" s="1"/>
  <c r="B6775" i="106"/>
  <c r="D6775" i="106" s="1"/>
  <c r="B6776" i="106"/>
  <c r="D6776" i="106" s="1"/>
  <c r="B6777" i="106"/>
  <c r="D6777" i="106" s="1"/>
  <c r="B6778" i="106"/>
  <c r="D6778" i="106" s="1"/>
  <c r="B6779" i="106"/>
  <c r="D6779" i="106"/>
  <c r="B6780" i="106"/>
  <c r="D6780" i="106" s="1"/>
  <c r="B6781" i="106"/>
  <c r="D6781" i="106" s="1"/>
  <c r="B6782" i="106"/>
  <c r="D6782" i="106" s="1"/>
  <c r="B6783" i="106"/>
  <c r="D6783" i="106" s="1"/>
  <c r="B6784" i="106"/>
  <c r="D6784" i="106" s="1"/>
  <c r="B6785" i="106"/>
  <c r="D6785" i="106" s="1"/>
  <c r="B6786" i="106"/>
  <c r="D6786" i="106" s="1"/>
  <c r="B6787" i="106"/>
  <c r="D6787" i="106"/>
  <c r="B6788" i="106"/>
  <c r="D6788" i="106" s="1"/>
  <c r="B6789" i="106"/>
  <c r="D6789" i="106" s="1"/>
  <c r="B6790" i="106"/>
  <c r="D6790" i="106" s="1"/>
  <c r="B6791" i="106"/>
  <c r="D6791" i="106" s="1"/>
  <c r="B6792" i="106"/>
  <c r="D6792" i="106" s="1"/>
  <c r="B6793" i="106"/>
  <c r="D6793" i="106" s="1"/>
  <c r="B6794" i="106"/>
  <c r="D6794" i="106" s="1"/>
  <c r="B6795" i="106"/>
  <c r="D6795" i="106"/>
  <c r="B6796" i="106"/>
  <c r="D6796" i="106" s="1"/>
  <c r="B6797" i="106"/>
  <c r="D6797" i="106" s="1"/>
  <c r="B6798" i="106"/>
  <c r="D6798" i="106" s="1"/>
  <c r="B6799" i="106"/>
  <c r="D6799" i="106" s="1"/>
  <c r="B6800" i="106"/>
  <c r="D6800" i="106" s="1"/>
  <c r="B6801" i="106"/>
  <c r="D6801" i="106" s="1"/>
  <c r="B6802" i="106"/>
  <c r="D6802" i="106" s="1"/>
  <c r="B6803" i="106"/>
  <c r="D6803" i="106"/>
  <c r="B6804" i="106"/>
  <c r="D6804" i="106" s="1"/>
  <c r="B6805" i="106"/>
  <c r="D6805" i="106" s="1"/>
  <c r="B6806" i="106"/>
  <c r="D6806" i="106" s="1"/>
  <c r="B6807" i="106"/>
  <c r="D6807" i="106" s="1"/>
  <c r="B6808" i="106"/>
  <c r="D6808" i="106" s="1"/>
  <c r="B6809" i="106"/>
  <c r="D6809" i="106" s="1"/>
  <c r="B6810" i="106"/>
  <c r="D6810" i="106" s="1"/>
  <c r="B6811" i="106"/>
  <c r="D6811" i="106"/>
  <c r="B6812" i="106"/>
  <c r="D6812" i="106" s="1"/>
  <c r="B6813" i="106"/>
  <c r="D6813" i="106" s="1"/>
  <c r="B6814" i="106"/>
  <c r="D6814" i="106" s="1"/>
  <c r="B6815" i="106"/>
  <c r="D6815" i="106" s="1"/>
  <c r="B6816" i="106"/>
  <c r="D6816" i="106" s="1"/>
  <c r="B6817" i="106"/>
  <c r="D6817" i="106" s="1"/>
  <c r="B6818" i="106"/>
  <c r="D6818" i="106" s="1"/>
  <c r="B6819" i="106"/>
  <c r="D6819" i="106"/>
  <c r="B6820" i="106"/>
  <c r="D6820" i="106" s="1"/>
  <c r="B6821" i="106"/>
  <c r="D6821" i="106" s="1"/>
  <c r="B6822" i="106"/>
  <c r="D6822" i="106" s="1"/>
  <c r="B6823" i="106"/>
  <c r="D6823" i="106" s="1"/>
  <c r="B6824" i="106"/>
  <c r="D6824" i="106" s="1"/>
  <c r="B6825" i="106"/>
  <c r="D6825" i="106" s="1"/>
  <c r="B6826" i="106"/>
  <c r="D6826" i="106" s="1"/>
  <c r="B6827" i="106"/>
  <c r="D6827" i="106"/>
  <c r="B6828" i="106"/>
  <c r="D6828" i="106" s="1"/>
  <c r="B6829" i="106"/>
  <c r="D6829" i="106" s="1"/>
  <c r="B6830" i="106"/>
  <c r="D6830" i="106" s="1"/>
  <c r="B6831" i="106"/>
  <c r="D6831" i="106" s="1"/>
  <c r="B6832" i="106"/>
  <c r="D6832" i="106" s="1"/>
  <c r="B6841" i="106"/>
  <c r="D6841" i="106" s="1"/>
  <c r="B6842" i="106"/>
  <c r="D6842" i="106" s="1"/>
  <c r="B6843" i="106"/>
  <c r="D6843" i="106"/>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71" i="36"/>
  <c r="D72" i="36"/>
  <c r="D79" i="36"/>
  <c r="B65" i="127"/>
  <c r="B66" i="127"/>
  <c r="D26" i="108"/>
  <c r="F26" i="108"/>
  <c r="E27" i="108"/>
  <c r="G27" i="108"/>
  <c r="E28" i="108"/>
  <c r="F31" i="108"/>
  <c r="F37" i="108"/>
  <c r="G28" i="108"/>
  <c r="D31"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6" i="34"/>
  <c r="C67" i="34"/>
  <c r="D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c r="D4951" i="106" s="1"/>
  <c r="C184" i="5"/>
  <c r="B5232" i="106" s="1"/>
  <c r="D5232" i="106" s="1"/>
  <c r="D184" i="5"/>
  <c r="B5425" i="106" s="1"/>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D24" i="37"/>
  <c r="B4270" i="106" s="1"/>
  <c r="D4270" i="106" s="1"/>
  <c r="D5" i="7"/>
  <c r="B1761" i="106" s="1"/>
  <c r="D1761" i="106" s="1"/>
  <c r="D13" i="7"/>
  <c r="B3726" i="106" s="1"/>
  <c r="D3726" i="106" s="1"/>
  <c r="B5752" i="106"/>
  <c r="D5752" i="106" s="1"/>
  <c r="H173" i="5"/>
  <c r="B5906" i="106" s="1"/>
  <c r="D5906" i="106" s="1"/>
  <c r="B1746" i="106"/>
  <c r="D1746" i="106" s="1"/>
  <c r="D17" i="7"/>
  <c r="B4104" i="106" s="1"/>
  <c r="D4104" i="106" s="1"/>
  <c r="B1996" i="106" l="1"/>
  <c r="D1996" i="106" s="1"/>
  <c r="I26" i="12"/>
  <c r="B7741" i="106" s="1"/>
  <c r="D7741" i="106" s="1"/>
  <c r="H6" i="4"/>
  <c r="B2656" i="106" s="1"/>
  <c r="D2656" i="106" s="1"/>
  <c r="D7" i="7"/>
  <c r="B1763" i="106" s="1"/>
  <c r="D1763" i="106" s="1"/>
  <c r="J274" i="5"/>
  <c r="B7054" i="106" s="1"/>
  <c r="D7054" i="106" s="1"/>
  <c r="B4373" i="106"/>
  <c r="D4373" i="106" s="1"/>
  <c r="K173" i="5"/>
  <c r="K6" i="4" s="1"/>
  <c r="B3570" i="106" s="1"/>
  <c r="D3570" i="106" s="1"/>
  <c r="F69" i="34"/>
  <c r="D36" i="108"/>
  <c r="F36" i="108"/>
  <c r="E26" i="108"/>
  <c r="J77" i="4"/>
  <c r="B6262" i="106" s="1"/>
  <c r="D6262" i="106" s="1"/>
  <c r="F127" i="34"/>
  <c r="G172" i="5"/>
  <c r="G173" i="5" s="1"/>
  <c r="B5778" i="106" s="1"/>
  <c r="D5778" i="106" s="1"/>
  <c r="H109" i="5"/>
  <c r="B6025" i="106" s="1"/>
  <c r="D6025" i="106" s="1"/>
  <c r="F42" i="34"/>
  <c r="G38" i="108"/>
  <c r="H76" i="4"/>
  <c r="B3298" i="106" s="1"/>
  <c r="D3298" i="106" s="1"/>
  <c r="F77" i="4"/>
  <c r="B3255" i="106" s="1"/>
  <c r="D3255" i="106" s="1"/>
  <c r="B1274" i="106"/>
  <c r="D1274" i="106" s="1"/>
  <c r="F106" i="34"/>
  <c r="F128" i="34"/>
  <c r="C172" i="5"/>
  <c r="B5214" i="106" s="1"/>
  <c r="D5214" i="106" s="1"/>
  <c r="F136" i="34"/>
  <c r="L22" i="37"/>
  <c r="D5" i="4"/>
  <c r="B3406" i="106" s="1"/>
  <c r="D3406" i="106" s="1"/>
  <c r="K274" i="5"/>
  <c r="F67" i="34"/>
  <c r="F64" i="34"/>
  <c r="E38" i="108"/>
  <c r="F28" i="108"/>
  <c r="G26" i="108"/>
  <c r="G210" i="29"/>
  <c r="B1365" i="106" s="1"/>
  <c r="D1365" i="106" s="1"/>
  <c r="D54" i="36"/>
  <c r="L13" i="11"/>
  <c r="B2060" i="106" s="1"/>
  <c r="D2060" i="106" s="1"/>
  <c r="N22" i="3"/>
  <c r="B283" i="106" s="1"/>
  <c r="D283" i="106" s="1"/>
  <c r="D68" i="36"/>
  <c r="D69" i="36"/>
  <c r="H29" i="118"/>
  <c r="K28" i="118" s="1"/>
  <c r="O27" i="118" s="1"/>
  <c r="O29" i="118" s="1"/>
  <c r="D11" i="37"/>
  <c r="H33" i="118"/>
  <c r="F19" i="7"/>
  <c r="B1807" i="106" s="1"/>
  <c r="D1807" i="106" s="1"/>
  <c r="F72" i="34"/>
  <c r="E29" i="108"/>
  <c r="B6995" i="106"/>
  <c r="D6995" i="106" s="1"/>
  <c r="E30" i="108"/>
  <c r="G30" i="108"/>
  <c r="D27" i="108"/>
  <c r="D41" i="108" s="1"/>
  <c r="E43" i="108" s="1"/>
  <c r="D12" i="7"/>
  <c r="B1769" i="106" s="1"/>
  <c r="D1769" i="106" s="1"/>
  <c r="D109" i="5"/>
  <c r="D4" i="4" s="1"/>
  <c r="B2564" i="106" s="1"/>
  <c r="D2564" i="106" s="1"/>
  <c r="C109" i="5"/>
  <c r="B5121" i="106" s="1"/>
  <c r="D5121" i="106" s="1"/>
  <c r="H4" i="4"/>
  <c r="B2655" i="106" s="1"/>
  <c r="D2655" i="106" s="1"/>
  <c r="B5356" i="106"/>
  <c r="D5356" i="106" s="1"/>
  <c r="I173" i="5"/>
  <c r="B4216" i="106" s="1"/>
  <c r="D4216" i="106" s="1"/>
  <c r="L367" i="29"/>
  <c r="B7199" i="106"/>
  <c r="D7199" i="106" s="1"/>
  <c r="C342" i="29"/>
  <c r="B7216" i="106" s="1"/>
  <c r="D7216" i="106" s="1"/>
  <c r="B7047" i="106"/>
  <c r="D7047" i="106" s="1"/>
  <c r="D15" i="7"/>
  <c r="B1772" i="106" s="1"/>
  <c r="D1772" i="106" s="1"/>
  <c r="F130" i="34"/>
  <c r="D9" i="7"/>
  <c r="B1767" i="106" s="1"/>
  <c r="D1767" i="106" s="1"/>
  <c r="L5" i="11"/>
  <c r="B2056" i="106" s="1"/>
  <c r="D2056" i="106" s="1"/>
  <c r="G109" i="5"/>
  <c r="J352" i="29"/>
  <c r="B3621" i="106"/>
  <c r="D3621" i="106" s="1"/>
  <c r="C367" i="29"/>
  <c r="K184" i="29"/>
  <c r="F13" i="4" s="1"/>
  <c r="B2596" i="106" s="1"/>
  <c r="D2596" i="106" s="1"/>
  <c r="B4087" i="106"/>
  <c r="D4087" i="106" s="1"/>
  <c r="C173" i="5"/>
  <c r="B5223" i="106" s="1"/>
  <c r="D5223" i="106" s="1"/>
  <c r="B5770" i="106"/>
  <c r="D5770" i="106" s="1"/>
  <c r="D4" i="7"/>
  <c r="B1760" i="106" s="1"/>
  <c r="D1760" i="106" s="1"/>
  <c r="F65" i="34"/>
  <c r="F46" i="34"/>
  <c r="D11" i="7"/>
  <c r="B1768" i="106" s="1"/>
  <c r="D1768" i="106" s="1"/>
  <c r="F111" i="34"/>
  <c r="F131" i="34"/>
  <c r="B7041" i="106"/>
  <c r="D7041" i="106" s="1"/>
  <c r="E109" i="5"/>
  <c r="E4" i="4" s="1"/>
  <c r="B2630" i="106" s="1"/>
  <c r="D2630" i="106" s="1"/>
  <c r="F50" i="34"/>
  <c r="F44" i="34"/>
  <c r="G29" i="108"/>
  <c r="B6848" i="106"/>
  <c r="D6848" i="106" s="1"/>
  <c r="F34" i="34"/>
  <c r="B3649" i="106"/>
  <c r="D3649" i="106" s="1"/>
  <c r="G367" i="29"/>
  <c r="B3668" i="106"/>
  <c r="D3668" i="106" s="1"/>
  <c r="K350" i="29"/>
  <c r="C129" i="29"/>
  <c r="C151" i="29" s="1"/>
  <c r="B1226" i="106" s="1"/>
  <c r="D1226" i="106" s="1"/>
  <c r="B1223" i="106"/>
  <c r="D1223" i="106" s="1"/>
  <c r="L342" i="29"/>
  <c r="B6191" i="106"/>
  <c r="D6191" i="106" s="1"/>
  <c r="J41" i="3"/>
  <c r="D6103" i="106"/>
  <c r="F21" i="8"/>
  <c r="K24" i="12"/>
  <c r="K76" i="4"/>
  <c r="B3586" i="106" s="1"/>
  <c r="D3586" i="106" s="1"/>
  <c r="K285"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3447" i="106"/>
  <c r="D3447" i="106" s="1"/>
  <c r="B7270" i="106"/>
  <c r="F274" i="5" l="1"/>
  <c r="H367" i="29"/>
  <c r="B3660" i="106" s="1"/>
  <c r="D3660" i="106" s="1"/>
  <c r="N23" i="3"/>
  <c r="B284" i="106" s="1"/>
  <c r="D284" i="106" s="1"/>
  <c r="L16" i="11"/>
  <c r="B2061" i="106" s="1"/>
  <c r="D2061" i="106" s="1"/>
  <c r="L114" i="29"/>
  <c r="B1381" i="106"/>
  <c r="D1381" i="106" s="1"/>
  <c r="K342" i="29"/>
  <c r="F13" i="34" s="1"/>
  <c r="B1317" i="106"/>
  <c r="D1317" i="106" s="1"/>
  <c r="H8" i="4"/>
  <c r="H10" i="4" s="1"/>
  <c r="B4127" i="106" s="1"/>
  <c r="D4127" i="106" s="1"/>
  <c r="B5527" i="106"/>
  <c r="D5527" i="106" s="1"/>
  <c r="C6" i="4"/>
  <c r="B2553" i="106" s="1"/>
  <c r="D2553" i="106" s="1"/>
  <c r="C4" i="4"/>
  <c r="B2551" i="106" s="1"/>
  <c r="D2551" i="106" s="1"/>
  <c r="D44" i="36"/>
  <c r="B7733" i="106"/>
  <c r="D7733" i="106" s="1"/>
  <c r="K26" i="12"/>
  <c r="B7743" i="106" s="1"/>
  <c r="D7743" i="106" s="1"/>
  <c r="J367" i="29"/>
  <c r="B7245" i="106" s="1"/>
  <c r="D7245" i="106" s="1"/>
  <c r="B7235" i="106"/>
  <c r="D7235" i="106" s="1"/>
  <c r="D19" i="7"/>
  <c r="B1775" i="106" s="1"/>
  <c r="D1775" i="106" s="1"/>
  <c r="H275" i="5"/>
  <c r="B3670" i="106"/>
  <c r="D3670" i="106" s="1"/>
  <c r="K352" i="29"/>
  <c r="K365" i="29"/>
  <c r="D7255" i="106"/>
  <c r="B7215" i="106"/>
  <c r="D7215" i="106" s="1"/>
  <c r="D7252" i="106"/>
  <c r="F6" i="4"/>
  <c r="B2593" i="106" s="1"/>
  <c r="D2593" i="106" s="1"/>
  <c r="F73" i="34"/>
  <c r="G15" i="4"/>
  <c r="B6032" i="106" s="1"/>
  <c r="D6032" i="106" s="1"/>
  <c r="B1879" i="106"/>
  <c r="D1879" i="106" s="1"/>
  <c r="H22" i="37"/>
  <c r="B6024" i="106"/>
  <c r="D6024" i="106" s="1"/>
  <c r="G4" i="4"/>
  <c r="B2603" i="106" s="1"/>
  <c r="D2603" i="106" s="1"/>
  <c r="D274" i="5"/>
  <c r="B5507" i="106" s="1"/>
  <c r="D5507" i="106" s="1"/>
  <c r="F275" i="5"/>
  <c r="D7256" i="106"/>
  <c r="D7251" i="106"/>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D275" i="5"/>
  <c r="B7298" i="106"/>
  <c r="B7299" i="106"/>
  <c r="B7224" i="106" l="1"/>
  <c r="D7224" i="106" s="1"/>
  <c r="J17" i="4"/>
  <c r="J19" i="4" s="1"/>
  <c r="B6229" i="106" s="1"/>
  <c r="D6229" i="106" s="1"/>
  <c r="E41" i="108"/>
  <c r="E44" i="108" s="1"/>
  <c r="E45" i="108" s="1"/>
  <c r="F8" i="4"/>
  <c r="F10" i="4" s="1"/>
  <c r="B4125" i="106" s="1"/>
  <c r="D4125" i="106" s="1"/>
  <c r="K13" i="4"/>
  <c r="B3572" i="106" s="1"/>
  <c r="D3572" i="106" s="1"/>
  <c r="B3672" i="106"/>
  <c r="D3672" i="106" s="1"/>
  <c r="D7" i="4"/>
  <c r="B2567" i="106" s="1"/>
  <c r="D2567" i="106" s="1"/>
  <c r="G41" i="108"/>
  <c r="G44" i="108" s="1"/>
  <c r="G45" i="108"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K17" i="4" l="1"/>
  <c r="K20" i="4" s="1"/>
  <c r="K368" i="29"/>
  <c r="B3681" i="106" s="1"/>
  <c r="D3681" i="106" s="1"/>
  <c r="J20" i="4"/>
  <c r="B6230" i="106" s="1"/>
  <c r="D6230" i="106" s="1"/>
  <c r="F76" i="34"/>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K19" i="4" l="1"/>
  <c r="B4144" i="106" s="1"/>
  <c r="D4144" i="106" s="1"/>
  <c r="J78" i="4"/>
  <c r="B6263" i="106" s="1"/>
  <c r="D6263" i="106" s="1"/>
  <c r="F14" i="34"/>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c r="B2574" i="106"/>
  <c r="D2574" i="106" s="1"/>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<sst xmlns="http://schemas.openxmlformats.org/spreadsheetml/2006/main" count="5338" uniqueCount="2181">
  <si>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</si>
  <si>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</si>
  <si>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</si>
  <si>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</si>
  <si>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</si>
  <si>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</si>
  <si>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</si>
  <si>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</si>
  <si>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</si>
  <si>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</si>
  <si>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</si>
  <si>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</si>
  <si>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</si>
  <si>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</si>
  <si>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</si>
  <si>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</si>
  <si>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</si>
  <si>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</si>
  <si>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</si>
  <si>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</si>
  <si>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</si>
  <si>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</si>
  <si>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</si>
  <si>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</si>
  <si>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</si>
  <si>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</si>
  <si>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</si>
  <si>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</si>
  <si>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</si>
  <si>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</si>
  <si>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</si>
  <si>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</si>
  <si>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</si>
  <si>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</si>
  <si>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</si>
  <si>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</si>
  <si>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</si>
  <si>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</si>
  <si>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</si>
  <si>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</si>
  <si>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</si>
  <si>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</si>
  <si>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</si>
  <si>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</si>
  <si>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</si>
  <si>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</si>
  <si>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</si>
  <si>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</si>
  <si>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</si>
  <si>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</si>
  <si>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</si>
  <si>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</si>
  <si>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</si>
  <si>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</si>
  <si>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</si>
  <si>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</si>
  <si>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</si>
  <si>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</si>
  <si>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</si>
  <si>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</si>
  <si>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</si>
  <si>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</si>
  <si>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</si>
  <si>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</si>
  <si>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</si>
  <si>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</si>
  <si>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</si>
  <si>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</si>
  <si>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</si>
  <si>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</si>
  <si>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</si>
  <si>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</si>
  <si>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</si>
  <si>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</si>
  <si>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</si>
  <si>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</si>
  <si>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</si>
  <si>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</si>
  <si>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</si>
  <si>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</si>
  <si>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</si>
  <si>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</si>
  <si>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</si>
  <si>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</si>
  <si>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</si>
  <si>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</si>
  <si>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</si>
  <si>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</si>
  <si>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</si>
  <si>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</si>
  <si>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</si>
  <si>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</si>
  <si>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</si>
  <si>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</si>
  <si>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</si>
  <si>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</si>
  <si>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</si>
  <si>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</si>
  <si>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</si>
  <si>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</si>
  <si>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</si>
  <si>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</si>
  <si>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</si>
  <si>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</si>
  <si>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</si>
  <si>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</si>
  <si>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</si>
  <si>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</si>
  <si>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</si>
  <si>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</si>
  <si>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</si>
  <si>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</si>
  <si>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</si>
  <si>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</si>
  <si>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</si>
  <si>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</si>
  <si>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</si>
  <si>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</si>
  <si>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</si>
  <si>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</si>
  <si>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</si>
  <si>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</si>
  <si>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</si>
  <si>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</si>
  <si>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</si>
  <si>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</si>
  <si>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</si>
  <si>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</si>
  <si>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</si>
  <si>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</si>
  <si>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</si>
  <si>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</si>
  <si>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</si>
  <si>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</si>
  <si>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</si>
  <si>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</si>
  <si>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</si>
  <si>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</si>
  <si>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</si>
  <si>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</si>
  <si>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</si>
  <si>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</si>
  <si>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</si>
  <si>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</si>
  <si>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</si>
  <si>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</si>
  <si>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</si>
  <si>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</si>
  <si>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</si>
  <si>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</si>
  <si>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</si>
  <si>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</si>
  <si>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</si>
  <si>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</si>
  <si>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</si>
  <si>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</si>
  <si>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</si>
  <si>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</si>
  <si>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</si>
  <si>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</si>
  <si>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</si>
  <si>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</si>
  <si>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</si>
  <si>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</si>
  <si>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</si>
  <si>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</si>
  <si>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</si>
  <si>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</si>
  <si>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</si>
  <si>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</si>
  <si>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</si>
  <si>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</si>
  <si>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</si>
  <si>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</si>
  <si>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</si>
  <si>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</si>
  <si>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</si>
  <si>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</si>
  <si>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</si>
  <si>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</si>
  <si>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</si>
  <si>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</si>
  <si>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</si>
  <si>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</si>
  <si>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</si>
  <si>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</si>
  <si>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</si>
  <si>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</si>
  <si>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</si>
  <si>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</si>
  <si>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</si>
  <si>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</si>
  <si>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</si>
  <si>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</si>
  <si>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</si>
  <si>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</si>
  <si>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</si>
  <si>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</si>
  <si>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</si>
  <si>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</si>
  <si>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</si>
  <si>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</si>
  <si>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</si>
  <si>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</si>
  <si>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</si>
  <si>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</si>
  <si>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</si>
  <si>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</si>
  <si>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</si>
  <si>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</si>
  <si>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</si>
  <si>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</si>
  <si>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</si>
  <si>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</si>
  <si>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</si>
  <si>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</si>
  <si>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</si>
  <si>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</si>
  <si>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</si>
  <si>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</si>
  <si>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</si>
  <si>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</si>
  <si>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</si>
  <si>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</si>
  <si>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</si>
  <si>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</si>
  <si>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</si>
  <si>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</si>
  <si>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</si>
  <si>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</si>
  <si>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</si>
  <si>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</si>
  <si>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</si>
  <si>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</si>
  <si>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</si>
  <si>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</si>
  <si>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</si>
  <si>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</si>
  <si>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</si>
  <si>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</si>
  <si>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</si>
  <si>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</si>
  <si>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</si>
  <si>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</si>
  <si>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</si>
  <si>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</si>
  <si>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</si>
  <si>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</si>
  <si>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</si>
  <si>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</si>
  <si>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</si>
  <si>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</si>
  <si>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</si>
  <si>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</si>
  <si>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</si>
  <si>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</si>
  <si>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</si>
  <si>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</si>
  <si>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</si>
  <si>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</si>
  <si>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</si>
  <si>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</si>
  <si>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</si>
  <si>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</si>
  <si>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</si>
  <si>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</si>
  <si>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</si>
  <si>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</si>
  <si>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</si>
  <si>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</si>
  <si>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</si>
  <si>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</si>
  <si>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</si>
  <si>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</si>
  <si>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</si>
  <si>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</si>
  <si>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</si>
  <si>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</si>
  <si>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</si>
  <si>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</si>
  <si>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</si>
  <si>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</si>
  <si>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</si>
  <si>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</si>
  <si>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</si>
  <si>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</si>
  <si>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</si>
  <si>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</si>
  <si>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</si>
  <si>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</si>
  <si>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</si>
  <si>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</si>
  <si>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</si>
  <si>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</si>
  <si>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</si>
  <si>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</si>
  <si>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</si>
  <si>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</si>
  <si>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</si>
  <si>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</si>
  <si>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</si>
  <si>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</si>
  <si>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</si>
  <si>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</si>
  <si>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</si>
  <si>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</si>
  <si>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</si>
  <si>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</si>
  <si>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</si>
  <si>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</si>
  <si>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</si>
  <si>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</si>
  <si>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</si>
  <si>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</si>
  <si>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</si>
  <si>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</si>
  <si>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</si>
  <si>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</si>
  <si>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</si>
  <si>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</si>
  <si>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</si>
  <si>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</si>
  <si>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</si>
  <si>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</si>
  <si>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</si>
  <si>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</si>
  <si>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</si>
  <si>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</si>
  <si>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</si>
  <si>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</si>
  <si>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</si>
  <si>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</si>
  <si>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</si>
  <si>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</si>
  <si>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</si>
  <si>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</si>
  <si>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</si>
  <si>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</si>
  <si>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</si>
  <si>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</si>
  <si>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</si>
  <si>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</si>
  <si>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</si>
  <si>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</si>
  <si>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</si>
  <si>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</si>
  <si>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</si>
  <si>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</si>
  <si>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</si>
  <si>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</si>
  <si>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</si>
  <si>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</si>
  <si>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</si>
  <si>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</si>
  <si>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</si>
  <si>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</si>
  <si>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</si>
  <si>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</si>
  <si>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</si>
  <si>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</si>
  <si>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</si>
  <si>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</si>
  <si>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</si>
  <si>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</si>
  <si>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</si>
  <si>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</si>
  <si>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</si>
  <si>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</si>
  <si>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</si>
  <si>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</si>
  <si>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</si>
  <si>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</si>
  <si>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</si>
  <si>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</si>
  <si>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</si>
  <si>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</si>
  <si>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</si>
  <si>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</si>
  <si>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</si>
  <si>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</si>
  <si>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</si>
  <si>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</si>
  <si>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</si>
  <si>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</si>
  <si>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</si>
  <si>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</si>
  <si>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</si>
  <si>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</si>
  <si>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</si>
  <si>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</si>
  <si>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</si>
  <si>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</si>
  <si>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</si>
  <si>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</si>
  <si>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</si>
  <si>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</si>
  <si>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</si>
  <si>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</si>
  <si>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</si>
  <si>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</si>
  <si>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</si>
  <si>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</si>
  <si>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</si>
  <si>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</si>
  <si>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</si>
  <si>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</si>
  <si>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</si>
  <si>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</si>
  <si>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</si>
  <si>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</si>
  <si>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</si>
  <si>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</si>
  <si>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</si>
  <si>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</si>
  <si>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</si>
  <si>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</si>
  <si>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</si>
  <si>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</si>
  <si>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</si>
  <si>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</si>
  <si>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</si>
  <si>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</si>
  <si>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</si>
  <si>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</si>
  <si>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</si>
  <si>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</si>
  <si>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</si>
  <si>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</si>
  <si>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</si>
  <si>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</si>
  <si>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</si>
  <si>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</si>
  <si>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</si>
  <si>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</si>
  <si>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</si>
  <si>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</si>
  <si>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</si>
  <si>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</si>
  <si>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</si>
  <si>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</si>
  <si>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</si>
  <si>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</si>
  <si>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</si>
  <si>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</si>
  <si>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</si>
  <si>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</si>
  <si>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</si>
  <si>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</si>
  <si>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</si>
  <si>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</si>
  <si>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</si>
  <si>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</si>
  <si>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</si>
  <si>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</si>
  <si>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</si>
  <si>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</si>
  <si>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</si>
  <si>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</si>
  <si>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</si>
  <si>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</si>
  <si>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</si>
  <si>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</si>
  <si>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</si>
  <si>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</si>
  <si>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</si>
  <si>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</si>
  <si>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</si>
  <si>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</si>
  <si>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</si>
  <si>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</si>
  <si>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</si>
  <si>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</si>
  <si>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</si>
  <si>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</si>
  <si>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</si>
  <si>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</si>
  <si>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</si>
  <si>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</si>
  <si>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</si>
  <si>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</si>
  <si>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</si>
  <si>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</si>
  <si>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</si>
  <si>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</si>
  <si>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</si>
  <si>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</si>
  <si>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</si>
  <si>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</si>
  <si>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</si>
  <si>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</si>
  <si>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</si>
  <si>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</si>
  <si>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</si>
  <si>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</si>
  <si>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</si>
  <si>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</si>
  <si>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</si>
  <si>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</si>
  <si>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</si>
  <si>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</si>
  <si>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</si>
  <si>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</si>
  <si>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</si>
  <si>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</si>
  <si>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</si>
  <si>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</si>
  <si>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</si>
  <si>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</si>
  <si>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</si>
  <si>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</si>
  <si>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</si>
  <si>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</si>
  <si>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</si>
  <si>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</si>
  <si>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</si>
  <si>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</si>
  <si>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</si>
  <si>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</si>
  <si>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</si>
  <si>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</si>
  <si>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</si>
  <si>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</si>
  <si>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</si>
  <si>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</si>
  <si>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</si>
  <si>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</si>
  <si>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</si>
  <si>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</si>
  <si>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</si>
  <si>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</si>
  <si>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</si>
  <si>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</si>
  <si>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</si>
  <si>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</si>
  <si>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</si>
  <si>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</si>
  <si>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</si>
  <si>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</si>
  <si>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</si>
  <si>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</si>
  <si>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</si>
  <si>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</si>
  <si>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</si>
  <si>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</si>
  <si>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</si>
  <si>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</si>
  <si>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</si>
  <si>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</si>
  <si>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</si>
  <si>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</si>
  <si>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</si>
  <si>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</si>
  <si>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</si>
  <si>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</si>
  <si>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</si>
  <si>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</si>
  <si>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</si>
  <si>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</si>
  <si>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</si>
  <si>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</si>
  <si>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</si>
  <si>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</si>
  <si>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</si>
  <si>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</si>
  <si>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</si>
  <si>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</si>
  <si>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</si>
  <si>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</si>
  <si>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</si>
  <si>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</si>
  <si>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</si>
  <si>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</si>
  <si>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</si>
  <si>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</si>
  <si>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</si>
  <si>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</si>
  <si>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</si>
  <si>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</si>
  <si>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</si>
  <si>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</si>
  <si>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</si>
  <si>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</si>
  <si>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</si>
  <si>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</si>
  <si>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</si>
  <si>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</si>
  <si>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</si>
  <si>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</si>
  <si>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</si>
  <si>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</si>
  <si>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</si>
  <si>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</si>
  <si>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</si>
  <si>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</si>
  <si>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</si>
  <si>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</si>
  <si>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</si>
  <si>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</si>
  <si>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</si>
  <si>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</si>
  <si>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</si>
  <si>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</si>
  <si>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</si>
  <si>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</si>
  <si>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</si>
  <si>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</si>
  <si>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</si>
  <si>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</si>
  <si>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</si>
  <si>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</si>
  <si>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</si>
  <si>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</si>
  <si>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</si>
  <si>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</si>
  <si>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</si>
  <si>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</si>
  <si>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</si>
  <si>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</si>
  <si>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</si>
  <si>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</si>
  <si>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</si>
  <si>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</si>
  <si>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</si>
  <si>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</si>
  <si>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</si>
  <si>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</si>
  <si>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</si>
  <si>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</si>
  <si>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</si>
  <si>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</si>
  <si>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</si>
  <si>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</si>
  <si>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</si>
  <si>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</si>
  <si>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</si>
  <si>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</si>
  <si>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</si>
  <si>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</si>
  <si>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</si>
  <si>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</si>
  <si>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</si>
  <si>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</si>
  <si>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</si>
  <si>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</si>
  <si>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</si>
  <si>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</si>
  <si>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</si>
  <si>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</si>
  <si>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</si>
  <si>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</si>
  <si>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</si>
  <si>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</si>
  <si>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</si>
  <si>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</si>
  <si>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</si>
  <si>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</si>
  <si>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</si>
  <si>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</si>
  <si>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</si>
  <si>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</si>
  <si>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</si>
  <si>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</si>
  <si>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</si>
  <si>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</si>
  <si>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</si>
  <si>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</si>
  <si>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</si>
  <si>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</si>
  <si>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</si>
  <si>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</si>
  <si>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</si>
  <si>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</si>
  <si>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</si>
  <si>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</si>
  <si>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</si>
  <si>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</si>
  <si>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</si>
  <si>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</si>
  <si>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</si>
  <si>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</si>
  <si>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</si>
  <si>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</si>
  <si>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</si>
  <si>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</si>
  <si>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</si>
  <si>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</si>
  <si>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</si>
  <si>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</si>
  <si>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</si>
  <si>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</si>
  <si>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</si>
  <si>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</si>
  <si>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</si>
  <si>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</si>
  <si>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</si>
  <si>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</si>
  <si>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</si>
  <si>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</si>
  <si>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</si>
  <si>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</si>
  <si>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</si>
  <si>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</si>
  <si>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</si>
  <si>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</si>
  <si>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</si>
  <si>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</si>
  <si>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</si>
  <si>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</si>
  <si>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</si>
  <si>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</si>
  <si>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</si>
  <si>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</si>
  <si>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</si>
  <si>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</si>
  <si>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</si>
  <si>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</si>
  <si>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</si>
  <si>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</si>
  <si>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</si>
  <si>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</si>
  <si>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</si>
  <si>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</si>
  <si>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</si>
  <si>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</si>
  <si>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</si>
  <si>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</si>
  <si>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</si>
  <si>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</si>
  <si>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</si>
  <si>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</si>
  <si>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</si>
  <si>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</si>
  <si>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</si>
  <si>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</si>
  <si>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</si>
  <si>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</si>
  <si>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</si>
  <si>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</si>
  <si>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</si>
  <si>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</si>
  <si>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</si>
  <si>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</si>
  <si>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</si>
  <si>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</si>
  <si>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</si>
  <si>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</si>
  <si>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</si>
  <si>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</si>
  <si>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</si>
  <si>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</si>
  <si>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</si>
  <si>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</si>
  <si>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</si>
  <si>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</si>
  <si>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</si>
  <si>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</si>
  <si>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</si>
  <si>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</si>
  <si>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</si>
  <si>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</si>
  <si>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</si>
  <si>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</si>
  <si>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</si>
  <si>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</si>
  <si>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</si>
  <si>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</si>
  <si>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</si>
  <si>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</si>
  <si>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</si>
  <si>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</si>
  <si>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</si>
  <si>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</si>
  <si>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</si>
  <si>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</si>
  <si>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</si>
  <si>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</si>
  <si>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</si>
  <si>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</si>
  <si>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</si>
  <si>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</si>
  <si>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</si>
  <si>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</si>
  <si>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</si>
  <si>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</si>
  <si>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</si>
  <si>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</si>
  <si>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</si>
  <si>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</si>
  <si>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</si>
  <si>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</si>
  <si>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</si>
  <si>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</si>
  <si>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</si>
  <si>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</si>
  <si>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</si>
  <si>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</si>
  <si>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</si>
  <si>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</si>
  <si>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</si>
  <si>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</si>
  <si>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</si>
  <si>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</si>
  <si>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</si>
  <si>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</si>
  <si>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</si>
  <si>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</si>
  <si>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</si>
  <si>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</si>
  <si>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</si>
  <si>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</si>
  <si>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</si>
  <si>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</si>
  <si>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</si>
  <si>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</si>
  <si>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</si>
  <si>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</si>
  <si>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</si>
  <si>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</si>
  <si>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</si>
  <si>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</si>
  <si>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</si>
  <si>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</si>
  <si>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</si>
  <si>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</si>
  <si>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</si>
  <si>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</si>
  <si>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</si>
  <si>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</si>
  <si>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</si>
  <si>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</si>
  <si>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</si>
  <si>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</si>
  <si>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</si>
  <si>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</si>
  <si>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</si>
  <si>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</si>
  <si>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</si>
  <si>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</si>
  <si>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</si>
  <si>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</si>
  <si>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</si>
  <si>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</si>
  <si>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</si>
  <si>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</si>
  <si>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</si>
  <si>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</si>
  <si>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</si>
  <si>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</si>
  <si>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</si>
  <si>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</si>
  <si>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</si>
  <si>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</si>
  <si>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</si>
  <si>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</si>
  <si>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</si>
  <si>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</si>
  <si>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</si>
  <si>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</si>
  <si>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</si>
  <si>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</si>
  <si>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</si>
  <si>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</si>
  <si>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</si>
  <si>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</si>
  <si>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</si>
  <si>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</si>
  <si>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</si>
  <si>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</si>
  <si>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</si>
  <si>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</si>
  <si>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</si>
  <si>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</si>
  <si>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</si>
  <si>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</si>
  <si>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</si>
  <si>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</si>
  <si>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</si>
  <si>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</si>
  <si>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</si>
  <si>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</si>
  <si>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</si>
  <si>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</si>
  <si>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</si>
  <si>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</si>
  <si>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</si>
  <si>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</si>
  <si>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</si>
  <si>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</si>
  <si>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</si>
  <si>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</si>
  <si>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</si>
  <si>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</si>
  <si>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</si>
  <si>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</si>
  <si>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</si>
  <si>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</si>
  <si>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</si>
  <si>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</si>
  <si>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</si>
  <si>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</si>
  <si>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</si>
  <si>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</si>
  <si>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</si>
  <si>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</si>
  <si>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</si>
  <si>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</si>
  <si>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</si>
  <si>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</si>
  <si>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</si>
  <si>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</si>
  <si>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</si>
  <si>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</si>
  <si>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</si>
  <si>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</si>
  <si>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</si>
  <si>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</si>
  <si>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</si>
  <si>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</si>
  <si>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</si>
  <si>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</si>
  <si>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</si>
  <si>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</si>
  <si>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</si>
  <si>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</si>
  <si>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</si>
  <si>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</si>
  <si>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</si>
  <si>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</si>
  <si>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</si>
  <si>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</si>
  <si>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</si>
  <si>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</si>
  <si>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</si>
  <si>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</si>
  <si>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</si>
  <si>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</si>
  <si>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</si>
  <si>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</si>
  <si>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</si>
  <si>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</si>
  <si>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</si>
  <si>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</si>
  <si>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</si>
  <si>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</si>
  <si>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</si>
  <si>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</si>
  <si>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</si>
  <si>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</si>
  <si>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</si>
  <si>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</si>
  <si>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</si>
  <si>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</si>
  <si>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</si>
  <si>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</si>
  <si>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</si>
  <si>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</si>
  <si>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</si>
  <si>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</si>
  <si>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</si>
  <si>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</si>
  <si>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</si>
  <si>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</si>
  <si>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</si>
  <si>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</si>
  <si>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</si>
  <si>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</si>
  <si>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</si>
  <si>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</si>
  <si>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</si>
  <si>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</si>
  <si>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</si>
  <si>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</si>
  <si>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</si>
  <si>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</si>
  <si>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</si>
  <si>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</si>
  <si>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</si>
  <si>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</si>
  <si>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</si>
  <si>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</si>
  <si>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</si>
  <si>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</si>
  <si>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</si>
  <si>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</si>
  <si>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</si>
  <si>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</si>
  <si>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</si>
  <si>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</si>
  <si>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</si>
  <si>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</si>
  <si>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</si>
  <si>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</si>
  <si>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</si>
  <si>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</si>
  <si>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</si>
  <si>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</si>
  <si>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</si>
  <si>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</si>
  <si>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</si>
  <si>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</si>
  <si>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</si>
  <si>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</si>
  <si>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</si>
  <si>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</si>
  <si>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</si>
  <si>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</si>
  <si>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</si>
  <si>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</si>
  <si>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</si>
  <si>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</si>
  <si>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</si>
  <si>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</si>
  <si>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</si>
  <si>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</si>
  <si>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</si>
  <si>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</si>
  <si>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</si>
  <si>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</si>
  <si>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</si>
  <si>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</si>
  <si>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</si>
  <si>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</si>
  <si>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</si>
  <si>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</si>
  <si>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</si>
  <si>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</si>
  <si>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</si>
  <si>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</si>
  <si>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</si>
  <si>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</si>
  <si>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</si>
  <si>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</si>
  <si>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</si>
  <si>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</si>
  <si>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</si>
  <si>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</si>
  <si>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</si>
  <si>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</si>
  <si>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</si>
  <si>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</si>
  <si>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</si>
  <si>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</si>
  <si>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</si>
  <si>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</si>
  <si>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</si>
  <si>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</si>
  <si>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</si>
  <si>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</si>
  <si>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</si>
  <si>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</si>
  <si>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</si>
  <si>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</si>
  <si>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</si>
  <si>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</si>
  <si>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</si>
  <si>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</si>
  <si>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</si>
  <si>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</si>
  <si>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</si>
  <si>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</si>
  <si>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</si>
  <si>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</si>
  <si>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</si>
  <si>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</si>
  <si>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</si>
  <si>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</si>
  <si>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</si>
  <si>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</si>
  <si>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</si>
  <si>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</si>
  <si>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</si>
  <si>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</si>
  <si>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</si>
  <si>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</si>
  <si>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</si>
  <si>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</si>
  <si>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</si>
  <si>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</si>
  <si>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</si>
  <si>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</si>
  <si>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</si>
  <si>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</si>
  <si>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</si>
  <si>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</si>
  <si>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</si>
  <si>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</si>
  <si>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</si>
  <si>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</si>
  <si>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</si>
  <si>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</si>
  <si>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</si>
  <si>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</si>
  <si>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</si>
  <si>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</si>
  <si>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</si>
  <si>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</si>
  <si>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</si>
  <si>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</si>
  <si>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</si>
  <si>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</si>
  <si>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</si>
  <si>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</si>
  <si>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</si>
  <si>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</si>
  <si>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</si>
  <si>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</si>
  <si>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</si>
  <si>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</si>
  <si>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</si>
  <si>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</si>
  <si>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</si>
  <si>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</si>
  <si>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</si>
  <si>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</si>
  <si>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</si>
  <si>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</si>
  <si>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</si>
  <si>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</si>
  <si>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</si>
  <si>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</si>
  <si>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</si>
  <si>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</si>
  <si>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</si>
  <si>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</si>
  <si>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</si>
  <si>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</si>
  <si>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</si>
  <si>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</si>
  <si>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</si>
  <si>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</si>
  <si>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</si>
  <si>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</si>
  <si>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</si>
  <si>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</si>
  <si>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</si>
  <si>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</si>
  <si>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</si>
  <si>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</si>
  <si>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</si>
  <si>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</si>
  <si>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</si>
  <si>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</si>
  <si>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</si>
  <si>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</si>
  <si>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</si>
  <si>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</si>
  <si>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</si>
  <si>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</si>
  <si>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</si>
  <si>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</si>
  <si>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</si>
  <si>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</si>
  <si>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</si>
  <si>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</si>
  <si>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</si>
  <si>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</si>
  <si>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</si>
  <si>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</si>
  <si>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</si>
  <si>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</si>
  <si>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</si>
  <si>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</si>
  <si>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</si>
  <si>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</si>
  <si>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</si>
  <si>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</si>
  <si>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</si>
  <si>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</si>
  <si>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</si>
  <si>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</si>
  <si>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</si>
  <si>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</si>
  <si>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</si>
  <si>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</si>
  <si>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</si>
  <si>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</si>
  <si>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</si>
  <si>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</si>
  <si>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</si>
  <si>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</si>
  <si>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</si>
  <si>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</si>
  <si>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</si>
  <si>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</si>
  <si>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</si>
  <si>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</si>
  <si>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</si>
  <si>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</si>
  <si>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</si>
  <si>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</si>
  <si>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</si>
  <si>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</si>
  <si>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</si>
  <si>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</si>
  <si>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</si>
  <si>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</si>
  <si>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</si>
  <si>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</si>
  <si>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</si>
  <si>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</si>
  <si>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</si>
  <si>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</si>
  <si>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</si>
  <si>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</si>
  <si>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</si>
  <si>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</si>
  <si>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</si>
  <si>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</si>
  <si>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</si>
  <si>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</si>
  <si>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</si>
  <si>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</si>
  <si>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</si>
  <si>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</si>
  <si>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</si>
  <si>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</si>
  <si>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</si>
  <si>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</si>
  <si>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</si>
  <si>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</si>
  <si>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</si>
  <si>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</si>
  <si>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</si>
  <si>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</si>
  <si>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</si>
  <si>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</si>
  <si>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</si>
  <si>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</si>
  <si>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</si>
  <si>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</si>
  <si>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</si>
  <si>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</si>
  <si>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</si>
  <si>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</si>
  <si>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</si>
  <si>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</si>
  <si>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</si>
  <si>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</si>
  <si>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</si>
  <si>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</si>
  <si>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</si>
  <si>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</si>
  <si>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</si>
  <si>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</si>
  <si>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</si>
  <si>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</si>
  <si>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</si>
  <si>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</si>
  <si>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</si>
  <si>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</si>
  <si>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</si>
  <si>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</si>
  <si>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</si>
  <si>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</si>
  <si>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</si>
  <si>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</si>
  <si>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</si>
  <si>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</si>
  <si>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</si>
  <si>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</si>
  <si>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</si>
  <si>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</si>
  <si>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</si>
  <si>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</si>
  <si>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</si>
  <si>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</si>
  <si>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</si>
  <si>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</si>
  <si>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</si>
  <si>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</si>
  <si>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</si>
  <si>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</si>
  <si>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</si>
  <si>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</si>
  <si>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</si>
  <si>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</si>
  <si>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</si>
  <si>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</si>
  <si>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</si>
  <si>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</si>
  <si>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</si>
  <si>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</si>
  <si>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</si>
  <si>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</si>
  <si>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</si>
  <si>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</si>
  <si>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</si>
  <si>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</si>
  <si>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</si>
  <si>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</si>
  <si>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</si>
  <si>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</si>
  <si>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</si>
  <si>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</si>
  <si>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</si>
  <si>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</si>
  <si>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</si>
  <si>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</si>
  <si>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</si>
  <si>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</si>
  <si>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</si>
  <si>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</si>
  <si>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</si>
  <si>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</si>
  <si>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</si>
  <si>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</si>
  <si>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</si>
  <si>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</si>
  <si>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</si>
  <si>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</si>
  <si>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</si>
  <si>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</si>
  <si>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</si>
  <si>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</si>
  <si>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</si>
  <si>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</si>
  <si>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</si>
  <si>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</si>
  <si>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</si>
  <si>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</si>
  <si>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</si>
  <si>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</si>
  <si>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</si>
  <si>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</si>
  <si>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</si>
  <si>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</si>
  <si>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</si>
  <si>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</si>
  <si>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</si>
  <si>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</si>
  <si>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</si>
  <si>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</si>
  <si>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</si>
  <si>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</si>
  <si>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</si>
  <si>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</si>
  <si>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</si>
  <si>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</si>
  <si>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</si>
  <si>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</si>
  <si>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</si>
  <si>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</si>
  <si>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</si>
  <si>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</si>
  <si>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</si>
  <si>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</si>
  <si>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</si>
  <si>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</si>
  <si>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</si>
  <si>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</si>
  <si>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</si>
  <si>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</si>
  <si>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</si>
  <si>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</si>
  <si>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</si>
  <si>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</si>
  <si>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</si>
  <si>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</si>
  <si>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</si>
  <si>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</si>
  <si>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</si>
  <si>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</si>
  <si>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</si>
  <si>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</si>
  <si>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</si>
  <si>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</si>
  <si>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</si>
  <si>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</si>
  <si>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</si>
  <si>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</si>
  <si>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</si>
  <si>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</si>
  <si>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</si>
  <si>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</si>
  <si>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</si>
  <si>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</si>
  <si>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</si>
  <si>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</si>
  <si>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</si>
  <si>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</si>
  <si>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</si>
  <si>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</si>
  <si>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</si>
  <si>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</si>
  <si>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</si>
  <si>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</si>
  <si>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</si>
  <si>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</si>
  <si>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</si>
  <si>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</si>
  <si>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</si>
  <si>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</si>
  <si>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</si>
  <si>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</si>
  <si>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</si>
  <si>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</si>
  <si>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</si>
  <si>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</si>
  <si>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</si>
  <si>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</si>
  <si>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</si>
  <si>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</si>
  <si>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</si>
  <si>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</si>
  <si>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</si>
  <si>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</si>
  <si>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</si>
  <si>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</si>
  <si>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</si>
  <si>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</si>
  <si>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</si>
  <si>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</si>
  <si>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</si>
  <si>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</si>
  <si>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</si>
  <si>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</si>
  <si>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</si>
  <si>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</si>
  <si>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</si>
  <si>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</si>
  <si>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</si>
  <si>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</si>
  <si>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</si>
  <si>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</si>
  <si>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</si>
  <si>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</si>
  <si>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</si>
  <si>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</si>
  <si>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</si>
  <si>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</si>
  <si>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</si>
  <si>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</si>
  <si>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</si>
  <si>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</si>
  <si>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</si>
  <si>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</si>
  <si>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</si>
  <si>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</si>
  <si>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</si>
  <si>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</si>
  <si>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</si>
  <si>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</si>
  <si>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</si>
  <si>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</si>
  <si>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</si>
  <si>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</si>
  <si>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</si>
  <si>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</si>
  <si>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</si>
  <si>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</si>
  <si>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</si>
  <si>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</si>
  <si>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</si>
  <si>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</si>
  <si>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</si>
  <si>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</si>
  <si>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</si>
  <si>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</si>
  <si>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</si>
  <si>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</si>
  <si>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</si>
  <si>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</si>
  <si>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</si>
  <si>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</si>
  <si>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</si>
  <si>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</si>
  <si>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</si>
  <si>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</si>
  <si>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</si>
  <si>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</si>
  <si>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</si>
  <si>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</si>
  <si>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</si>
  <si>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</si>
  <si>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</si>
  <si>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</si>
  <si>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</si>
  <si>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</si>
  <si>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</si>
  <si>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</si>
  <si>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</si>
  <si>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</si>
  <si>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</si>
  <si>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</si>
  <si>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</si>
  <si>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</si>
  <si>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</si>
  <si>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</si>
  <si>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</si>
  <si>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</si>
  <si>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</si>
  <si>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</si>
  <si>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</si>
  <si>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</si>
  <si>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</si>
  <si>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</si>
  <si>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</si>
  <si>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</si>
  <si>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</si>
  <si>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</si>
  <si>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</si>
  <si>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</si>
  <si>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</si>
  <si>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</si>
  <si>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</si>
  <si>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</si>
  <si>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</si>
  <si>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</si>
  <si>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</si>
  <si>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</si>
  <si>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</si>
  <si>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</si>
  <si>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</si>
  <si>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</si>
  <si>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</si>
  <si>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</si>
  <si>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</si>
  <si>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</si>
  <si>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</si>
  <si>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</si>
  <si>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</si>
  <si>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</si>
  <si>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</si>
  <si>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</si>
  <si>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</si>
  <si>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</si>
  <si>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</si>
  <si>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</si>
  <si>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</si>
  <si>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</si>
  <si>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</si>
  <si>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</si>
  <si>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</si>
  <si>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</si>
  <si>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</si>
  <si>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</si>
  <si>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</si>
  <si>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</si>
  <si>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</si>
  <si>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</si>
  <si>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</si>
  <si>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</si>
  <si>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</si>
  <si>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</si>
  <si>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</si>
  <si>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</si>
  <si>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</si>
  <si>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</si>
  <si>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</si>
  <si>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</si>
  <si>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</si>
  <si>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</si>
  <si>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</si>
  <si>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</si>
  <si>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</si>
  <si>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</si>
  <si>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</si>
  <si>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</si>
  <si>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</si>
  <si>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</si>
  <si>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</si>
  <si>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</si>
  <si>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</si>
  <si>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</si>
  <si>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</si>
  <si>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</si>
  <si>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</si>
  <si>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</si>
  <si>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</si>
  <si>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</si>
  <si>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</si>
  <si>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</si>
  <si>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</si>
  <si>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</si>
  <si>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</si>
  <si>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</si>
  <si>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</si>
  <si>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</si>
  <si>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</si>
  <si>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</si>
  <si>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</si>
  <si>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</si>
  <si>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</si>
  <si>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</si>
  <si>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</si>
  <si>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</si>
  <si>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</si>
  <si>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</si>
  <si>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</si>
  <si>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</si>
  <si>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</si>
  <si>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</si>
  <si>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</si>
  <si>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</si>
  <si>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</si>
  <si>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</si>
  <si>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</si>
  <si>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</si>
  <si>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</si>
  <si>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</si>
  <si>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</si>
  <si>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</si>
  <si>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</si>
  <si>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</si>
  <si>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</si>
  <si>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</si>
  <si>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</si>
  <si>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</si>
  <si>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</si>
  <si>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</si>
  <si>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</si>
  <si>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</si>
  <si>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</si>
  <si>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</si>
  <si>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</si>
  <si>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</si>
  <si>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</si>
  <si>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</si>
  <si>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</si>
  <si>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</si>
  <si>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</si>
  <si>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</si>
  <si>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</si>
  <si>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</si>
  <si>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</si>
  <si>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</si>
  <si>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</si>
  <si>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</si>
  <si>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</si>
  <si>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</si>
  <si>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</si>
  <si>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</si>
  <si>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</si>
  <si>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</si>
  <si>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</si>
  <si>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</si>
  <si>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</si>
  <si>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</si>
  <si>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</si>
  <si>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</si>
  <si>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</si>
  <si>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</si>
  <si>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</si>
  <si>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</si>
  <si>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</si>
  <si>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</si>
  <si>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</si>
  <si>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</si>
  <si>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</si>
  <si>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</si>
  <si>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</si>
  <si>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</si>
  <si>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</si>
  <si>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</si>
  <si>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</si>
  <si>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</si>
  <si>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</si>
  <si>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</si>
  <si>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</si>
  <si>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</si>
  <si>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</si>
  <si>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</si>
  <si>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</si>
  <si>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</si>
  <si>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</si>
  <si>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</si>
  <si>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</si>
  <si>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</si>
  <si>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</si>
  <si>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</si>
  <si>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</si>
  <si>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</si>
  <si>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</si>
  <si>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</si>
  <si>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</si>
  <si>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</si>
  <si>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</si>
  <si>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</si>
  <si>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</si>
  <si>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</si>
  <si>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</si>
  <si>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</si>
  <si>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</si>
  <si>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</si>
  <si>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</si>
  <si>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</si>
  <si>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</si>
  <si>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</si>
  <si>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</si>
  <si>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</si>
  <si>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</si>
  <si>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</si>
  <si>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</si>
  <si>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</si>
  <si>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</si>
  <si>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</si>
  <si>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</si>
  <si>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</si>
  <si>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</si>
  <si>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</si>
  <si>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</si>
  <si>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</si>
  <si>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</si>
  <si>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</si>
  <si>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</si>
  <si>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</si>
  <si>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</si>
  <si>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</si>
  <si>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</si>
  <si>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</si>
  <si>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</si>
  <si>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</si>
  <si>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</si>
  <si>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</si>
  <si>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</si>
  <si>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</si>
  <si>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</si>
  <si>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</si>
  <si>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</si>
  <si>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</si>
  <si>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</si>
  <si>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</si>
  <si>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</si>
  <si>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</si>
  <si>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</si>
  <si>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</si>
  <si>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</si>
  <si>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</si>
  <si>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</si>
  <si>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</si>
  <si>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</si>
  <si>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</si>
  <si>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</si>
  <si>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</si>
  <si>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</si>
  <si>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</si>
  <si>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</si>
  <si>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</si>
  <si>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</si>
  <si>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</si>
  <si>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</si>
  <si>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</si>
  <si>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</si>
  <si>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</si>
  <si>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</si>
  <si>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</si>
  <si>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</si>
  <si>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</si>
  <si>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</si>
  <si>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</si>
  <si>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</si>
  <si>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</si>
  <si>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</si>
  <si>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</si>
  <si>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</si>
  <si>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</si>
  <si>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</si>
  <si>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</si>
  <si>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</si>
  <si>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</si>
  <si>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</si>
  <si>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</si>
  <si>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</si>
  <si>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</si>
  <si>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</si>
  <si>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</si>
  <si>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</si>
  <si>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</si>
  <si>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</si>
  <si>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</si>
  <si>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</si>
  <si>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</si>
  <si>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</si>
  <si>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</si>
  <si>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</si>
  <si>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</si>
  <si>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</si>
  <si>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</si>
  <si>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</si>
  <si>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</si>
  <si>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</si>
  <si>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</si>
  <si>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</si>
  <si>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</si>
  <si>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</si>
  <si>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</si>
  <si>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</si>
  <si>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</si>
  <si>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</si>
  <si>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</si>
  <si>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</si>
  <si>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</si>
  <si>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</si>
  <si>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</si>
  <si>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</si>
  <si>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</si>
  <si>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</si>
  <si>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</si>
  <si>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</si>
  <si>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</si>
  <si>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</si>
  <si>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</si>
  <si>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</si>
  <si>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</si>
  <si>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</si>
  <si>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</si>
  <si>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</si>
  <si>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</si>
  <si>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</si>
  <si>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</si>
  <si>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</si>
  <si>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</si>
  <si>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</si>
  <si>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</si>
  <si>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</si>
  <si>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</si>
  <si>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</si>
  <si>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</si>
  <si>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</si>
  <si>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</si>
  <si>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</si>
  <si>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</si>
  <si>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</si>
  <si>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</si>
  <si>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</si>
  <si>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</si>
  <si>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</si>
  <si>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</si>
  <si>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</si>
  <si>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</si>
  <si>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</si>
  <si>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</si>
  <si>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</si>
  <si>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</si>
  <si>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</si>
  <si>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</si>
  <si>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</si>
  <si>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</si>
  <si>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</si>
  <si>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</si>
  <si>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</si>
  <si>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</si>
  <si>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</si>
  <si>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</si>
  <si>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</si>
  <si>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</si>
  <si>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</si>
  <si>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</si>
  <si>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</si>
  <si>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</si>
  <si>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</si>
  <si>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</si>
  <si>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</si>
  <si>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</si>
  <si>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</si>
  <si>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</si>
  <si>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</si>
  <si>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</si>
  <si>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</si>
  <si>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</si>
  <si>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</si>
  <si>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</si>
  <si>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</si>
  <si>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</si>
  <si>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</si>
  <si>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</si>
  <si>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</si>
  <si>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</si>
  <si>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</si>
  <si>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</si>
  <si>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</si>
  <si>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</si>
  <si>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</si>
  <si>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</si>
  <si>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</si>
  <si>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</si>
  <si>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</si>
  <si>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</si>
  <si>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</si>
  <si>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</si>
  <si>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</si>
  <si>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</si>
  <si>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</si>
  <si>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</si>
  <si>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</si>
  <si>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</si>
  <si>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</si>
  <si>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</si>
  <si>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</si>
  <si>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</si>
  <si>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</si>
  <si>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</si>
  <si>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</si>
  <si>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</si>
  <si>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</si>
  <si>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</si>
  <si>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</si>
  <si>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</si>
  <si>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</si>
  <si>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</si>
  <si>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</si>
  <si>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</si>
  <si>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</si>
  <si>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</si>
  <si>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</si>
  <si>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</si>
  <si>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</si>
  <si>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</si>
  <si>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</si>
  <si>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</si>
  <si>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</si>
  <si>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</si>
  <si>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</si>
  <si>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</si>
  <si>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</si>
  <si>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</si>
  <si>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</si>
  <si>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</si>
  <si>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</si>
  <si>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</si>
  <si>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</si>
  <si>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</si>
  <si>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</si>
  <si>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</si>
  <si>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</si>
  <si>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</si>
  <si>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</si>
  <si>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</si>
  <si>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</si>
  <si>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</si>
  <si>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</si>
  <si>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</si>
  <si>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</si>
  <si>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</si>
  <si>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</si>
  <si>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</si>
  <si>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</si>
  <si>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</si>
  <si>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</si>
  <si>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</si>
  <si>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</si>
  <si>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</si>
  <si>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</si>
  <si>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</si>
  <si>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</si>
  <si>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</si>
  <si>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</si>
  <si>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</si>
  <si>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</si>
  <si>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</si>
  <si>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</si>
  <si>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</si>
  <si>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</si>
  <si>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</si>
  <si>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</si>
  <si>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</si>
  <si>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</si>
  <si>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</si>
  <si>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</si>
  <si>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</si>
  <si>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</si>
  <si>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</si>
  <si>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</si>
  <si>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</si>
  <si>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</si>
  <si>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</si>
  <si>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</si>
  <si>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</si>
  <si>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</si>
  <si>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</si>
  <si>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</si>
  <si>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</si>
  <si>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</si>
  <si>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</si>
  <si>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</si>
  <si>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</si>
  <si>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</si>
  <si>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</si>
  <si>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</si>
  <si>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</si>
  <si>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</si>
  <si>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</si>
  <si>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</si>
  <si>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</si>
  <si>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</si>
  <si>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</si>
  <si>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</si>
  <si>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</si>
  <si>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</si>
  <si>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</si>
  <si>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</si>
  <si>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</si>
  <si>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</si>
  <si>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</si>
  <si>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</si>
  <si>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</si>
  <si>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</si>
  <si>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</si>
  <si>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</si>
  <si>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</si>
  <si>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</si>
  <si>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</si>
  <si>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</si>
  <si>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</si>
  <si>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</si>
  <si>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</si>
  <si>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</si>
  <si>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</si>
  <si>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</si>
  <si>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</si>
  <si>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</si>
  <si>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</si>
  <si>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</si>
  <si>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</si>
  <si>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</si>
  <si>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</si>
  <si>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</si>
  <si>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</si>
  <si>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</si>
  <si>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</si>
  <si>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</si>
  <si>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</si>
  <si>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</si>
  <si>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</si>
  <si>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</si>
  <si>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</si>
  <si>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</si>
  <si>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</si>
  <si>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</si>
  <si>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</si>
  <si>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</si>
  <si>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</si>
  <si>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</si>
  <si>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</si>
  <si>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</si>
  <si>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</si>
  <si>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</si>
  <si>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</si>
  <si>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</si>
  <si>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</si>
  <si>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</si>
  <si>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</si>
  <si>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</si>
  <si>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</si>
  <si>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</si>
  <si>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</si>
  <si>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</si>
  <si>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</si>
  <si>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</si>
  <si>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</si>
  <si>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</si>
  <si>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</si>
  <si>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</si>
  <si>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</si>
  <si>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</si>
  <si>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</si>
  <si>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</si>
  <si>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</si>
  <si>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</si>
  <si>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</si>
  <si>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</si>
  <si>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</si>
  <si>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</si>
  <si>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</si>
  <si>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</si>
  <si>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</si>
  <si>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</si>
  <si>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</si>
  <si>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</si>
  <si>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</si>
  <si>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</si>
  <si>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</si>
  <si>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</si>
  <si>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</si>
  <si>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</si>
  <si>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LOY MILLER TALLEY, PC </t>
  </si>
  <si>
    <t>KENNETH E. LOY</t>
  </si>
  <si>
    <t>#2 CROSSROADS  COURT</t>
  </si>
  <si>
    <t>ALTON</t>
  </si>
  <si>
    <t>IL</t>
  </si>
  <si>
    <t>618-465-1196</t>
  </si>
  <si>
    <t>618-465-2900</t>
  </si>
  <si>
    <t>MACOUPIN</t>
  </si>
  <si>
    <t>525 NORTH THIRD ST</t>
  </si>
  <si>
    <t>GIRARD</t>
  </si>
  <si>
    <t>JGOBLE@NORTHMACSCHOOLS.ORG</t>
  </si>
  <si>
    <t>JAY GOBLE</t>
  </si>
  <si>
    <t>217-627-2915</t>
  </si>
  <si>
    <t>217-627-3503</t>
  </si>
  <si>
    <t>KEN@LMTCPAS.COM</t>
  </si>
  <si>
    <t>MICHELLE MUELLER</t>
  </si>
  <si>
    <t>MMUELLER@ROE40.COM</t>
  </si>
  <si>
    <t>217-854-4016</t>
  </si>
  <si>
    <t>217-854-2032</t>
  </si>
  <si>
    <t>LOY MILLER TALLEY, PC</t>
  </si>
  <si>
    <t>.</t>
  </si>
  <si>
    <t>SERIES 2001B BONDS/SERIES 2012 REFUNDING BONDS</t>
  </si>
  <si>
    <t>3,6</t>
  </si>
  <si>
    <t>LIFE SAFETY REFUNDING BONDS 2016</t>
  </si>
  <si>
    <t>CAPITAL LEASES PAID OUT OF TRANSPORTATION FUND</t>
  </si>
  <si>
    <t>MIDWEST BUS SALES, INC</t>
  </si>
  <si>
    <t>BUS LEASES</t>
  </si>
  <si>
    <t>CENTRAL STATES BUS SALES, INC</t>
  </si>
  <si>
    <t>SANTANDER LEASING, LLC</t>
  </si>
  <si>
    <t>EDUCATION FUND</t>
  </si>
  <si>
    <t>Revenues Page 10, Line 81 Other District/School Activity Revenue: $85-High School PE Uniforms</t>
  </si>
  <si>
    <t>Revenues Page 11, Line 108 Other Local Revenues: $63,406-Various Reimbursements, Jury Duty, Agendas, Dues</t>
  </si>
  <si>
    <t>Revenues Page 12, Line 171 Other Restricted Revenue from State Sources: $881-Library Per Capita Grant; $974 Other State Programs</t>
  </si>
  <si>
    <t>Expenditures Page 16, Line 73 Other Support Services: $793-Homeless Clothes</t>
  </si>
  <si>
    <t>OPERATIONS &amp; MAINTENANCE FUND</t>
  </si>
  <si>
    <t>Revenues Page 11, Line 107 Other Local Revenues: $95,678-Insurance Claim Reimbursements &amp; Rent from Headstart</t>
  </si>
  <si>
    <t>DEBT SERVICES FUND</t>
  </si>
  <si>
    <t xml:space="preserve">Expenditures Page 18, Line 171 Debt Services-Other: $500-Bond Service Charge </t>
  </si>
  <si>
    <t>TRANSPORTATION FUND</t>
  </si>
  <si>
    <t>Revenues Page 11, Line 107 Other Local Revenues: $34,938-Sale of bus; CACC Reimbursement for Mileage</t>
  </si>
  <si>
    <t>U.S. DEPARTMENT OF AGRICULTURE PASS-THROUGH</t>
  </si>
  <si>
    <t>PROGRAMS FROM ILLINOIS STATE BOARD OF EDUCATION:</t>
  </si>
  <si>
    <t>(M) NATIONAL SCHOOL LUNCH PROGRAM</t>
  </si>
  <si>
    <t xml:space="preserve"> NATIONAL SCHOOL LUNCH PROGRAM</t>
  </si>
  <si>
    <t>(M) SCHOOL BREAKFAST PROGRAM</t>
  </si>
  <si>
    <t>SCHOOL BREAKFAST PROGRAM</t>
  </si>
  <si>
    <t>(M) SPECIAL MILK PROGRAM</t>
  </si>
  <si>
    <t>SPECIAL MILK PROGRAM</t>
  </si>
  <si>
    <t>COMMODITIES (NON-CASH)</t>
  </si>
  <si>
    <t>DEPARTMENT OF DEFENSE FRESH FRUITS &amp; VEGETABLES</t>
  </si>
  <si>
    <t>TOTAL U.S. DEPARTMENT OF AGRICULTURE</t>
  </si>
  <si>
    <t>PASS-THROUGH PROGRAMS</t>
  </si>
  <si>
    <t>18-4210-00</t>
  </si>
  <si>
    <t>17-4210-00</t>
  </si>
  <si>
    <t>18-4220-00</t>
  </si>
  <si>
    <t>17-4220-00</t>
  </si>
  <si>
    <t>18-4215-00</t>
  </si>
  <si>
    <t>17-4215-00</t>
  </si>
  <si>
    <t>18-4250-00</t>
  </si>
  <si>
    <t>UL.S. DEPARTMENT OF EDUCATION PASS-THROUGH</t>
  </si>
  <si>
    <t>(M) TITLE I - LOW INCOME</t>
  </si>
  <si>
    <t xml:space="preserve">  TITLE I - LOW INCOME</t>
  </si>
  <si>
    <t>TITLE II - TEACHER QUALITY</t>
  </si>
  <si>
    <t>18-4300-00</t>
  </si>
  <si>
    <t>17-4300-00</t>
  </si>
  <si>
    <t>18-4932-00</t>
  </si>
  <si>
    <t>17-4932-00</t>
  </si>
  <si>
    <t>TOTAL U.S. DEPARTMENT OF EDUCATION - PASS-THROUGH PROGRAMS</t>
  </si>
  <si>
    <t>`</t>
  </si>
  <si>
    <t>U.S. DEPARTMENT OF HEALTH &amp; HUMAN SERVICES -</t>
  </si>
  <si>
    <t>PASS-THROUGH PROGRAMS FROM THE ILLINOIS DEPARTMENT OF HEALTHCARE AND FAMILY SERVICES</t>
  </si>
  <si>
    <t>MEDICAL ASSISTANCE PROGRAM</t>
  </si>
  <si>
    <t>TOTAL U.S. DEPARTMENT OF HEALTH &amp; HUMAN SERVICES</t>
  </si>
  <si>
    <t>18-4991-00</t>
  </si>
  <si>
    <t>OTHER PASS-THROUGH ENTITIES</t>
  </si>
  <si>
    <t>PASS-THROUGH FROM SPECIAL EDUCATION REGION:</t>
  </si>
  <si>
    <t>IDEA FLOW THROUGH</t>
  </si>
  <si>
    <t xml:space="preserve">  IDEA PART B PRESCHOOL</t>
  </si>
  <si>
    <t>IDEA ROOM &amp; BOARD</t>
  </si>
  <si>
    <t>TOTAL OTHER PASS-THROUGH ENTITIES</t>
  </si>
  <si>
    <t>18-4620-00</t>
  </si>
  <si>
    <t>18-4600-00</t>
  </si>
  <si>
    <t>17-4625-00</t>
  </si>
  <si>
    <t>TITLE IVA - STUDENT SUPPORT &amp; ACADEMIC ENRICHMENT</t>
  </si>
  <si>
    <t>84-424</t>
  </si>
  <si>
    <t>18-4400-00</t>
  </si>
  <si>
    <t>TOTAL FEDERAL FUNDS:</t>
  </si>
  <si>
    <t>PASS-THROUGH ILLINOIS STATE BOARD OF EDUCATION</t>
  </si>
  <si>
    <t xml:space="preserve">  PASS-THROUGH DEPARTMENT OF HEALTH &amp; HUMAN SERVICES</t>
  </si>
  <si>
    <t>PASS-THROUGH OTHER ENTITIES</t>
  </si>
  <si>
    <t>TOTAL FEDERAL FUNDS</t>
  </si>
  <si>
    <r>
      <t xml:space="preserve">Of the federal expenditures presented in the schedule, </t>
    </r>
    <r>
      <rPr>
        <b/>
        <sz val="9"/>
        <rFont val="Calibri"/>
        <family val="2"/>
        <scheme val="minor"/>
      </rPr>
      <t>North Mac Community Unit School District No. 34</t>
    </r>
    <r>
      <rPr>
        <sz val="9"/>
        <rFont val="Calibri"/>
        <family val="2"/>
        <scheme val="minor"/>
      </rPr>
      <t xml:space="preserve"> provided federal awards to subrecipients as follows:</t>
    </r>
  </si>
  <si>
    <t>NO FEDERAL AWARDS WERE PROVIDED TO SUBRECIPIENTS</t>
  </si>
  <si>
    <r>
      <t xml:space="preserve">The accompanying Schedule of Expenditures of Federal Awards includes the federal grant activity of </t>
    </r>
    <r>
      <rPr>
        <b/>
        <sz val="9"/>
        <rFont val="Calibri"/>
        <family val="2"/>
        <scheme val="minor"/>
      </rPr>
      <t>North Mac Community Unit School District No. 34</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</si>
  <si>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North Mac Community Unit School District No. 34</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</si>
  <si>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ADVERSE</t>
  </si>
  <si>
    <t>UNMODIFIED</t>
  </si>
  <si>
    <t>NATIONAL SCHOOL LUNCH PROGRAM</t>
  </si>
  <si>
    <t>TITLE I - LOW INCOME</t>
  </si>
  <si>
    <t>NO AUDIT FINDINGS FOR FISCAL YEAR END JUNE 30, 2018</t>
  </si>
  <si>
    <t>NONE</t>
  </si>
  <si>
    <t>Revenues Page 10, Line 72 Sales to Pupils-Other: $8,561-Milk sales</t>
  </si>
  <si>
    <t>AUDIT CHECK ERROR</t>
  </si>
  <si>
    <t>Page 24: Schedule of Long-Term Debt-Error is due to debt service payments paid from Transportation Fund and Fire Prevention &amp; Safety Fund</t>
  </si>
  <si>
    <t>066-004886</t>
  </si>
  <si>
    <t>North Mac CUSD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</si>
</sst>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43A6FB7-B48E-43EC-AD26-197FD7FAC0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2074</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2074</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40056034026</v>
      </c>
      <c r="B13" s="2034"/>
      <c r="C13" s="2034"/>
      <c r="D13" s="2034"/>
      <c r="E13" s="2034"/>
      <c r="F13" s="2034"/>
      <c r="G13" s="2034"/>
      <c r="H13" s="2035"/>
      <c r="I13" s="31"/>
      <c r="J13" s="30"/>
      <c r="K13" s="28"/>
      <c r="L13" s="30"/>
      <c r="M13" s="30"/>
      <c r="N13" s="30"/>
      <c r="O13" s="30"/>
      <c r="P13" s="30"/>
      <c r="Q13" s="30"/>
      <c r="R13" s="30"/>
      <c r="S13" s="30"/>
      <c r="T13" s="2038" t="s">
        <v>2075</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2082</v>
      </c>
      <c r="B15" s="2036"/>
      <c r="C15" s="2036"/>
      <c r="D15" s="2036"/>
      <c r="E15" s="2036"/>
      <c r="F15" s="2036"/>
      <c r="G15" s="2036"/>
      <c r="H15" s="2037"/>
      <c r="T15" s="2042" t="s">
        <v>2076</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2180</v>
      </c>
      <c r="B17" s="1993"/>
      <c r="C17" s="1993"/>
      <c r="D17" s="1993"/>
      <c r="E17" s="1993"/>
      <c r="F17" s="1993"/>
      <c r="G17" s="1993"/>
      <c r="H17" s="2018"/>
      <c r="T17" s="2049" t="s">
        <v>2077</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2083</v>
      </c>
      <c r="B19" s="1978"/>
      <c r="C19" s="1978"/>
      <c r="D19" s="1978"/>
      <c r="E19" s="1978"/>
      <c r="F19" s="1978"/>
      <c r="G19" s="1978"/>
      <c r="H19" s="1958"/>
      <c r="I19" s="30"/>
      <c r="J19" s="99"/>
      <c r="K19" s="40"/>
      <c r="L19" s="38"/>
      <c r="M19" s="112" t="s">
        <v>333</v>
      </c>
      <c r="P19" s="27"/>
      <c r="Q19" s="27"/>
      <c r="R19" s="27"/>
      <c r="S19" s="31"/>
      <c r="T19" s="2032" t="s">
        <v>2078</v>
      </c>
      <c r="U19" s="1957"/>
      <c r="V19" s="1957"/>
      <c r="W19" s="1958"/>
      <c r="X19" s="2047" t="s">
        <v>2079</v>
      </c>
      <c r="Y19" s="2048"/>
      <c r="Z19" s="2045">
        <v>62002</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2084</v>
      </c>
      <c r="B21" s="1957"/>
      <c r="C21" s="1957"/>
      <c r="D21" s="1957"/>
      <c r="E21" s="1957"/>
      <c r="F21" s="1957"/>
      <c r="G21" s="1957"/>
      <c r="H21" s="1958"/>
      <c r="I21" s="2012" t="s">
        <v>699</v>
      </c>
      <c r="J21" s="2007"/>
      <c r="K21" s="2007"/>
      <c r="L21" s="2007"/>
      <c r="M21" s="2007"/>
      <c r="N21" s="2007"/>
      <c r="O21" s="2007"/>
      <c r="P21" s="2007"/>
      <c r="Q21" s="2007"/>
      <c r="R21" s="2007"/>
      <c r="S21" s="2013"/>
      <c r="T21" s="2056" t="s">
        <v>2080</v>
      </c>
      <c r="U21" s="2057"/>
      <c r="V21" s="2057"/>
      <c r="W21" s="2057"/>
      <c r="X21" s="2062" t="s">
        <v>2081</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2085</v>
      </c>
      <c r="B23" s="2010"/>
      <c r="C23" s="2010"/>
      <c r="D23" s="2010"/>
      <c r="E23" s="2010"/>
      <c r="F23" s="2010"/>
      <c r="G23" s="2010"/>
      <c r="H23" s="2011"/>
      <c r="T23" s="1992" t="s">
        <v>2179</v>
      </c>
      <c r="U23" s="2055"/>
      <c r="V23" s="2055"/>
      <c r="W23" s="2055"/>
      <c r="X23" s="2059">
        <v>44530</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62640</v>
      </c>
      <c r="B25" s="1957"/>
      <c r="C25" s="1957"/>
      <c r="D25" s="1957"/>
      <c r="E25" s="1957"/>
      <c r="F25" s="1957"/>
      <c r="G25" s="1957"/>
      <c r="H25" s="1958"/>
      <c r="I25" s="113"/>
      <c r="J25" s="1981"/>
      <c r="K25" s="1981"/>
      <c r="L25" s="1981"/>
      <c r="M25" s="1981"/>
      <c r="N25" s="1981"/>
      <c r="O25" s="1981"/>
      <c r="P25" s="1981"/>
      <c r="Q25" s="1981"/>
      <c r="R25" s="1981"/>
      <c r="S25" s="1982"/>
      <c r="T25" s="2052" t="s">
        <v>2089</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48" t="s">
        <v>2074</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2086</v>
      </c>
      <c r="B38" s="1993"/>
      <c r="C38" s="1993"/>
      <c r="D38" s="1993"/>
      <c r="E38" s="1993"/>
      <c r="F38" s="1957"/>
      <c r="G38" s="1957"/>
      <c r="H38" s="1958"/>
      <c r="I38" s="1985"/>
      <c r="J38" s="1986"/>
      <c r="K38" s="1986"/>
      <c r="L38" s="1986"/>
      <c r="M38" s="1986"/>
      <c r="N38" s="1986"/>
      <c r="O38" s="1986"/>
      <c r="P38" s="1987"/>
      <c r="Q38" s="1987"/>
      <c r="R38" s="1987"/>
      <c r="S38" s="1988"/>
      <c r="T38" s="2042" t="s">
        <v>2090</v>
      </c>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2085</v>
      </c>
      <c r="B40" s="1971"/>
      <c r="C40" s="1972"/>
      <c r="D40" s="1972"/>
      <c r="E40" s="1972"/>
      <c r="F40" s="1973"/>
      <c r="G40" s="1973"/>
      <c r="H40" s="1974"/>
      <c r="I40" s="1995"/>
      <c r="J40" s="1996"/>
      <c r="K40" s="1996"/>
      <c r="L40" s="1996"/>
      <c r="M40" s="1996"/>
      <c r="N40" s="1996"/>
      <c r="O40" s="1996"/>
      <c r="P40" s="1996"/>
      <c r="Q40" s="1996"/>
      <c r="R40" s="1996"/>
      <c r="S40" s="1997"/>
      <c r="T40" s="1995" t="s">
        <v>2091</v>
      </c>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t="s">
        <v>2087</v>
      </c>
      <c r="B42" s="1976"/>
      <c r="C42" s="1977"/>
      <c r="D42" s="1975" t="s">
        <v>2088</v>
      </c>
      <c r="E42" s="1976"/>
      <c r="F42" s="1976"/>
      <c r="G42" s="1976"/>
      <c r="H42" s="1977"/>
      <c r="I42" s="1959"/>
      <c r="J42" s="1960"/>
      <c r="K42" s="1960"/>
      <c r="L42" s="1960"/>
      <c r="M42" s="1960"/>
      <c r="N42" s="1960"/>
      <c r="O42" s="1961"/>
      <c r="P42" s="1994"/>
      <c r="Q42" s="1960"/>
      <c r="R42" s="1960"/>
      <c r="S42" s="1961"/>
      <c r="T42" s="1959" t="s">
        <v>2092</v>
      </c>
      <c r="U42" s="1960"/>
      <c r="V42" s="1960"/>
      <c r="W42" s="1961"/>
      <c r="X42" s="1994" t="s">
        <v>2093</v>
      </c>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0" sqref="B1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8" t="s">
        <v>1902</v>
      </c>
      <c r="B2" s="1550" t="s">
        <v>2034</v>
      </c>
      <c r="C2" s="715" t="s">
        <v>1907</v>
      </c>
      <c r="D2" s="715" t="s">
        <v>1908</v>
      </c>
      <c r="E2" s="715" t="s">
        <v>1909</v>
      </c>
      <c r="F2" s="715" t="s">
        <v>1910</v>
      </c>
    </row>
    <row r="3" spans="1:6" ht="12" customHeight="1" x14ac:dyDescent="0.2">
      <c r="A3" s="2199"/>
      <c r="B3" s="1547"/>
      <c r="C3" s="1548"/>
      <c r="D3" s="1549" t="s">
        <v>274</v>
      </c>
      <c r="E3" s="1548"/>
      <c r="F3" s="1549" t="s">
        <v>275</v>
      </c>
    </row>
    <row r="4" spans="1:6" ht="13.7" customHeight="1" x14ac:dyDescent="0.2">
      <c r="A4" s="716" t="s">
        <v>1217</v>
      </c>
      <c r="B4" s="1771">
        <f>'Revenues 9-14'!C5</f>
        <v>3529248</v>
      </c>
      <c r="C4" s="1546">
        <v>294014</v>
      </c>
      <c r="D4" s="1774">
        <f>B4-C4</f>
        <v>3235234</v>
      </c>
      <c r="E4" s="1546">
        <v>3699028</v>
      </c>
      <c r="F4" s="1774">
        <f>E4-C4</f>
        <v>3405014</v>
      </c>
    </row>
    <row r="5" spans="1:6" ht="13.7" customHeight="1" x14ac:dyDescent="0.2">
      <c r="A5" s="716" t="s">
        <v>925</v>
      </c>
      <c r="B5" s="1772">
        <f>'Revenues 9-14'!D5</f>
        <v>720281</v>
      </c>
      <c r="C5" s="585">
        <v>60009</v>
      </c>
      <c r="D5" s="1775">
        <f t="shared" ref="D5:D18" si="0">B5-C5</f>
        <v>660272</v>
      </c>
      <c r="E5" s="585">
        <v>755165</v>
      </c>
      <c r="F5" s="1775">
        <f>E5-C5</f>
        <v>695156</v>
      </c>
    </row>
    <row r="6" spans="1:6" ht="13.7" customHeight="1" x14ac:dyDescent="0.2">
      <c r="A6" s="716" t="s">
        <v>431</v>
      </c>
      <c r="B6" s="1772">
        <f>'Revenues 9-14'!E5</f>
        <v>901947</v>
      </c>
      <c r="C6" s="585">
        <v>40341</v>
      </c>
      <c r="D6" s="1775">
        <f t="shared" si="0"/>
        <v>861606</v>
      </c>
      <c r="E6" s="585">
        <f>510504-423772</f>
        <v>86732</v>
      </c>
      <c r="F6" s="1775">
        <f t="shared" ref="F6:F18" si="1">E6-C6</f>
        <v>46391</v>
      </c>
    </row>
    <row r="7" spans="1:6" ht="13.7" customHeight="1" x14ac:dyDescent="0.2">
      <c r="A7" s="716" t="s">
        <v>157</v>
      </c>
      <c r="B7" s="1772">
        <f>'Revenues 9-14'!F5</f>
        <v>293023</v>
      </c>
      <c r="C7" s="585">
        <v>24417</v>
      </c>
      <c r="D7" s="1775">
        <f t="shared" si="0"/>
        <v>268606</v>
      </c>
      <c r="E7" s="585">
        <v>307186</v>
      </c>
      <c r="F7" s="1775">
        <f t="shared" si="1"/>
        <v>282769</v>
      </c>
    </row>
    <row r="8" spans="1:6" ht="13.7" customHeight="1" x14ac:dyDescent="0.2">
      <c r="A8" s="716" t="s">
        <v>1241</v>
      </c>
      <c r="B8" s="1772">
        <f>'Revenues 9-14'!G5</f>
        <v>323284</v>
      </c>
      <c r="C8" s="585">
        <v>26256</v>
      </c>
      <c r="D8" s="1775">
        <f t="shared" si="0"/>
        <v>297028</v>
      </c>
      <c r="E8" s="585">
        <v>332251</v>
      </c>
      <c r="F8" s="1775">
        <f t="shared" si="1"/>
        <v>305995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61024</v>
      </c>
      <c r="C10" s="585">
        <v>5087</v>
      </c>
      <c r="D10" s="1775">
        <f t="shared" si="0"/>
        <v>55937</v>
      </c>
      <c r="E10" s="585">
        <v>63997</v>
      </c>
      <c r="F10" s="1775">
        <f t="shared" si="1"/>
        <v>58910</v>
      </c>
    </row>
    <row r="11" spans="1:6" x14ac:dyDescent="0.2">
      <c r="A11" s="716" t="s">
        <v>429</v>
      </c>
      <c r="B11" s="1772">
        <f>'Revenues 9-14'!J5</f>
        <v>568334</v>
      </c>
      <c r="C11" s="585">
        <v>45704</v>
      </c>
      <c r="D11" s="1775">
        <f t="shared" si="0"/>
        <v>522630</v>
      </c>
      <c r="E11" s="585">
        <v>578926</v>
      </c>
      <c r="F11" s="1775">
        <f t="shared" si="1"/>
        <v>533222</v>
      </c>
    </row>
    <row r="12" spans="1:6" ht="13.7" customHeight="1" x14ac:dyDescent="0.2">
      <c r="A12" s="716" t="s">
        <v>159</v>
      </c>
      <c r="B12" s="1772">
        <f>'Revenues 9-14'!K5</f>
        <v>61024</v>
      </c>
      <c r="C12" s="585">
        <v>5087</v>
      </c>
      <c r="D12" s="1775">
        <f t="shared" si="0"/>
        <v>55937</v>
      </c>
      <c r="E12" s="585">
        <v>63997</v>
      </c>
      <c r="F12" s="1775">
        <f t="shared" si="1"/>
        <v>58910</v>
      </c>
    </row>
    <row r="13" spans="1:6" ht="13.7" customHeight="1" x14ac:dyDescent="0.2">
      <c r="A13" s="716" t="s">
        <v>993</v>
      </c>
      <c r="B13" s="1772">
        <f>SUM('Revenues 9-14'!C6:D6)</f>
        <v>60575</v>
      </c>
      <c r="C13" s="585">
        <v>5145</v>
      </c>
      <c r="D13" s="1775">
        <f t="shared" si="0"/>
        <v>55430</v>
      </c>
      <c r="E13" s="585">
        <v>63997</v>
      </c>
      <c r="F13" s="1775">
        <f t="shared" si="1"/>
        <v>58852</v>
      </c>
    </row>
    <row r="14" spans="1:6" ht="13.7" customHeight="1" x14ac:dyDescent="0.2">
      <c r="A14" s="716" t="s">
        <v>430</v>
      </c>
      <c r="B14" s="1772">
        <f>SUM('Revenues 9-14'!C7:D7,'Revenues 9-14'!F7:H7)</f>
        <v>48098</v>
      </c>
      <c r="C14" s="585">
        <v>4064</v>
      </c>
      <c r="D14" s="1775">
        <f t="shared" si="0"/>
        <v>44034</v>
      </c>
      <c r="E14" s="585">
        <v>51198</v>
      </c>
      <c r="F14" s="1775">
        <f t="shared" si="1"/>
        <v>47134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230523</v>
      </c>
      <c r="C16" s="585">
        <v>18653</v>
      </c>
      <c r="D16" s="1775">
        <f t="shared" si="0"/>
        <v>211870</v>
      </c>
      <c r="E16" s="585">
        <v>236611</v>
      </c>
      <c r="F16" s="1775">
        <f t="shared" si="1"/>
        <v>217958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6797361</v>
      </c>
      <c r="C19" s="1773">
        <f>SUM(C4:C18)</f>
        <v>528777</v>
      </c>
      <c r="D19" s="1773">
        <f>SUM(D4:D18)</f>
        <v>6268584</v>
      </c>
      <c r="E19" s="1773">
        <f>SUM(E4:E18)</f>
        <v>6239088</v>
      </c>
      <c r="F19" s="1773">
        <f>SUM(F4:F18)</f>
        <v>5710311</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4" colorId="8" zoomScale="110" zoomScaleNormal="110" workbookViewId="0">
      <selection activeCell="B10" sqref="B1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2"/>
    </row>
    <row r="2" spans="1:7" ht="33.75" x14ac:dyDescent="0.2">
      <c r="A2" s="2225" t="s">
        <v>1902</v>
      </c>
      <c r="B2" s="2226"/>
      <c r="C2" s="1909" t="s">
        <v>2035</v>
      </c>
      <c r="D2" s="724" t="s">
        <v>2042</v>
      </c>
      <c r="E2" s="724" t="s">
        <v>2043</v>
      </c>
      <c r="F2" s="1909" t="s">
        <v>2036</v>
      </c>
    </row>
    <row r="3" spans="1:7" ht="15.75" customHeight="1" x14ac:dyDescent="0.2">
      <c r="A3" s="2227" t="s">
        <v>1176</v>
      </c>
      <c r="B3" s="2228"/>
      <c r="C3" s="2221"/>
      <c r="D3" s="2222"/>
      <c r="E3" s="2222"/>
      <c r="F3" s="2223"/>
    </row>
    <row r="4" spans="1:7" ht="12.75" customHeight="1" thickBot="1" x14ac:dyDescent="0.25">
      <c r="A4" s="2215" t="s">
        <v>651</v>
      </c>
      <c r="B4" s="2216"/>
      <c r="C4" s="581"/>
      <c r="D4" s="581"/>
      <c r="E4" s="581"/>
      <c r="F4" s="1777">
        <f>SUM(C4+D4)-E4</f>
        <v>0</v>
      </c>
    </row>
    <row r="5" spans="1:7" ht="15.75" customHeight="1" thickTop="1" x14ac:dyDescent="0.2">
      <c r="A5" s="2219" t="s">
        <v>1172</v>
      </c>
      <c r="B5" s="2214"/>
      <c r="C5" s="2208"/>
      <c r="D5" s="2209"/>
      <c r="E5" s="2209"/>
      <c r="F5" s="221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1" t="s">
        <v>652</v>
      </c>
      <c r="B15" s="2212"/>
      <c r="C15" s="1777">
        <f>SUM(C6:C14)</f>
        <v>0</v>
      </c>
      <c r="D15" s="1777">
        <f>SUM(D6:D14)</f>
        <v>0</v>
      </c>
      <c r="E15" s="1777">
        <f>SUM(E6:E14)</f>
        <v>0</v>
      </c>
      <c r="F15" s="1777">
        <f>SUM(F6:F14)</f>
        <v>0</v>
      </c>
      <c r="G15" s="552"/>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7"/>
      <c r="D17" s="585"/>
      <c r="E17" s="727"/>
      <c r="F17" s="1777">
        <f>SUM(C17+D17)-E17</f>
        <v>0</v>
      </c>
    </row>
    <row r="18" spans="1:11" ht="12.75" customHeight="1" thickTop="1" thickBot="1" x14ac:dyDescent="0.25">
      <c r="A18" s="2206" t="s">
        <v>6</v>
      </c>
      <c r="B18" s="2207"/>
      <c r="C18" s="727"/>
      <c r="D18" s="585"/>
      <c r="E18" s="727"/>
      <c r="F18" s="1777">
        <f>SUM(C18+D18)-E18</f>
        <v>0</v>
      </c>
    </row>
    <row r="19" spans="1:11" ht="12.75" customHeight="1" thickTop="1" thickBot="1" x14ac:dyDescent="0.25">
      <c r="A19" s="2206" t="s">
        <v>406</v>
      </c>
      <c r="B19" s="2207"/>
      <c r="C19" s="727"/>
      <c r="D19" s="585"/>
      <c r="E19" s="727"/>
      <c r="F19" s="1777">
        <f>SUM(C19+D19)-E19</f>
        <v>0</v>
      </c>
    </row>
    <row r="20" spans="1:11" ht="12.75" customHeight="1" thickTop="1" thickBot="1" x14ac:dyDescent="0.25">
      <c r="A20" s="2206" t="s">
        <v>468</v>
      </c>
      <c r="B20" s="2207"/>
      <c r="C20" s="727"/>
      <c r="D20" s="585"/>
      <c r="E20" s="727"/>
      <c r="F20" s="1777">
        <f>SUM(C20+D20)-E20</f>
        <v>0</v>
      </c>
    </row>
    <row r="21" spans="1:11" ht="14.25" thickTop="1" thickBot="1" x14ac:dyDescent="0.25">
      <c r="A21" s="2211" t="s">
        <v>653</v>
      </c>
      <c r="B21" s="2212"/>
      <c r="C21" s="1777">
        <f>SUM(C17:C20)</f>
        <v>0</v>
      </c>
      <c r="D21" s="1777">
        <f>SUM(D17:D20)</f>
        <v>0</v>
      </c>
      <c r="E21" s="1777">
        <f>SUM(E17:E20)</f>
        <v>0</v>
      </c>
      <c r="F21" s="1777">
        <f>SUM(F17:F20)</f>
        <v>0</v>
      </c>
      <c r="G21" s="552"/>
    </row>
    <row r="22" spans="1:11" ht="15.75" customHeight="1" thickTop="1" x14ac:dyDescent="0.2">
      <c r="A22" s="2213" t="s">
        <v>1174</v>
      </c>
      <c r="B22" s="2214"/>
      <c r="C22" s="2208"/>
      <c r="D22" s="2209"/>
      <c r="E22" s="2209"/>
      <c r="F22" s="2210"/>
    </row>
    <row r="23" spans="1:11" ht="13.5" thickBot="1" x14ac:dyDescent="0.25">
      <c r="A23" s="2215" t="s">
        <v>654</v>
      </c>
      <c r="B23" s="2216"/>
      <c r="C23" s="581"/>
      <c r="D23" s="581"/>
      <c r="E23" s="581"/>
      <c r="F23" s="1777">
        <f>SUM(C23+D23)-E23</f>
        <v>0</v>
      </c>
      <c r="G23" s="552"/>
    </row>
    <row r="24" spans="1:11" ht="15.75" customHeight="1" thickTop="1" x14ac:dyDescent="0.2">
      <c r="A24" s="2213" t="s">
        <v>1175</v>
      </c>
      <c r="B24" s="2214"/>
      <c r="C24" s="2208"/>
      <c r="D24" s="2209"/>
      <c r="E24" s="2209"/>
      <c r="F24" s="2210"/>
    </row>
    <row r="25" spans="1:11" ht="13.5" thickBot="1" x14ac:dyDescent="0.25">
      <c r="A25" s="2215" t="s">
        <v>655</v>
      </c>
      <c r="B25" s="2216"/>
      <c r="C25" s="581"/>
      <c r="D25" s="581"/>
      <c r="E25" s="581"/>
      <c r="F25" s="1777">
        <f>SUM(C25+D25)-E25</f>
        <v>0</v>
      </c>
      <c r="G25" s="552"/>
    </row>
    <row r="26" spans="1:11" ht="15.75" customHeight="1" thickTop="1" x14ac:dyDescent="0.2">
      <c r="A26" s="2219" t="s">
        <v>678</v>
      </c>
      <c r="B26" s="2214"/>
      <c r="C26" s="728"/>
      <c r="D26" s="728"/>
      <c r="E26" s="728"/>
      <c r="F26" s="729"/>
    </row>
    <row r="27" spans="1:11" ht="13.5" thickBot="1" x14ac:dyDescent="0.25">
      <c r="A27" s="2211" t="s">
        <v>1130</v>
      </c>
      <c r="B27" s="2212"/>
      <c r="C27" s="585"/>
      <c r="D27" s="585"/>
      <c r="E27" s="585"/>
      <c r="F27" s="1777">
        <f>SUM(C27+D27)-E27</f>
        <v>0</v>
      </c>
      <c r="G27" s="552"/>
    </row>
    <row r="28" spans="1:11" ht="7.5" customHeight="1" thickTop="1" x14ac:dyDescent="0.2">
      <c r="A28" s="594"/>
    </row>
    <row r="29" spans="1:11" ht="23.25" customHeight="1" x14ac:dyDescent="0.2">
      <c r="A29" s="2217" t="s">
        <v>603</v>
      </c>
      <c r="B29" s="2218"/>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2096</v>
      </c>
      <c r="B31" s="734">
        <v>37087</v>
      </c>
      <c r="C31" s="735">
        <v>4360000</v>
      </c>
      <c r="D31" s="736" t="s">
        <v>2097</v>
      </c>
      <c r="E31" s="735">
        <v>1640000</v>
      </c>
      <c r="F31" s="735"/>
      <c r="G31" s="735"/>
      <c r="H31" s="735">
        <v>460000</v>
      </c>
      <c r="I31" s="1778">
        <f>((E31+F31)-H31)+G31</f>
        <v>1180000</v>
      </c>
      <c r="J31" s="735">
        <v>1180000</v>
      </c>
      <c r="K31" s="737"/>
    </row>
    <row r="32" spans="1:11" ht="12" customHeight="1" x14ac:dyDescent="0.2">
      <c r="A32" s="733" t="s">
        <v>2098</v>
      </c>
      <c r="B32" s="734">
        <v>42440</v>
      </c>
      <c r="C32" s="735">
        <v>3130000</v>
      </c>
      <c r="D32" s="736">
        <v>3</v>
      </c>
      <c r="E32" s="735">
        <v>3130000</v>
      </c>
      <c r="F32" s="735"/>
      <c r="G32" s="735"/>
      <c r="H32" s="735">
        <v>5000</v>
      </c>
      <c r="I32" s="1778">
        <f>((E32+F32)-H32)+G32</f>
        <v>3125000</v>
      </c>
      <c r="J32" s="735">
        <f>3125000-493819</f>
        <v>2631181</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t="s">
        <v>2099</v>
      </c>
      <c r="B34" s="734"/>
      <c r="C34" s="735"/>
      <c r="D34" s="736"/>
      <c r="E34" s="735"/>
      <c r="F34" s="735"/>
      <c r="G34" s="735"/>
      <c r="H34" s="735"/>
      <c r="I34" s="1778">
        <f t="shared" si="1"/>
        <v>0</v>
      </c>
      <c r="J34" s="735"/>
      <c r="K34" s="738"/>
    </row>
    <row r="35" spans="1:11" ht="12" customHeight="1" x14ac:dyDescent="0.2">
      <c r="A35" s="733" t="s">
        <v>2100</v>
      </c>
      <c r="B35" s="734">
        <v>41967</v>
      </c>
      <c r="C35" s="739">
        <v>184158</v>
      </c>
      <c r="D35" s="736">
        <v>8</v>
      </c>
      <c r="E35" s="739">
        <v>73135</v>
      </c>
      <c r="F35" s="739"/>
      <c r="G35" s="739"/>
      <c r="H35" s="739">
        <v>35930</v>
      </c>
      <c r="I35" s="1778">
        <f t="shared" si="1"/>
        <v>37205</v>
      </c>
      <c r="J35" s="739">
        <v>37205</v>
      </c>
      <c r="K35" s="738"/>
    </row>
    <row r="36" spans="1:11" ht="12" customHeight="1" x14ac:dyDescent="0.2">
      <c r="A36" s="733" t="s">
        <v>2102</v>
      </c>
      <c r="B36" s="734">
        <v>42633</v>
      </c>
      <c r="C36" s="735">
        <v>39393</v>
      </c>
      <c r="D36" s="736">
        <v>8</v>
      </c>
      <c r="E36" s="735">
        <v>31193</v>
      </c>
      <c r="F36" s="735"/>
      <c r="G36" s="735"/>
      <c r="H36" s="735">
        <v>7023</v>
      </c>
      <c r="I36" s="1778">
        <f t="shared" si="1"/>
        <v>24170</v>
      </c>
      <c r="J36" s="735">
        <v>24170</v>
      </c>
      <c r="K36" s="740"/>
    </row>
    <row r="37" spans="1:11" ht="12" customHeight="1" x14ac:dyDescent="0.2">
      <c r="A37" s="733" t="s">
        <v>2103</v>
      </c>
      <c r="B37" s="734">
        <v>42954</v>
      </c>
      <c r="C37" s="467">
        <v>288921</v>
      </c>
      <c r="D37" s="741">
        <v>8</v>
      </c>
      <c r="E37" s="467"/>
      <c r="F37" s="467">
        <v>288921</v>
      </c>
      <c r="G37" s="467"/>
      <c r="H37" s="467">
        <v>41559</v>
      </c>
      <c r="I37" s="1778">
        <f t="shared" si="1"/>
        <v>247362</v>
      </c>
      <c r="J37" s="467">
        <v>247362</v>
      </c>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8002472</v>
      </c>
      <c r="D49" s="746"/>
      <c r="E49" s="1778">
        <f t="shared" ref="E49:J49" si="2">SUM(E31:E48)</f>
        <v>4874328</v>
      </c>
      <c r="F49" s="1778">
        <f t="shared" si="2"/>
        <v>288921</v>
      </c>
      <c r="G49" s="1778">
        <f t="shared" si="2"/>
        <v>0</v>
      </c>
      <c r="H49" s="1778">
        <f t="shared" si="2"/>
        <v>549512</v>
      </c>
      <c r="I49" s="1778">
        <f t="shared" si="2"/>
        <v>4613737</v>
      </c>
      <c r="J49" s="1778">
        <f t="shared" si="2"/>
        <v>4119918</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0" t="s">
        <v>605</v>
      </c>
      <c r="C52" s="2201"/>
      <c r="D52" s="2201"/>
      <c r="E52" s="750" t="s">
        <v>900</v>
      </c>
      <c r="F52" s="2202"/>
      <c r="G52" s="2203"/>
      <c r="H52" s="737"/>
      <c r="I52" s="737"/>
      <c r="J52" s="747"/>
    </row>
    <row r="53" spans="1:11" ht="11.25" customHeight="1" x14ac:dyDescent="0.2">
      <c r="A53" s="751" t="s">
        <v>969</v>
      </c>
      <c r="B53" s="752" t="s">
        <v>1008</v>
      </c>
      <c r="C53" s="747"/>
      <c r="D53" s="738"/>
      <c r="E53" s="750" t="s">
        <v>518</v>
      </c>
      <c r="F53" s="2204" t="s">
        <v>2101</v>
      </c>
      <c r="G53" s="2205"/>
      <c r="H53" s="737"/>
      <c r="I53" s="737"/>
      <c r="J53" s="747"/>
    </row>
    <row r="54" spans="1:11" ht="11.25" customHeight="1" x14ac:dyDescent="0.2">
      <c r="A54" s="753" t="s">
        <v>970</v>
      </c>
      <c r="B54" s="748" t="s">
        <v>1009</v>
      </c>
      <c r="C54" s="747"/>
      <c r="D54" s="738"/>
      <c r="E54" s="750" t="s">
        <v>519</v>
      </c>
      <c r="F54" s="2204"/>
      <c r="G54" s="220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B10" sqref="B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2"/>
      <c r="I1" s="761"/>
      <c r="J1" s="433"/>
    </row>
    <row r="2" spans="1:11" ht="26.25" x14ac:dyDescent="0.2">
      <c r="A2" s="2248" t="s">
        <v>1776</v>
      </c>
      <c r="B2" s="2249"/>
      <c r="C2" s="2249"/>
      <c r="D2" s="2249"/>
      <c r="E2" s="2250"/>
      <c r="F2" s="762" t="s">
        <v>960</v>
      </c>
      <c r="G2" s="763" t="s">
        <v>1773</v>
      </c>
      <c r="H2" s="763" t="s">
        <v>430</v>
      </c>
      <c r="I2" s="763" t="s">
        <v>1220</v>
      </c>
      <c r="J2" s="763" t="s">
        <v>1916</v>
      </c>
      <c r="K2" s="763" t="s">
        <v>140</v>
      </c>
    </row>
    <row r="3" spans="1:11" x14ac:dyDescent="0.2">
      <c r="A3" s="2251" t="s">
        <v>1698</v>
      </c>
      <c r="B3" s="2252"/>
      <c r="C3" s="2252"/>
      <c r="D3" s="2252"/>
      <c r="E3" s="2253"/>
      <c r="F3" s="764"/>
      <c r="G3" s="765"/>
      <c r="H3" s="765"/>
      <c r="I3" s="765"/>
      <c r="J3" s="766">
        <v>254384</v>
      </c>
      <c r="K3" s="766"/>
    </row>
    <row r="4" spans="1:11" x14ac:dyDescent="0.2">
      <c r="A4" s="2254" t="s">
        <v>387</v>
      </c>
      <c r="B4" s="2255"/>
      <c r="C4" s="2255"/>
      <c r="D4" s="2255"/>
      <c r="E4" s="2201"/>
      <c r="F4" s="767"/>
      <c r="G4" s="768"/>
      <c r="H4" s="769"/>
      <c r="I4" s="768"/>
      <c r="J4" s="770"/>
      <c r="K4" s="770"/>
    </row>
    <row r="5" spans="1:11" x14ac:dyDescent="0.2">
      <c r="A5" s="2232" t="s">
        <v>1129</v>
      </c>
      <c r="B5" s="2233"/>
      <c r="C5" s="2233"/>
      <c r="D5" s="2233"/>
      <c r="E5" s="2234"/>
      <c r="F5" s="771" t="s">
        <v>903</v>
      </c>
      <c r="G5" s="772"/>
      <c r="H5" s="765">
        <v>48098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10094</v>
      </c>
    </row>
    <row r="8" spans="1:11" x14ac:dyDescent="0.2">
      <c r="A8" s="779" t="s">
        <v>363</v>
      </c>
      <c r="B8" s="780"/>
      <c r="C8" s="780"/>
      <c r="D8" s="780"/>
      <c r="E8" s="781"/>
      <c r="F8" s="771" t="s">
        <v>906</v>
      </c>
      <c r="G8" s="783"/>
      <c r="H8" s="783"/>
      <c r="I8" s="783"/>
      <c r="J8" s="766">
        <v>380502</v>
      </c>
      <c r="K8" s="770"/>
    </row>
    <row r="9" spans="1:11" x14ac:dyDescent="0.2">
      <c r="A9" s="779" t="s">
        <v>140</v>
      </c>
      <c r="B9" s="780"/>
      <c r="C9" s="780"/>
      <c r="D9" s="780"/>
      <c r="E9" s="781"/>
      <c r="F9" s="778" t="s">
        <v>908</v>
      </c>
      <c r="G9" s="783"/>
      <c r="H9" s="772"/>
      <c r="I9" s="772"/>
      <c r="J9" s="782"/>
      <c r="K9" s="766">
        <v>20530</v>
      </c>
    </row>
    <row r="10" spans="1:11" x14ac:dyDescent="0.2">
      <c r="A10" s="2232" t="s">
        <v>1917</v>
      </c>
      <c r="B10" s="2233"/>
      <c r="C10" s="2233"/>
      <c r="D10" s="2233"/>
      <c r="E10" s="2235"/>
      <c r="F10" s="784" t="s">
        <v>917</v>
      </c>
      <c r="G10" s="783"/>
      <c r="H10" s="785"/>
      <c r="I10" s="765"/>
      <c r="J10" s="766"/>
      <c r="K10" s="766"/>
    </row>
    <row r="11" spans="1:11" x14ac:dyDescent="0.2">
      <c r="A11" s="2232" t="s">
        <v>162</v>
      </c>
      <c r="B11" s="2233"/>
      <c r="C11" s="2233"/>
      <c r="D11" s="2233"/>
      <c r="E11" s="2234"/>
      <c r="F11" s="771" t="s">
        <v>907</v>
      </c>
      <c r="G11" s="772"/>
      <c r="H11" s="765"/>
      <c r="I11" s="765"/>
      <c r="J11" s="766"/>
      <c r="K11" s="774"/>
    </row>
    <row r="12" spans="1:11" ht="13.5" thickBot="1" x14ac:dyDescent="0.25">
      <c r="A12" s="2259" t="s">
        <v>961</v>
      </c>
      <c r="B12" s="2260"/>
      <c r="C12" s="2260"/>
      <c r="D12" s="2260"/>
      <c r="E12" s="2261"/>
      <c r="F12" s="1779"/>
      <c r="G12" s="1780">
        <f>SUM(G5:G11)</f>
        <v>0</v>
      </c>
      <c r="H12" s="1780">
        <f>SUM(H5:H11)</f>
        <v>48098</v>
      </c>
      <c r="I12" s="1780">
        <f>SUM(I5:I11)</f>
        <v>0</v>
      </c>
      <c r="J12" s="1780">
        <f>SUM(J5:J11)</f>
        <v>380502</v>
      </c>
      <c r="K12" s="1780">
        <f>SUM(K5:K11)</f>
        <v>30624</v>
      </c>
    </row>
    <row r="13" spans="1:11" ht="13.5" thickTop="1" x14ac:dyDescent="0.2">
      <c r="A13" s="2256" t="s">
        <v>388</v>
      </c>
      <c r="B13" s="2257"/>
      <c r="C13" s="2257"/>
      <c r="D13" s="2257"/>
      <c r="E13" s="2258"/>
      <c r="F13" s="786"/>
      <c r="G13" s="787"/>
      <c r="H13" s="788"/>
      <c r="I13" s="789"/>
      <c r="J13" s="789"/>
      <c r="K13" s="789"/>
    </row>
    <row r="14" spans="1:11" x14ac:dyDescent="0.2">
      <c r="A14" s="2239" t="s">
        <v>476</v>
      </c>
      <c r="B14" s="2239"/>
      <c r="C14" s="2239"/>
      <c r="D14" s="2239"/>
      <c r="E14" s="2240"/>
      <c r="F14" s="790" t="s">
        <v>909</v>
      </c>
      <c r="G14" s="783"/>
      <c r="H14" s="765">
        <v>48098</v>
      </c>
      <c r="I14" s="772"/>
      <c r="J14" s="774"/>
      <c r="K14" s="766">
        <v>30624</v>
      </c>
    </row>
    <row r="15" spans="1:11" x14ac:dyDescent="0.2">
      <c r="A15" s="2233" t="s">
        <v>4</v>
      </c>
      <c r="B15" s="2233"/>
      <c r="C15" s="2233"/>
      <c r="D15" s="2233"/>
      <c r="E15" s="2234"/>
      <c r="F15" s="790" t="s">
        <v>910</v>
      </c>
      <c r="G15" s="772"/>
      <c r="H15" s="765"/>
      <c r="I15" s="765"/>
      <c r="J15" s="766">
        <v>96102</v>
      </c>
      <c r="K15" s="766"/>
    </row>
    <row r="16" spans="1:11" x14ac:dyDescent="0.2">
      <c r="A16" s="2233" t="s">
        <v>316</v>
      </c>
      <c r="B16" s="2233"/>
      <c r="C16" s="2233"/>
      <c r="D16" s="2233"/>
      <c r="E16" s="2234"/>
      <c r="F16" s="790" t="s">
        <v>980</v>
      </c>
      <c r="G16" s="773"/>
      <c r="H16" s="768"/>
      <c r="I16" s="768"/>
      <c r="J16" s="770"/>
      <c r="K16" s="770"/>
    </row>
    <row r="17" spans="1:11" x14ac:dyDescent="0.2">
      <c r="A17" s="2264" t="s">
        <v>992</v>
      </c>
      <c r="B17" s="2264"/>
      <c r="C17" s="2264"/>
      <c r="D17" s="2264"/>
      <c r="E17" s="2265"/>
      <c r="F17" s="791"/>
      <c r="G17" s="792"/>
      <c r="H17" s="793"/>
      <c r="I17" s="793"/>
      <c r="J17" s="794"/>
      <c r="K17" s="795"/>
    </row>
    <row r="18" spans="1:11" x14ac:dyDescent="0.2">
      <c r="A18" s="2243" t="s">
        <v>386</v>
      </c>
      <c r="B18" s="2244"/>
      <c r="C18" s="2244"/>
      <c r="D18" s="2244"/>
      <c r="E18" s="2245"/>
      <c r="F18" s="790" t="s">
        <v>989</v>
      </c>
      <c r="G18" s="783"/>
      <c r="H18" s="783"/>
      <c r="I18" s="783"/>
      <c r="J18" s="766"/>
      <c r="K18" s="796"/>
    </row>
    <row r="19" spans="1:11" ht="21.75" customHeight="1" x14ac:dyDescent="0.2">
      <c r="A19" s="2241" t="s">
        <v>1913</v>
      </c>
      <c r="B19" s="2241"/>
      <c r="C19" s="2241"/>
      <c r="D19" s="2241"/>
      <c r="E19" s="2242"/>
      <c r="F19" s="790" t="s">
        <v>990</v>
      </c>
      <c r="G19" s="783"/>
      <c r="H19" s="783"/>
      <c r="I19" s="783"/>
      <c r="J19" s="766"/>
      <c r="K19" s="796"/>
    </row>
    <row r="20" spans="1:11" x14ac:dyDescent="0.2">
      <c r="A20" s="2243" t="s">
        <v>1918</v>
      </c>
      <c r="B20" s="2244"/>
      <c r="C20" s="2244"/>
      <c r="D20" s="2244"/>
      <c r="E20" s="2245"/>
      <c r="F20" s="790" t="s">
        <v>991</v>
      </c>
      <c r="G20" s="783"/>
      <c r="H20" s="783"/>
      <c r="I20" s="783"/>
      <c r="J20" s="766"/>
      <c r="K20" s="796"/>
    </row>
    <row r="21" spans="1:11" ht="13.5" thickBot="1" x14ac:dyDescent="0.25">
      <c r="A21" s="2262" t="s">
        <v>659</v>
      </c>
      <c r="B21" s="2262"/>
      <c r="C21" s="2262"/>
      <c r="D21" s="2262"/>
      <c r="E21" s="2262"/>
      <c r="F21" s="1781"/>
      <c r="G21" s="793"/>
      <c r="H21" s="797"/>
      <c r="I21" s="797"/>
      <c r="J21" s="1782">
        <f>SUM(J18:J20)</f>
        <v>0</v>
      </c>
      <c r="K21" s="794"/>
    </row>
    <row r="22" spans="1:11" ht="13.5" thickTop="1" x14ac:dyDescent="0.2">
      <c r="A22" s="2233" t="s">
        <v>1919</v>
      </c>
      <c r="B22" s="2233"/>
      <c r="C22" s="2233"/>
      <c r="D22" s="2233"/>
      <c r="E22" s="2234"/>
      <c r="F22" s="790" t="s">
        <v>917</v>
      </c>
      <c r="G22" s="783"/>
      <c r="H22" s="765"/>
      <c r="I22" s="765"/>
      <c r="J22" s="798"/>
      <c r="K22" s="766"/>
    </row>
    <row r="23" spans="1:11" ht="13.5" thickBot="1" x14ac:dyDescent="0.25">
      <c r="A23" s="2263" t="s">
        <v>962</v>
      </c>
      <c r="B23" s="2262"/>
      <c r="C23" s="2262"/>
      <c r="D23" s="2262"/>
      <c r="E23" s="2262"/>
      <c r="F23" s="1783"/>
      <c r="G23" s="1780">
        <f>SUM(G14:G16,G21,G22)</f>
        <v>0</v>
      </c>
      <c r="H23" s="1780">
        <f>SUM(H14:H16,H21,H22)</f>
        <v>48098</v>
      </c>
      <c r="I23" s="1780">
        <f>SUM(I14:I16,I21,I22)</f>
        <v>0</v>
      </c>
      <c r="J23" s="1780">
        <f>SUM(J14:J16,J21,J22)</f>
        <v>96102</v>
      </c>
      <c r="K23" s="1780">
        <f>SUM(K14:K16,K21,K22)</f>
        <v>30624</v>
      </c>
    </row>
    <row r="24" spans="1:11" ht="14.25" thickTop="1" thickBot="1" x14ac:dyDescent="0.25">
      <c r="A24" s="2263" t="s">
        <v>2023</v>
      </c>
      <c r="B24" s="2262"/>
      <c r="C24" s="2262"/>
      <c r="D24" s="2262"/>
      <c r="E24" s="2262"/>
      <c r="F24" s="1784"/>
      <c r="G24" s="1785">
        <f>SUM(G3,G12)-G23</f>
        <v>0</v>
      </c>
      <c r="H24" s="1785">
        <f>SUM(H3,H12)-H23</f>
        <v>0</v>
      </c>
      <c r="I24" s="1785">
        <f>SUM(I3,I12)-I23</f>
        <v>0</v>
      </c>
      <c r="J24" s="1785">
        <f>SUM(J3,J12)-J23</f>
        <v>538784</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538784</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6"/>
      <c r="I31" s="2237"/>
      <c r="J31" s="2237"/>
      <c r="K31" s="2237"/>
    </row>
    <row r="32" spans="1:11" x14ac:dyDescent="0.2">
      <c r="A32" s="810"/>
      <c r="B32" s="237"/>
      <c r="C32" s="237"/>
      <c r="D32" s="237"/>
      <c r="E32" s="806"/>
      <c r="F32" s="812" t="s">
        <v>561</v>
      </c>
      <c r="G32" s="765"/>
      <c r="H32" s="2238"/>
      <c r="I32" s="2237"/>
      <c r="J32" s="2237"/>
      <c r="K32" s="2237"/>
    </row>
    <row r="33" spans="1:11" ht="1.5" customHeight="1" x14ac:dyDescent="0.2">
      <c r="A33" s="813" t="s">
        <v>1231</v>
      </c>
      <c r="B33" s="364"/>
      <c r="C33" s="364"/>
      <c r="D33" s="364"/>
      <c r="E33" s="364"/>
      <c r="F33" s="364"/>
      <c r="G33" s="814"/>
      <c r="H33" s="2238"/>
      <c r="I33" s="2237"/>
      <c r="J33" s="2237"/>
      <c r="K33" s="2237"/>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46"/>
      <c r="C41" s="2246"/>
      <c r="D41" s="2246"/>
      <c r="E41" s="2246"/>
      <c r="F41" s="224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B10" sqref="B1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2032</v>
      </c>
      <c r="B1" s="2269"/>
      <c r="C1" s="2270"/>
      <c r="D1" s="827"/>
      <c r="E1" s="828"/>
      <c r="F1" s="828"/>
      <c r="G1" s="829"/>
      <c r="H1" s="830"/>
      <c r="I1" s="831"/>
      <c r="J1" s="2266"/>
      <c r="K1" s="2267"/>
      <c r="L1" s="2267"/>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307026</v>
      </c>
      <c r="D5" s="842">
        <v>96102</v>
      </c>
      <c r="E5" s="842"/>
      <c r="F5" s="1782">
        <f>(C5+D5)-E5</f>
        <v>403128</v>
      </c>
      <c r="G5" s="838"/>
      <c r="H5" s="843"/>
      <c r="I5" s="843"/>
      <c r="J5" s="843"/>
      <c r="K5" s="794"/>
      <c r="L5" s="1791">
        <f>F5-K5</f>
        <v>403128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15319273</v>
      </c>
      <c r="D8" s="845"/>
      <c r="E8" s="845"/>
      <c r="F8" s="1782">
        <f>(C8+D8)-E8</f>
        <v>15319273</v>
      </c>
      <c r="G8" s="844">
        <v>50</v>
      </c>
      <c r="H8" s="766">
        <v>8279160</v>
      </c>
      <c r="I8" s="766">
        <v>306385</v>
      </c>
      <c r="J8" s="766"/>
      <c r="K8" s="1791">
        <f>(H8+I8)-J8</f>
        <v>8585545</v>
      </c>
      <c r="L8" s="1791">
        <f>F8-K8</f>
        <v>6733728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582634</v>
      </c>
      <c r="D10" s="847"/>
      <c r="E10" s="847"/>
      <c r="F10" s="1786">
        <f>(C10+D10)-E10</f>
        <v>582634</v>
      </c>
      <c r="G10" s="844">
        <v>20</v>
      </c>
      <c r="H10" s="848">
        <v>306042</v>
      </c>
      <c r="I10" s="848">
        <v>13830</v>
      </c>
      <c r="J10" s="848"/>
      <c r="K10" s="1791">
        <f>(H10+I10)-J10</f>
        <v>319872</v>
      </c>
      <c r="L10" s="1791">
        <f>F10-K10</f>
        <v>262762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3625109</v>
      </c>
      <c r="D12" s="845">
        <v>73359</v>
      </c>
      <c r="E12" s="845"/>
      <c r="F12" s="1782">
        <f>(C12+D12)-E12</f>
        <v>3698468</v>
      </c>
      <c r="G12" s="844">
        <v>10</v>
      </c>
      <c r="H12" s="766">
        <v>3117802</v>
      </c>
      <c r="I12" s="766">
        <v>58067</v>
      </c>
      <c r="J12" s="766"/>
      <c r="K12" s="1791">
        <f>(H12+I12)-J12</f>
        <v>3175869</v>
      </c>
      <c r="L12" s="1791">
        <f>F12-K12</f>
        <v>522599</v>
      </c>
    </row>
    <row r="13" spans="1:14" ht="14.25" thickTop="1" thickBot="1" x14ac:dyDescent="0.25">
      <c r="A13" s="849" t="s">
        <v>1184</v>
      </c>
      <c r="B13" s="841">
        <v>252</v>
      </c>
      <c r="C13" s="845">
        <v>1892172</v>
      </c>
      <c r="D13" s="845"/>
      <c r="E13" s="845"/>
      <c r="F13" s="1782">
        <f>(C13+D13)-E13</f>
        <v>1892172</v>
      </c>
      <c r="G13" s="844">
        <v>5</v>
      </c>
      <c r="H13" s="766">
        <v>1766861</v>
      </c>
      <c r="I13" s="766">
        <v>86798</v>
      </c>
      <c r="J13" s="766"/>
      <c r="K13" s="1791">
        <f>(H13+I13)-J13</f>
        <v>1853659</v>
      </c>
      <c r="L13" s="1791">
        <f>F13-K13</f>
        <v>38513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21726214</v>
      </c>
      <c r="D16" s="1782">
        <f>SUM(D3,D5:D6,D8:D10,D12:D15)</f>
        <v>169461</v>
      </c>
      <c r="E16" s="1782">
        <f>SUM(E3,E5:E6,E8:E10,E12:E15)</f>
        <v>0</v>
      </c>
      <c r="F16" s="1782">
        <f>SUM(F3,F5:F6,F8:F10,F12:F15)</f>
        <v>21895675</v>
      </c>
      <c r="G16" s="844"/>
      <c r="H16" s="1782">
        <f>SUM(H3,H6,H8:H10,H12:H14,)</f>
        <v>13469865</v>
      </c>
      <c r="I16" s="1782">
        <f>SUM(I3,I6,I8:I10,I12:I14,)</f>
        <v>465080</v>
      </c>
      <c r="J16" s="1782">
        <f>SUM(J3,J6,J8:J10,J12:J14,)</f>
        <v>0</v>
      </c>
      <c r="K16" s="1782">
        <f>(H16+I16)-J16</f>
        <v>13934945</v>
      </c>
      <c r="L16" s="1782">
        <f>F16-K16</f>
        <v>7960730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465080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3" activePane="bottomLeft" state="frozen"/>
      <selection activeCell="B10" sqref="B10"/>
      <selection pane="bottomLeft" activeCell="B10" sqref="B1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4" t="s">
        <v>1699</v>
      </c>
      <c r="B1" s="2275"/>
      <c r="C1" s="2275"/>
      <c r="D1" s="2275"/>
      <c r="E1" s="2275"/>
      <c r="F1" s="2276"/>
      <c r="G1" s="856"/>
    </row>
    <row r="2" spans="1:7" ht="15" customHeight="1" thickBot="1" x14ac:dyDescent="0.25">
      <c r="A2" s="2277" t="s">
        <v>498</v>
      </c>
      <c r="B2" s="2278"/>
      <c r="C2" s="2278"/>
      <c r="D2" s="2278"/>
      <c r="E2" s="2278"/>
      <c r="F2" s="227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9568868</v>
      </c>
      <c r="G8" s="866"/>
    </row>
    <row r="9" spans="1:7" x14ac:dyDescent="0.2">
      <c r="A9" s="870" t="s">
        <v>480</v>
      </c>
      <c r="B9" s="871" t="s">
        <v>1986</v>
      </c>
      <c r="C9" s="872"/>
      <c r="D9" s="870" t="s">
        <v>522</v>
      </c>
      <c r="E9" s="869"/>
      <c r="F9" s="1935">
        <f>'Expenditures 15-22'!K151</f>
        <v>1214879</v>
      </c>
      <c r="G9" s="873"/>
    </row>
    <row r="10" spans="1:7" x14ac:dyDescent="0.2">
      <c r="A10" s="870" t="s">
        <v>520</v>
      </c>
      <c r="B10" s="871" t="s">
        <v>1987</v>
      </c>
      <c r="C10" s="872"/>
      <c r="D10" s="870" t="s">
        <v>522</v>
      </c>
      <c r="E10" s="869"/>
      <c r="F10" s="1935">
        <f>'Expenditures 15-22'!K174</f>
        <v>519144</v>
      </c>
      <c r="G10" s="873"/>
    </row>
    <row r="11" spans="1:7" x14ac:dyDescent="0.2">
      <c r="A11" s="870" t="s">
        <v>481</v>
      </c>
      <c r="B11" s="871" t="s">
        <v>1988</v>
      </c>
      <c r="C11" s="872"/>
      <c r="D11" s="870" t="s">
        <v>522</v>
      </c>
      <c r="E11" s="869"/>
      <c r="F11" s="1935">
        <f>'Expenditures 15-22'!K210</f>
        <v>791940</v>
      </c>
      <c r="G11" s="873"/>
    </row>
    <row r="12" spans="1:7" x14ac:dyDescent="0.2">
      <c r="A12" s="870" t="s">
        <v>482</v>
      </c>
      <c r="B12" s="871" t="s">
        <v>1989</v>
      </c>
      <c r="C12" s="872"/>
      <c r="D12" s="870" t="s">
        <v>522</v>
      </c>
      <c r="E12" s="869"/>
      <c r="F12" s="1935">
        <f>'Expenditures 15-22'!K295</f>
        <v>503235</v>
      </c>
      <c r="G12" s="873"/>
    </row>
    <row r="13" spans="1:7" x14ac:dyDescent="0.2">
      <c r="A13" s="870" t="s">
        <v>108</v>
      </c>
      <c r="B13" s="871" t="s">
        <v>1990</v>
      </c>
      <c r="C13" s="872"/>
      <c r="D13" s="870" t="s">
        <v>522</v>
      </c>
      <c r="E13" s="869"/>
      <c r="F13" s="1935">
        <f>'Expenditures 15-22'!K342</f>
        <v>738605</v>
      </c>
      <c r="G13" s="874"/>
    </row>
    <row r="14" spans="1:7" ht="12" customHeight="1" thickBot="1" x14ac:dyDescent="0.25">
      <c r="A14" s="1792"/>
      <c r="B14" s="1793"/>
      <c r="C14" s="1794"/>
      <c r="D14" s="1795" t="s">
        <v>522</v>
      </c>
      <c r="E14" s="1796" t="s">
        <v>1015</v>
      </c>
      <c r="F14" s="1797">
        <f>SUM(F8:F13)</f>
        <v>13336671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321800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29287</v>
      </c>
      <c r="G52" s="866"/>
    </row>
    <row r="53" spans="1:7" x14ac:dyDescent="0.2">
      <c r="A53" s="870" t="s">
        <v>479</v>
      </c>
      <c r="B53" s="870" t="s">
        <v>1551</v>
      </c>
      <c r="C53" s="890">
        <f>'Expenditures 15-22'!B102</f>
        <v>4000</v>
      </c>
      <c r="D53" s="889" t="str">
        <f>'Expenditures 15-22'!A102</f>
        <v>Total Payments to Other Govt Units</v>
      </c>
      <c r="E53" s="869"/>
      <c r="F53" s="1939">
        <f>'Expenditures 15-22'!K102</f>
        <v>1376993</v>
      </c>
      <c r="G53" s="866"/>
    </row>
    <row r="54" spans="1:7" x14ac:dyDescent="0.2">
      <c r="A54" s="870" t="s">
        <v>479</v>
      </c>
      <c r="B54" s="870" t="s">
        <v>1552</v>
      </c>
      <c r="C54" s="890" t="s">
        <v>1039</v>
      </c>
      <c r="D54" s="886" t="s">
        <v>1157</v>
      </c>
      <c r="E54" s="869"/>
      <c r="F54" s="1939">
        <f>'Expenditures 15-22'!G114</f>
        <v>67760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4201</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345000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84512</v>
      </c>
      <c r="G64" s="866"/>
    </row>
    <row r="65" spans="1:8" x14ac:dyDescent="0.2">
      <c r="A65" s="870" t="s">
        <v>481</v>
      </c>
      <c r="B65" s="870" t="s">
        <v>1999</v>
      </c>
      <c r="C65" s="887" t="s">
        <v>1039</v>
      </c>
      <c r="D65" s="886" t="s">
        <v>1157</v>
      </c>
      <c r="E65" s="869"/>
      <c r="F65" s="1939">
        <f>'Expenditures 15-22'!G210</f>
        <v>1397</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16846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2512</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2250308</v>
      </c>
      <c r="G76" s="866"/>
    </row>
    <row r="77" spans="1:8" s="894" customFormat="1" ht="12" customHeight="1" thickTop="1" thickBot="1" x14ac:dyDescent="0.25">
      <c r="A77" s="1801"/>
      <c r="B77" s="1798"/>
      <c r="C77" s="1794"/>
      <c r="D77" s="1799" t="s">
        <v>2009</v>
      </c>
      <c r="E77" s="1796"/>
      <c r="F77" s="1802">
        <f>(F14-F76)</f>
        <v>11086363</v>
      </c>
      <c r="G77" s="870"/>
    </row>
    <row r="78" spans="1:8" s="894" customFormat="1" ht="12" customHeight="1" thickTop="1" x14ac:dyDescent="0.2">
      <c r="A78" s="1803"/>
      <c r="B78" s="1798"/>
      <c r="C78" s="1794"/>
      <c r="D78" s="1799" t="s">
        <v>2056</v>
      </c>
      <c r="E78" s="1796"/>
      <c r="F78" s="899">
        <v>1154.69</v>
      </c>
      <c r="G78" s="900"/>
      <c r="H78" s="870"/>
    </row>
    <row r="79" spans="1:8" s="894" customFormat="1" ht="12" customHeight="1" thickBot="1" x14ac:dyDescent="0.25">
      <c r="A79" s="1804"/>
      <c r="B79" s="1798"/>
      <c r="C79" s="1794"/>
      <c r="D79" s="1799" t="s">
        <v>2010</v>
      </c>
      <c r="E79" s="1796" t="s">
        <v>1015</v>
      </c>
      <c r="F79" s="1805">
        <f>IF(F78&gt;0,F77/F78," Complete Line 78")</f>
        <v>9601.159618598931</v>
      </c>
      <c r="G79" s="870"/>
    </row>
    <row r="80" spans="1:8" s="894" customFormat="1" ht="8.25" customHeight="1" thickTop="1" x14ac:dyDescent="0.2">
      <c r="A80" s="901"/>
      <c r="B80" s="870"/>
      <c r="C80" s="872"/>
      <c r="D80" s="902"/>
      <c r="E80" s="869"/>
      <c r="F80" s="903"/>
      <c r="G80" s="870"/>
    </row>
    <row r="81" spans="1:7" s="894" customFormat="1" ht="12" thickBot="1" x14ac:dyDescent="0.25">
      <c r="A81" s="2271" t="s">
        <v>1167</v>
      </c>
      <c r="B81" s="2272"/>
      <c r="C81" s="2272"/>
      <c r="D81" s="2272"/>
      <c r="E81" s="2272"/>
      <c r="F81" s="227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36810</v>
      </c>
      <c r="G94" s="913"/>
    </row>
    <row r="95" spans="1:7" x14ac:dyDescent="0.2">
      <c r="A95" s="909" t="s">
        <v>142</v>
      </c>
      <c r="B95" s="909" t="s">
        <v>177</v>
      </c>
      <c r="C95" s="911">
        <v>1700</v>
      </c>
      <c r="D95" s="919" t="str">
        <f>'Revenues 9-14'!A82</f>
        <v>Total District/School Activity Income</v>
      </c>
      <c r="E95" s="907"/>
      <c r="F95" s="1811">
        <f>SUM('Revenues 9-14'!C82,'Revenues 9-14'!D82)</f>
        <v>65044</v>
      </c>
      <c r="G95" s="913"/>
    </row>
    <row r="96" spans="1:7" x14ac:dyDescent="0.2">
      <c r="A96" s="909" t="s">
        <v>479</v>
      </c>
      <c r="B96" s="909" t="s">
        <v>178</v>
      </c>
      <c r="C96" s="911">
        <f>'Revenues 9-14'!B84</f>
        <v>1811</v>
      </c>
      <c r="D96" s="912" t="str">
        <f>'Revenues 9-14'!A84</f>
        <v>Rentals - Regular Textbooks</v>
      </c>
      <c r="E96" s="907"/>
      <c r="F96" s="1811">
        <f>'Revenues 9-14'!C84</f>
        <v>109020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447736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3283</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8415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20530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551636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1854</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546657</v>
      </c>
      <c r="G129" s="931"/>
    </row>
    <row r="130" spans="1:7" x14ac:dyDescent="0.2">
      <c r="A130" s="928" t="s">
        <v>689</v>
      </c>
      <c r="B130" s="928" t="s">
        <v>804</v>
      </c>
      <c r="C130" s="933">
        <v>4300</v>
      </c>
      <c r="D130" s="934" t="str">
        <f>'Revenues 9-14'!A211</f>
        <v>Total Title I</v>
      </c>
      <c r="E130" s="907"/>
      <c r="F130" s="1811">
        <f>SUM('Revenues 9-14'!C211,'Revenues 9-14'!D211,'Revenues 9-14'!F211,'Revenues 9-14'!G211)</f>
        <v>257184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2000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212384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14958</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21107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14092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61085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v>229955</v>
      </c>
      <c r="G175" s="928"/>
    </row>
    <row r="176" spans="1:7" x14ac:dyDescent="0.2">
      <c r="A176" s="1944" t="s">
        <v>685</v>
      </c>
      <c r="B176" s="1945" t="s">
        <v>2055</v>
      </c>
      <c r="C176" s="1946">
        <v>3300</v>
      </c>
      <c r="D176" s="1947" t="s">
        <v>2059</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2603750</v>
      </c>
    </row>
    <row r="179" spans="1:7" ht="12" customHeight="1" x14ac:dyDescent="0.2">
      <c r="A179" s="1792"/>
      <c r="B179" s="1806"/>
      <c r="C179" s="1807"/>
      <c r="D179" s="1808" t="s">
        <v>2012</v>
      </c>
      <c r="E179" s="1809"/>
      <c r="F179" s="1811">
        <f>'PCTC-OEPP 27-28'!F77-F178</f>
        <v>8482613</v>
      </c>
    </row>
    <row r="180" spans="1:7" ht="12" customHeight="1" x14ac:dyDescent="0.2">
      <c r="A180" s="1792"/>
      <c r="B180" s="1806"/>
      <c r="C180" s="1807"/>
      <c r="D180" s="1808" t="s">
        <v>1921</v>
      </c>
      <c r="E180" s="1809"/>
      <c r="F180" s="1811">
        <f>'Cap Outlay Deprec 26'!I18</f>
        <v>465080</v>
      </c>
    </row>
    <row r="181" spans="1:7" ht="12" customHeight="1" x14ac:dyDescent="0.2">
      <c r="A181" s="1792"/>
      <c r="B181" s="1806"/>
      <c r="C181" s="1807"/>
      <c r="D181" s="1808" t="s">
        <v>2013</v>
      </c>
      <c r="E181" s="1809"/>
      <c r="F181" s="1811">
        <f>F179+F180</f>
        <v>8947693</v>
      </c>
    </row>
    <row r="182" spans="1:7" ht="12" customHeight="1" x14ac:dyDescent="0.2">
      <c r="A182" s="1792"/>
      <c r="B182" s="1812"/>
      <c r="C182" s="1807"/>
      <c r="D182" s="1808" t="str">
        <f>D78</f>
        <v>9 Month ADA from District Average Daily Attendance/Prior General State Aid Inquiry 2017-2018</v>
      </c>
      <c r="E182" s="1809"/>
      <c r="F182" s="1813">
        <f>'PCTC-OEPP 27-28'!F78</f>
        <v>1154.69</v>
      </c>
      <c r="G182" s="931"/>
    </row>
    <row r="183" spans="1:7" ht="12" customHeight="1" thickBot="1" x14ac:dyDescent="0.25">
      <c r="A183" s="1792"/>
      <c r="B183" s="1812"/>
      <c r="C183" s="1807"/>
      <c r="D183" s="1808" t="s">
        <v>2014</v>
      </c>
      <c r="E183" s="1809" t="s">
        <v>1626</v>
      </c>
      <c r="F183" s="1814">
        <f>F181/F182</f>
        <v>7749.0001645463281</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B10" sqref="B10"/>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5" t="s">
        <v>1922</v>
      </c>
      <c r="B4" s="2286"/>
      <c r="C4" s="2286"/>
      <c r="D4" s="2286"/>
      <c r="E4" s="2286"/>
      <c r="F4" s="2286"/>
      <c r="G4" s="2287"/>
    </row>
    <row r="5" spans="1:7" x14ac:dyDescent="0.25">
      <c r="A5" s="2288"/>
      <c r="B5" s="2289"/>
      <c r="C5" s="2289"/>
      <c r="D5" s="2289"/>
      <c r="E5" s="2289"/>
      <c r="F5" s="2289"/>
      <c r="G5" s="2290"/>
    </row>
    <row r="6" spans="1:7" ht="18.75" x14ac:dyDescent="0.25">
      <c r="A6" s="1556" t="s">
        <v>1923</v>
      </c>
      <c r="B6" s="1557"/>
      <c r="C6" s="1557"/>
      <c r="D6" s="1557"/>
      <c r="E6" s="1557"/>
      <c r="F6" s="1557"/>
      <c r="G6" s="1558"/>
    </row>
    <row r="7" spans="1:7" ht="30.75" customHeight="1" x14ac:dyDescent="0.25">
      <c r="A7" s="2291" t="s">
        <v>2072</v>
      </c>
      <c r="B7" s="2292"/>
      <c r="C7" s="2292"/>
      <c r="D7" s="2292"/>
      <c r="E7" s="2292"/>
      <c r="F7" s="2292"/>
      <c r="G7" s="2293"/>
    </row>
    <row r="8" spans="1:7" ht="15.75" customHeight="1" x14ac:dyDescent="0.25">
      <c r="A8" s="2294" t="s">
        <v>2021</v>
      </c>
      <c r="B8" s="2295"/>
      <c r="C8" s="2295"/>
      <c r="D8" s="2295"/>
      <c r="E8" s="2295"/>
      <c r="F8" s="2295"/>
      <c r="G8" s="2296"/>
    </row>
    <row r="9" spans="1:7" ht="35.25" customHeight="1" x14ac:dyDescent="0.25">
      <c r="A9" s="2291" t="s">
        <v>2020</v>
      </c>
      <c r="B9" s="2292"/>
      <c r="C9" s="2292"/>
      <c r="D9" s="2292"/>
      <c r="E9" s="2292"/>
      <c r="F9" s="2292"/>
      <c r="G9" s="2293"/>
    </row>
    <row r="10" spans="1:7" ht="15" customHeight="1" x14ac:dyDescent="0.25">
      <c r="A10" s="1559" t="s">
        <v>1924</v>
      </c>
      <c r="B10" s="1560"/>
      <c r="C10" s="1560"/>
      <c r="D10" s="1560"/>
      <c r="E10" s="1560"/>
      <c r="F10" s="1560"/>
      <c r="G10" s="1561"/>
    </row>
    <row r="11" spans="1:7" ht="17.25" customHeight="1" x14ac:dyDescent="0.25">
      <c r="A11" s="2291" t="s">
        <v>1938</v>
      </c>
      <c r="B11" s="2292"/>
      <c r="C11" s="2292"/>
      <c r="D11" s="2292"/>
      <c r="E11" s="2292"/>
      <c r="F11" s="2292"/>
      <c r="G11" s="2293"/>
    </row>
    <row r="12" spans="1:7" ht="15" customHeight="1" x14ac:dyDescent="0.25">
      <c r="A12" s="1559" t="s">
        <v>1929</v>
      </c>
      <c r="B12" s="1560"/>
      <c r="C12" s="1560"/>
      <c r="D12" s="1560"/>
      <c r="E12" s="1560"/>
      <c r="F12" s="1560"/>
      <c r="G12" s="1561"/>
    </row>
    <row r="13" spans="1:7" ht="32.25" customHeight="1" x14ac:dyDescent="0.25">
      <c r="A13" s="2282" t="s">
        <v>1930</v>
      </c>
      <c r="B13" s="2283"/>
      <c r="C13" s="2283"/>
      <c r="D13" s="2283"/>
      <c r="E13" s="2283"/>
      <c r="F13" s="2283"/>
      <c r="G13" s="2284"/>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B10" sqref="B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7" t="s">
        <v>1778</v>
      </c>
      <c r="B5" s="2298"/>
      <c r="C5" s="2298"/>
      <c r="D5" s="2298"/>
      <c r="E5" s="2298"/>
      <c r="F5" s="2298"/>
      <c r="G5" s="229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397140</v>
      </c>
      <c r="F10" s="975"/>
      <c r="G10" s="976"/>
      <c r="H10" s="162"/>
      <c r="I10" s="162"/>
    </row>
    <row r="11" spans="1:9" s="669" customFormat="1" ht="22.5" customHeight="1" x14ac:dyDescent="0.2">
      <c r="A11" s="2302" t="s">
        <v>1942</v>
      </c>
      <c r="B11" s="2303"/>
      <c r="C11" s="2303"/>
      <c r="D11" s="2304"/>
      <c r="E11" s="978">
        <v>63377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5514125</v>
      </c>
      <c r="F19" s="1822"/>
      <c r="G19" s="1824">
        <f>'Expenditures 15-22'!K33-SUM('Expenditures 15-22'!G33,'Expenditures 15-22'!I33)+'Expenditures 15-22'!D229</f>
        <v>5514125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320913</v>
      </c>
      <c r="F21" s="1825"/>
      <c r="G21" s="1828">
        <f>'Expenditures 15-22'!K42-SUM('Expenditures 15-22'!G42,'Expenditures 15-22'!I42)+'Expenditures 15-22'!K120-SUM('Expenditures 15-22'!G120,'Expenditures 15-22'!I120)+'Expenditures 15-22'!K180-SUM('Expenditures 15-22'!G180,'Expenditures 15-22'!I180)+'Expenditures 15-22'!D238</f>
        <v>320913</v>
      </c>
      <c r="H21" s="988"/>
      <c r="I21" s="162"/>
    </row>
    <row r="22" spans="1:9" s="669" customFormat="1" ht="12" customHeight="1" x14ac:dyDescent="0.2">
      <c r="A22" s="995" t="s">
        <v>585</v>
      </c>
      <c r="B22" s="996"/>
      <c r="C22" s="994">
        <v>2200</v>
      </c>
      <c r="D22" s="1825"/>
      <c r="E22" s="1827">
        <f>'Expenditures 15-22'!K47-SUM('Expenditures 15-22'!G47,'Expenditures 15-22'!I47)+'Expenditures 15-22'!D243</f>
        <v>482449</v>
      </c>
      <c r="F22" s="1825"/>
      <c r="G22" s="1828">
        <f>'Expenditures 15-22'!K47-SUM('Expenditures 15-22'!G47,'Expenditures 15-22'!I47)+'Expenditures 15-22'!D243</f>
        <v>482449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1125175</v>
      </c>
      <c r="F23" s="1825"/>
      <c r="G23" s="1827">
        <f>'Expenditures 15-22'!K53-SUM('Expenditures 15-22'!G53,'Expenditures 15-22'!I53)+'Expenditures 15-22'!D257+'Expenditures 15-22'!K330-SUM('Expenditures 15-22'!G330,'Expenditures 15-22'!I330)</f>
        <v>1125175</v>
      </c>
      <c r="H23" s="988"/>
      <c r="I23" s="162"/>
    </row>
    <row r="24" spans="1:9" s="669" customFormat="1" ht="12" customHeight="1" x14ac:dyDescent="0.2">
      <c r="A24" s="995" t="s">
        <v>587</v>
      </c>
      <c r="B24" s="996"/>
      <c r="C24" s="994">
        <v>2400</v>
      </c>
      <c r="D24" s="1825"/>
      <c r="E24" s="1827">
        <f>'Expenditures 15-22'!K57-SUM('Expenditures 15-22'!G57,'Expenditures 15-22'!I57)+'Expenditures 15-22'!D261</f>
        <v>799450</v>
      </c>
      <c r="F24" s="1825"/>
      <c r="G24" s="1828">
        <f>'Expenditures 15-22'!K57-SUM('Expenditures 15-22'!G57,'Expenditures 15-22'!I57)+'Expenditures 15-22'!D261</f>
        <v>799450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105406</v>
      </c>
      <c r="E27" s="1827">
        <f>E8</f>
        <v>0</v>
      </c>
      <c r="F27" s="1827">
        <f>'Expenditures 15-22'!K60-SUM('Expenditures 15-22'!G60,'Expenditures 15-22'!I60)+'Expenditures 15-22'!D264-E8</f>
        <v>105406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1316362</v>
      </c>
      <c r="F28" s="1829">
        <f>'Expenditures 15-22'!K61-SUM('Expenditures 15-22'!G61,'Expenditures 15-22'!I61)+'Expenditures 15-22'!K124-SUM('Expenditures 15-22'!G124,'Expenditures 15-22'!I124)+'Expenditures 15-22'!D266-E9</f>
        <v>1316362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842508</v>
      </c>
      <c r="F29" s="1825"/>
      <c r="G29" s="1828">
        <f>'Expenditures 15-22'!K62-SUM('Expenditures 15-22'!G62,'Expenditures 15-22'!I62)+'Expenditures 15-22'!K125-SUM('Expenditures 15-22'!G125,'Expenditures 15-22'!I125)+'Expenditures 15-22'!K182-SUM('Expenditures 15-22'!G182,'Expenditures 15-22'!I182)+'Expenditures 15-22'!D267</f>
        <v>842508</v>
      </c>
      <c r="H29" s="986"/>
    </row>
    <row r="30" spans="1:9" ht="12" customHeight="1" x14ac:dyDescent="0.2">
      <c r="A30" s="995" t="s">
        <v>102</v>
      </c>
      <c r="B30" s="998"/>
      <c r="C30" s="994">
        <v>2560</v>
      </c>
      <c r="D30" s="1825"/>
      <c r="E30" s="1827">
        <f>'Expenditures 15-22'!K63-SUM('Expenditures 15-22'!G63,'Expenditures 15-22'!I63)+'Expenditures 15-22'!D268-E10</f>
        <v>342771</v>
      </c>
      <c r="F30" s="1825"/>
      <c r="G30" s="1827">
        <f>'Expenditures 15-22'!K63-SUM('Expenditures 15-22'!G63,'Expenditures 15-22'!I63)+'Expenditures 15-22'!D268-E10</f>
        <v>342771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793</v>
      </c>
      <c r="F38" s="1825"/>
      <c r="G38" s="1827">
        <f>'Expenditures 15-22'!K73-SUM('Expenditures 15-22'!G73,'Expenditures 15-22'!I73)+'Expenditures 15-22'!K128-SUM('Expenditures 15-22'!G128,'Expenditures 15-22'!I128)+'Expenditures 15-22'!K183-SUM('Expenditures 15-22'!G183,'Expenditures 15-22'!I183)+'Expenditures 15-22'!D278</f>
        <v>793</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31799</v>
      </c>
      <c r="F39" s="1825"/>
      <c r="G39" s="1827">
        <f>'Expenditures 15-22'!K75-SUM('Expenditures 15-22'!G75,'Expenditures 15-22'!I75)+'Expenditures 15-22'!K130-SUM('Expenditures 15-22'!G130,'Expenditures 15-22'!I130)+'Expenditures 15-22'!K185-SUM('Expenditures 15-22'!G185,'Expenditures 15-22'!I185)+'Expenditures 15-22'!D280</f>
        <v>31799</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105406</v>
      </c>
      <c r="E41" s="1829">
        <f>SUM(E19:E40)</f>
        <v>10776345</v>
      </c>
      <c r="F41" s="1829">
        <f>SUM(F19:F39)</f>
        <v>1421768</v>
      </c>
      <c r="G41" s="1829">
        <f>SUM(G19:G40)</f>
        <v>9459983</v>
      </c>
    </row>
    <row r="42" spans="1:7" x14ac:dyDescent="0.2">
      <c r="A42" s="988"/>
      <c r="B42" s="162"/>
      <c r="C42" s="1002"/>
      <c r="D42" s="2300" t="s">
        <v>543</v>
      </c>
      <c r="E42" s="2301"/>
      <c r="F42" s="1003" t="s">
        <v>544</v>
      </c>
      <c r="G42" s="1004"/>
    </row>
    <row r="43" spans="1:7" ht="12" customHeight="1" x14ac:dyDescent="0.2">
      <c r="A43" s="988"/>
      <c r="B43" s="162"/>
      <c r="C43" s="1002"/>
      <c r="D43" s="1830" t="s">
        <v>493</v>
      </c>
      <c r="E43" s="1831">
        <f>D41</f>
        <v>105406</v>
      </c>
      <c r="F43" s="1830" t="s">
        <v>495</v>
      </c>
      <c r="G43" s="1831">
        <f>F41</f>
        <v>1421768</v>
      </c>
    </row>
    <row r="44" spans="1:7" ht="12" customHeight="1" x14ac:dyDescent="0.2">
      <c r="A44" s="988"/>
      <c r="B44" s="162"/>
      <c r="C44" s="1002"/>
      <c r="D44" s="1830" t="s">
        <v>494</v>
      </c>
      <c r="E44" s="1831">
        <f>E41</f>
        <v>10776345</v>
      </c>
      <c r="F44" s="1830" t="s">
        <v>494</v>
      </c>
      <c r="G44" s="1831">
        <f>G41</f>
        <v>9459983</v>
      </c>
    </row>
    <row r="45" spans="1:7" ht="12" customHeight="1" x14ac:dyDescent="0.2">
      <c r="A45" s="988"/>
      <c r="B45" s="162"/>
      <c r="C45" s="162"/>
      <c r="D45" s="1832" t="s">
        <v>1063</v>
      </c>
      <c r="E45" s="1833">
        <f>(E43/E44)</f>
        <v>9.781238444017893E-3</v>
      </c>
      <c r="F45" s="1832" t="s">
        <v>1063</v>
      </c>
      <c r="G45" s="1833">
        <f>(G43/G44)</f>
        <v>0.15029287050515841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B10" sqref="B10"/>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9" t="s">
        <v>1446</v>
      </c>
      <c r="B1" s="2319"/>
      <c r="C1" s="2319"/>
      <c r="D1" s="2319"/>
      <c r="E1" s="2319"/>
      <c r="F1" s="2319"/>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0" t="s">
        <v>1627</v>
      </c>
      <c r="B5" s="2321"/>
      <c r="C5" s="2322"/>
      <c r="D5" s="2322"/>
      <c r="E5" s="2322"/>
      <c r="F5" s="2322"/>
    </row>
    <row r="6" spans="1:10" ht="12" customHeight="1" x14ac:dyDescent="0.25">
      <c r="A6" s="1875"/>
      <c r="B6" s="1876"/>
      <c r="C6" s="2323" t="str">
        <f>COVER!A17</f>
        <v>North Mac CUSD 34</v>
      </c>
      <c r="D6" s="2323"/>
      <c r="E6" s="2323"/>
      <c r="F6" s="1877"/>
    </row>
    <row r="7" spans="1:10" ht="11.25" customHeight="1" thickBot="1" x14ac:dyDescent="0.3">
      <c r="A7" s="1875"/>
      <c r="B7" s="1876"/>
      <c r="C7" s="2324">
        <f>COVER!A13</f>
        <v>40056034026</v>
      </c>
      <c r="D7" s="2324"/>
      <c r="E7" s="2324"/>
      <c r="F7" s="1877"/>
    </row>
    <row r="8" spans="1:10" ht="25.5" customHeight="1" thickBot="1" x14ac:dyDescent="0.25">
      <c r="A8" s="1918" t="s">
        <v>2022</v>
      </c>
      <c r="B8" s="1878" t="s">
        <v>2074</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8"/>
      <c r="B39" s="1898"/>
      <c r="C39" s="1898"/>
      <c r="D39" s="1898"/>
      <c r="E39" s="1898"/>
      <c r="F39" s="1898"/>
    </row>
    <row r="40" spans="1:11" s="1895" customFormat="1" ht="12" customHeight="1" x14ac:dyDescent="0.25">
      <c r="A40" s="1899" t="s">
        <v>1458</v>
      </c>
      <c r="B40" s="1900"/>
      <c r="C40" s="2314"/>
      <c r="D40" s="2314"/>
      <c r="E40" s="2314"/>
      <c r="F40" s="2315"/>
      <c r="H40" s="1904"/>
      <c r="I40" s="1904"/>
      <c r="J40" s="1904"/>
      <c r="K40" s="1904"/>
    </row>
    <row r="41" spans="1:11" s="1895" customFormat="1" ht="12" customHeight="1" x14ac:dyDescent="0.25">
      <c r="A41" s="2316"/>
      <c r="B41" s="2317"/>
      <c r="C41" s="2317"/>
      <c r="D41" s="2317"/>
      <c r="E41" s="2317"/>
      <c r="F41" s="2318"/>
      <c r="H41" s="1904"/>
      <c r="I41" s="1904"/>
      <c r="J41" s="1904"/>
      <c r="K41" s="1904"/>
    </row>
    <row r="42" spans="1:11" s="1895" customFormat="1" ht="12" customHeight="1" x14ac:dyDescent="0.25">
      <c r="A42" s="2316"/>
      <c r="B42" s="2317"/>
      <c r="C42" s="2317"/>
      <c r="D42" s="2317"/>
      <c r="E42" s="2317"/>
      <c r="F42" s="2318"/>
      <c r="H42" s="1904"/>
      <c r="I42" s="1904"/>
      <c r="J42" s="1904"/>
      <c r="K42" s="1904"/>
    </row>
    <row r="43" spans="1:11" s="1895" customFormat="1" ht="15" x14ac:dyDescent="0.25">
      <c r="A43" s="2305"/>
      <c r="B43" s="2306"/>
      <c r="C43" s="2306"/>
      <c r="D43" s="2306"/>
      <c r="E43" s="2306"/>
      <c r="F43" s="2307"/>
      <c r="H43" s="1904"/>
      <c r="I43" s="1904"/>
      <c r="J43" s="1904"/>
      <c r="K43" s="1904"/>
    </row>
    <row r="44" spans="1:11" s="1895" customFormat="1" ht="12" hidden="1" customHeight="1" x14ac:dyDescent="0.25">
      <c r="A44" s="2305"/>
      <c r="B44" s="2306"/>
      <c r="C44" s="2306"/>
      <c r="D44" s="2306"/>
      <c r="E44" s="2306"/>
      <c r="F44" s="230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10" sqref="B1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2" t="str">
        <f>COVER!A17</f>
        <v>North Mac CUSD 34</v>
      </c>
      <c r="J6" s="2333"/>
      <c r="Q6" s="1686"/>
    </row>
    <row r="7" spans="1:17" x14ac:dyDescent="0.2">
      <c r="A7" s="2334" t="s">
        <v>924</v>
      </c>
      <c r="B7" s="2335"/>
      <c r="C7" s="2335"/>
      <c r="D7" s="2335"/>
      <c r="E7" s="2336"/>
      <c r="F7" s="1018"/>
      <c r="G7" s="1010"/>
      <c r="H7" s="1017" t="s">
        <v>390</v>
      </c>
      <c r="I7" s="2337">
        <f>COVER!A13</f>
        <v>40056034026</v>
      </c>
      <c r="J7" s="233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8" t="s">
        <v>502</v>
      </c>
      <c r="B11" s="2339"/>
      <c r="C11" s="234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296848</v>
      </c>
      <c r="F12" s="1040"/>
      <c r="G12" s="1834">
        <f t="shared" ref="G12:G18" si="0">SUM(E12:F12)</f>
        <v>296848</v>
      </c>
      <c r="H12" s="1041">
        <v>228720</v>
      </c>
      <c r="I12" s="1040"/>
      <c r="J12" s="1834">
        <f t="shared" ref="J12:J18" si="1">SUM(H12:I12)</f>
        <v>228720</v>
      </c>
    </row>
    <row r="13" spans="1:17" ht="15" customHeight="1" x14ac:dyDescent="0.2">
      <c r="A13" s="1036">
        <v>2</v>
      </c>
      <c r="B13" s="1037" t="s">
        <v>44</v>
      </c>
      <c r="C13" s="1038"/>
      <c r="D13" s="1039">
        <v>2330</v>
      </c>
      <c r="E13" s="1834">
        <f>'Expenditures 15-22'!K51</f>
        <v>19304</v>
      </c>
      <c r="F13" s="1040"/>
      <c r="G13" s="1834">
        <f t="shared" si="0"/>
        <v>19304</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1" t="s">
        <v>7</v>
      </c>
      <c r="C18" s="2342"/>
      <c r="D18" s="234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316152</v>
      </c>
      <c r="F19" s="1836">
        <f t="shared" si="2"/>
        <v>0</v>
      </c>
      <c r="G19" s="1836">
        <f t="shared" si="2"/>
        <v>316152</v>
      </c>
      <c r="H19" s="1836">
        <f t="shared" si="2"/>
        <v>228720</v>
      </c>
      <c r="I19" s="1836">
        <f t="shared" si="2"/>
        <v>0</v>
      </c>
      <c r="J19" s="1836">
        <f t="shared" si="2"/>
        <v>228720</v>
      </c>
    </row>
    <row r="20" spans="1:10" ht="13.5" thickTop="1" x14ac:dyDescent="0.2">
      <c r="A20" s="1036">
        <v>9</v>
      </c>
      <c r="B20" s="2344" t="s">
        <v>1703</v>
      </c>
      <c r="C20" s="2344"/>
      <c r="D20" s="2345"/>
      <c r="E20" s="1047"/>
      <c r="F20" s="1047"/>
      <c r="G20" s="1047"/>
      <c r="H20" s="1047"/>
      <c r="I20" s="1047"/>
      <c r="J20" s="1837">
        <f>IF(AND(G19&gt;0,J19&gt;0),(((J19-G19)/G19)),"Enter Budget Data")</f>
        <v>-0.27655052000303654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0"/>
      <c r="D26" s="2350"/>
      <c r="E26" s="1051"/>
      <c r="F26" s="2349"/>
      <c r="G26" s="2349"/>
    </row>
    <row r="27" spans="1:10" x14ac:dyDescent="0.2">
      <c r="B27" s="1048"/>
      <c r="C27" s="1052" t="s">
        <v>1093</v>
      </c>
      <c r="D27" s="1053"/>
      <c r="E27" s="1054"/>
      <c r="F27" s="2346" t="s">
        <v>1589</v>
      </c>
      <c r="G27" s="2346"/>
    </row>
    <row r="28" spans="1:10" ht="28.5" customHeight="1" x14ac:dyDescent="0.2">
      <c r="B28" s="1048"/>
      <c r="C28" s="2348"/>
      <c r="D28" s="2348"/>
      <c r="E28" s="1055"/>
      <c r="F28" s="2348"/>
      <c r="G28" s="2348"/>
    </row>
    <row r="29" spans="1:10" x14ac:dyDescent="0.2">
      <c r="B29" s="1048"/>
      <c r="C29" s="1056" t="s">
        <v>1642</v>
      </c>
      <c r="E29" s="1057"/>
      <c r="F29" s="2347" t="s">
        <v>1590</v>
      </c>
      <c r="G29" s="234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3"/>
    </row>
    <row r="36" spans="1:10" ht="13.5" customHeight="1" x14ac:dyDescent="0.2">
      <c r="B36" s="1062"/>
      <c r="C36" s="2331" t="s">
        <v>1941</v>
      </c>
      <c r="D36" s="2330"/>
      <c r="E36" s="2330"/>
      <c r="F36" s="2330"/>
      <c r="G36" s="2330"/>
      <c r="H36" s="2330"/>
      <c r="I36" s="2330"/>
      <c r="J36" s="1064"/>
    </row>
    <row r="37" spans="1:10" ht="22.5" customHeight="1" x14ac:dyDescent="0.2">
      <c r="C37" s="2330"/>
      <c r="D37" s="2330"/>
      <c r="E37" s="2330"/>
      <c r="F37" s="2330"/>
      <c r="G37" s="2330"/>
      <c r="H37" s="2330"/>
      <c r="I37" s="2330"/>
      <c r="J37" s="1064"/>
    </row>
    <row r="38" spans="1:10" ht="7.5" customHeight="1" x14ac:dyDescent="0.2">
      <c r="C38" s="1063"/>
      <c r="D38" s="1065"/>
      <c r="E38" s="1066"/>
      <c r="F38" s="1067"/>
      <c r="G38" s="1066"/>
    </row>
    <row r="39" spans="1:10" ht="13.5" customHeight="1" x14ac:dyDescent="0.2">
      <c r="B39" s="1062"/>
      <c r="C39" s="2327" t="s">
        <v>937</v>
      </c>
      <c r="D39" s="2328"/>
      <c r="E39" s="2328"/>
      <c r="F39" s="2328"/>
      <c r="G39" s="2328"/>
      <c r="H39" s="2328"/>
      <c r="I39" s="232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23" sqref="B2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c r="B5" s="329" t="s">
        <v>2104</v>
      </c>
    </row>
    <row r="6" spans="1:2" x14ac:dyDescent="0.2">
      <c r="A6" s="1069">
        <v>1</v>
      </c>
      <c r="B6" s="329" t="s">
        <v>2105</v>
      </c>
    </row>
    <row r="7" spans="1:2" x14ac:dyDescent="0.2">
      <c r="A7" s="1069">
        <v>2</v>
      </c>
      <c r="B7" s="329" t="s">
        <v>2106</v>
      </c>
    </row>
    <row r="8" spans="1:2" x14ac:dyDescent="0.2">
      <c r="A8" s="1069">
        <v>3</v>
      </c>
      <c r="B8" s="329" t="s">
        <v>2107</v>
      </c>
    </row>
    <row r="9" spans="1:2" x14ac:dyDescent="0.2">
      <c r="A9" s="1070">
        <v>4</v>
      </c>
      <c r="B9" s="329" t="s">
        <v>2108</v>
      </c>
    </row>
    <row r="10" spans="1:2" x14ac:dyDescent="0.2">
      <c r="A10" s="1070">
        <v>5</v>
      </c>
      <c r="B10" s="329" t="s">
        <v>2176</v>
      </c>
    </row>
    <row r="11" spans="1:2" x14ac:dyDescent="0.2">
      <c r="A11" s="1070"/>
    </row>
    <row r="12" spans="1:2" x14ac:dyDescent="0.2">
      <c r="A12" s="1070"/>
      <c r="B12" s="329" t="s">
        <v>2109</v>
      </c>
    </row>
    <row r="13" spans="1:2" x14ac:dyDescent="0.2">
      <c r="A13" s="1070">
        <v>1</v>
      </c>
      <c r="B13" s="329" t="s">
        <v>2110</v>
      </c>
    </row>
    <row r="14" spans="1:2" x14ac:dyDescent="0.2">
      <c r="A14" s="1070"/>
    </row>
    <row r="15" spans="1:2" x14ac:dyDescent="0.2">
      <c r="A15" s="1070"/>
      <c r="B15" s="329" t="s">
        <v>2111</v>
      </c>
    </row>
    <row r="16" spans="1:2" x14ac:dyDescent="0.2">
      <c r="A16" s="1070">
        <v>1</v>
      </c>
      <c r="B16" s="329" t="s">
        <v>2112</v>
      </c>
    </row>
    <row r="17" spans="1:2" x14ac:dyDescent="0.2">
      <c r="A17" s="1070"/>
    </row>
    <row r="18" spans="1:2" x14ac:dyDescent="0.2">
      <c r="A18" s="1070"/>
      <c r="B18" s="329" t="s">
        <v>2113</v>
      </c>
    </row>
    <row r="19" spans="1:2" x14ac:dyDescent="0.2">
      <c r="A19" s="1070">
        <v>1</v>
      </c>
      <c r="B19" s="329" t="s">
        <v>2114</v>
      </c>
    </row>
    <row r="20" spans="1:2" x14ac:dyDescent="0.2">
      <c r="A20" s="1070"/>
    </row>
    <row r="21" spans="1:2" x14ac:dyDescent="0.2">
      <c r="A21" s="1070"/>
      <c r="B21" s="329" t="s">
        <v>2177</v>
      </c>
    </row>
    <row r="22" spans="1:2" x14ac:dyDescent="0.2">
      <c r="A22" s="1070">
        <v>1</v>
      </c>
      <c r="B22" s="329" t="s">
        <v>2178</v>
      </c>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North Mac CUSD 34</v>
      </c>
    </row>
    <row r="66" spans="1:2" x14ac:dyDescent="0.2">
      <c r="B66" s="1071">
        <f>COVER!A13</f>
        <v>40056034026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10" sqref="B1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B10" sqref="B1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1" t="s">
        <v>1784</v>
      </c>
      <c r="B18" s="2351"/>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3" zoomScale="110" zoomScaleNormal="110" workbookViewId="0">
      <selection activeCell="B10" sqref="B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5"/>
      <c r="H2" s="1075"/>
    </row>
    <row r="3" spans="1:8" ht="57" customHeight="1" x14ac:dyDescent="0.2">
      <c r="A3" s="2365" t="s">
        <v>1786</v>
      </c>
      <c r="B3" s="2366"/>
      <c r="C3" s="2366"/>
      <c r="D3" s="2366"/>
      <c r="E3" s="2366"/>
      <c r="F3" s="2367"/>
      <c r="G3" s="1075"/>
      <c r="H3" s="1075"/>
    </row>
    <row r="4" spans="1:8" ht="14.25" customHeight="1" x14ac:dyDescent="0.2">
      <c r="A4" s="2371" t="s">
        <v>2053</v>
      </c>
      <c r="B4" s="2372"/>
      <c r="C4" s="2372"/>
      <c r="D4" s="2372"/>
      <c r="E4" s="2372"/>
      <c r="F4" s="2373"/>
      <c r="G4" s="1075"/>
      <c r="H4" s="1075"/>
    </row>
    <row r="5" spans="1:8" ht="14.25" customHeight="1" x14ac:dyDescent="0.2">
      <c r="A5" s="2374" t="s">
        <v>2054</v>
      </c>
      <c r="B5" s="2375"/>
      <c r="C5" s="2375"/>
      <c r="D5" s="2375"/>
      <c r="E5" s="2375"/>
      <c r="F5" s="2376"/>
      <c r="G5" s="1075"/>
      <c r="H5" s="1075"/>
    </row>
    <row r="6" spans="1:8" s="1076" customFormat="1" ht="41.25" customHeight="1" x14ac:dyDescent="0.2">
      <c r="A6" s="2368" t="s">
        <v>1792</v>
      </c>
      <c r="B6" s="2369"/>
      <c r="C6" s="2369"/>
      <c r="D6" s="2369"/>
      <c r="E6" s="2369"/>
      <c r="F6" s="237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11307861</v>
      </c>
      <c r="C8" s="1838">
        <f>'Acct Summary 7-8'!D8</f>
        <v>1056240</v>
      </c>
      <c r="D8" s="1838">
        <f>'Acct Summary 7-8'!F8</f>
        <v>1236598</v>
      </c>
      <c r="E8" s="1838">
        <f>'Acct Summary 7-8'!I8</f>
        <v>61273</v>
      </c>
      <c r="F8" s="1838">
        <f>SUM(B8:E8)</f>
        <v>13661972</v>
      </c>
    </row>
    <row r="9" spans="1:8" s="1080" customFormat="1" ht="14.25" customHeight="1" thickBot="1" x14ac:dyDescent="0.25">
      <c r="A9" s="1079" t="s">
        <v>1436</v>
      </c>
      <c r="B9" s="1839">
        <f>'Acct Summary 7-8'!C17</f>
        <v>9568868</v>
      </c>
      <c r="C9" s="1839">
        <f>'Acct Summary 7-8'!D17</f>
        <v>1214879</v>
      </c>
      <c r="D9" s="1839">
        <f>'Acct Summary 7-8'!F17</f>
        <v>791940</v>
      </c>
      <c r="E9" s="1838"/>
      <c r="F9" s="1838">
        <f>SUM(B9:E9)</f>
        <v>11575687</v>
      </c>
    </row>
    <row r="10" spans="1:8" s="1080" customFormat="1" ht="14.25" thickTop="1" thickBot="1" x14ac:dyDescent="0.25">
      <c r="A10" s="1081" t="s">
        <v>1437</v>
      </c>
      <c r="B10" s="1840">
        <f>(B8-B9)</f>
        <v>1738993</v>
      </c>
      <c r="C10" s="1840">
        <f>(C8-C9)</f>
        <v>-158639</v>
      </c>
      <c r="D10" s="1840">
        <f>(D8-D9)</f>
        <v>444658</v>
      </c>
      <c r="E10" s="1839">
        <f>(E8-E9)</f>
        <v>61273</v>
      </c>
      <c r="F10" s="1841">
        <f>SUM(F8-F9)</f>
        <v>2086285</v>
      </c>
    </row>
    <row r="11" spans="1:8" s="1080" customFormat="1" ht="14.25" thickTop="1" thickBot="1" x14ac:dyDescent="0.25">
      <c r="A11" s="1082" t="s">
        <v>1785</v>
      </c>
      <c r="B11" s="1842">
        <f>'Acct Summary 7-8'!C81</f>
        <v>5762844</v>
      </c>
      <c r="C11" s="1842">
        <f>'Acct Summary 7-8'!D81</f>
        <v>79226</v>
      </c>
      <c r="D11" s="1842">
        <f>'Acct Summary 7-8'!F81</f>
        <v>747439</v>
      </c>
      <c r="E11" s="1842">
        <f>'Acct Summary 7-8'!I81</f>
        <v>352774</v>
      </c>
      <c r="F11" s="1843">
        <f>SUM(B11:E11)</f>
        <v>6942283</v>
      </c>
    </row>
    <row r="12" spans="1:8" ht="16.5" customHeight="1" thickTop="1" x14ac:dyDescent="0.2">
      <c r="A12" s="1083"/>
      <c r="B12" s="1084"/>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5"/>
      <c r="B13" s="1086"/>
      <c r="C13" s="2356"/>
      <c r="D13" s="2357"/>
      <c r="E13" s="2357"/>
      <c r="F13" s="2358"/>
      <c r="H13" s="1075"/>
    </row>
    <row r="14" spans="1:8" ht="19.5" customHeight="1" x14ac:dyDescent="0.2">
      <c r="A14" s="1085"/>
      <c r="B14" s="1086"/>
      <c r="C14" s="2356"/>
      <c r="D14" s="2357"/>
      <c r="E14" s="2357"/>
      <c r="F14" s="2358"/>
      <c r="H14" s="1075"/>
    </row>
    <row r="15" spans="1:8" ht="17.25" customHeight="1" x14ac:dyDescent="0.2">
      <c r="A15" s="1085"/>
      <c r="B15" s="1086"/>
      <c r="C15" s="2359"/>
      <c r="D15" s="2360"/>
      <c r="E15" s="2360"/>
      <c r="F15" s="2361"/>
      <c r="H15" s="1075"/>
    </row>
    <row r="16" spans="1:8" s="310" customFormat="1" ht="51.75" hidden="1" customHeight="1" x14ac:dyDescent="0.2">
      <c r="A16" s="2355" t="s">
        <v>1787</v>
      </c>
      <c r="B16" s="2355"/>
      <c r="C16" s="2355"/>
      <c r="D16" s="2355"/>
      <c r="E16" s="235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7" t="s">
        <v>686</v>
      </c>
      <c r="B3" s="2378"/>
      <c r="C3" s="2378"/>
      <c r="D3" s="2379"/>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8" t="s">
        <v>1584</v>
      </c>
      <c r="D7" s="2389"/>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0" t="s">
        <v>1065</v>
      </c>
      <c r="B15" s="2381"/>
      <c r="C15" s="2381"/>
      <c r="D15" s="2382"/>
    </row>
    <row r="16" spans="1:4" s="669" customFormat="1" ht="24" customHeight="1" x14ac:dyDescent="0.2">
      <c r="A16" s="2383" t="s">
        <v>684</v>
      </c>
      <c r="B16" s="2384"/>
      <c r="C16" s="2384"/>
      <c r="D16" s="238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2" t="s">
        <v>332</v>
      </c>
      <c r="D21" s="2393"/>
    </row>
    <row r="22" spans="1:10" ht="12.75" x14ac:dyDescent="0.2">
      <c r="A22" s="1140"/>
      <c r="B22" s="1141">
        <v>2</v>
      </c>
      <c r="C22" s="2390" t="s">
        <v>1605</v>
      </c>
      <c r="D22" s="239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4" t="s">
        <v>557</v>
      </c>
      <c r="D43" s="239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6" t="s">
        <v>817</v>
      </c>
      <c r="D56" s="238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ERROR!</v>
      </c>
    </row>
    <row r="69" spans="1:4" x14ac:dyDescent="0.2">
      <c r="A69" s="1101"/>
      <c r="B69" s="1111"/>
      <c r="C69" s="1103" t="s">
        <v>2049</v>
      </c>
      <c r="D69" s="1125" t="str">
        <f>IF('Expenditures 15-22'!H170&lt;&gt;'Short-Term Long-Term Debt 24'!H49,"ERROR!","OK")</f>
        <v>ERROR!</v>
      </c>
    </row>
    <row r="70" spans="1:4" x14ac:dyDescent="0.2">
      <c r="A70" s="1099"/>
      <c r="B70" s="1121">
        <f>B66+1</f>
        <v>9</v>
      </c>
      <c r="C70" s="2386" t="s">
        <v>1797</v>
      </c>
      <c r="D70" s="238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40056034026</v>
      </c>
    </row>
    <row r="3" spans="1:2" x14ac:dyDescent="0.2">
      <c r="A3" t="s">
        <v>1013</v>
      </c>
      <c r="B3" s="138" t="str">
        <f>COVER!A15</f>
        <v>MACOUPIN</v>
      </c>
    </row>
    <row r="4" spans="1:2" x14ac:dyDescent="0.2">
      <c r="A4" t="s">
        <v>1064</v>
      </c>
      <c r="B4" s="138" t="str">
        <f>COVER!A17</f>
        <v>North Mac CUSD 34</v>
      </c>
    </row>
    <row r="5" spans="1:2" x14ac:dyDescent="0.2">
      <c r="A5" t="s">
        <v>728</v>
      </c>
      <c r="B5" s="138" t="str">
        <f>COVER!A38</f>
        <v>JAY GOBLE</v>
      </c>
    </row>
    <row r="6" spans="1:2" x14ac:dyDescent="0.2">
      <c r="A6" t="s">
        <v>733</v>
      </c>
      <c r="B6" s="138">
        <f>COVER!P35</f>
        <v>0</v>
      </c>
    </row>
    <row r="7" spans="1:2" x14ac:dyDescent="0.2">
      <c r="A7" t="s">
        <v>729</v>
      </c>
      <c r="B7" s="138">
        <f>COVER!I38</f>
        <v>0</v>
      </c>
    </row>
    <row r="8" spans="1:2" x14ac:dyDescent="0.2">
      <c r="A8" t="s">
        <v>730</v>
      </c>
      <c r="B8" s="138" t="str">
        <f>COVER!T38</f>
        <v>MICHELLE MUELLER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066-004886</v>
      </c>
    </row>
    <row r="16" spans="1:2" x14ac:dyDescent="0.2">
      <c r="A16" t="s">
        <v>442</v>
      </c>
      <c r="B16" s="138" t="str">
        <f>COVER!T13</f>
        <v xml:space="preserve">LOY MILLER TALLEY, PC </v>
      </c>
    </row>
    <row r="17" spans="1:2" x14ac:dyDescent="0.2">
      <c r="A17" t="s">
        <v>939</v>
      </c>
      <c r="B17" s="138" t="str">
        <f>COVER!T15</f>
        <v>KENNETH E. LOY</v>
      </c>
    </row>
    <row r="18" spans="1:2" x14ac:dyDescent="0.2">
      <c r="A18" t="s">
        <v>1212</v>
      </c>
      <c r="B18" s="138" t="str">
        <f>COVER!T17</f>
        <v>#2 CROSSROADS  COURT</v>
      </c>
    </row>
    <row r="19" spans="1:2" x14ac:dyDescent="0.2">
      <c r="A19" t="s">
        <v>941</v>
      </c>
      <c r="B19" s="138" t="str">
        <f>COVER!T25</f>
        <v>KEN@LMTCPAS.COM</v>
      </c>
    </row>
    <row r="20" spans="1:2" x14ac:dyDescent="0.2">
      <c r="A20" t="s">
        <v>942</v>
      </c>
      <c r="B20" s="138" t="str">
        <f>COVER!T19</f>
        <v>ALTON</v>
      </c>
    </row>
    <row r="21" spans="1:2" x14ac:dyDescent="0.2">
      <c r="A21" t="s">
        <v>500</v>
      </c>
      <c r="B21" s="138" t="str">
        <f>COVER!X19</f>
        <v>IL</v>
      </c>
    </row>
    <row r="22" spans="1:2" x14ac:dyDescent="0.2">
      <c r="A22" t="s">
        <v>943</v>
      </c>
      <c r="B22" s="138">
        <f>COVER!Z19</f>
        <v>62002</v>
      </c>
    </row>
    <row r="23" spans="1:2" x14ac:dyDescent="0.2">
      <c r="A23" t="s">
        <v>1214</v>
      </c>
      <c r="B23" s="138" t="str">
        <f>COVER!T21</f>
        <v>618-465-1196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35374</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5762844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5762844</v>
      </c>
      <c r="D92" s="2" t="str">
        <f t="shared" si="0"/>
        <v>Error?</v>
      </c>
    </row>
    <row r="93" spans="1:4" x14ac:dyDescent="0.2">
      <c r="A93" s="5">
        <v>32</v>
      </c>
      <c r="B93" s="138">
        <f>'Assets-Liab 5-6'!C41</f>
        <v>5762844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79226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79226</v>
      </c>
      <c r="D123" s="2" t="str">
        <f t="shared" si="0"/>
        <v>Error?</v>
      </c>
    </row>
    <row r="124" spans="1:4" x14ac:dyDescent="0.2">
      <c r="A124" s="5">
        <v>63</v>
      </c>
      <c r="B124" s="138">
        <f>'Assets-Liab 5-6'!D41</f>
        <v>79226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493819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493819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747439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747439</v>
      </c>
      <c r="D170" s="2" t="str">
        <f t="shared" si="1"/>
        <v>Error?</v>
      </c>
    </row>
    <row r="171" spans="1:4" x14ac:dyDescent="0.2">
      <c r="A171" s="5">
        <v>110</v>
      </c>
      <c r="B171" s="138">
        <f>'Assets-Liab 5-6'!F41</f>
        <v>747439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305943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305943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538784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538784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403128</v>
      </c>
      <c r="D273" s="2" t="str">
        <f t="shared" si="3"/>
        <v>Error?</v>
      </c>
    </row>
    <row r="274" spans="1:4" x14ac:dyDescent="0.2">
      <c r="A274" s="5">
        <v>213</v>
      </c>
      <c r="B274" s="138">
        <f>'Assets-Liab 5-6'!M17</f>
        <v>15901907</v>
      </c>
      <c r="D274" s="2" t="str">
        <f t="shared" si="3"/>
        <v>Error?</v>
      </c>
    </row>
    <row r="275" spans="1:4" x14ac:dyDescent="0.2">
      <c r="A275" s="5">
        <v>214</v>
      </c>
      <c r="B275" s="138">
        <f>'Assets-Liab 5-6'!M18</f>
        <v>0</v>
      </c>
      <c r="D275" s="2" t="str">
        <f t="shared" si="3"/>
        <v>Error?</v>
      </c>
    </row>
    <row r="276" spans="1:4" x14ac:dyDescent="0.2">
      <c r="A276" s="5">
        <v>215</v>
      </c>
      <c r="B276" s="138">
        <f>'Assets-Liab 5-6'!M19</f>
        <v>5590640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21895675</v>
      </c>
      <c r="C279" s="2" t="s">
        <v>594</v>
      </c>
      <c r="D279" s="2" t="str">
        <f t="shared" si="3"/>
        <v>Error?</v>
      </c>
    </row>
    <row r="280" spans="1:4" x14ac:dyDescent="0.2">
      <c r="A280" s="5">
        <v>219</v>
      </c>
      <c r="B280" s="138">
        <f>'Assets-Liab 5-6'!M40</f>
        <v>21895675</v>
      </c>
      <c r="D280" s="2" t="str">
        <f t="shared" si="3"/>
        <v>Error?</v>
      </c>
    </row>
    <row r="281" spans="1:4" x14ac:dyDescent="0.2">
      <c r="A281" s="5">
        <v>220</v>
      </c>
      <c r="B281" s="138">
        <f>'Assets-Liab 5-6'!M41</f>
        <v>21895675</v>
      </c>
      <c r="C281" s="2" t="s">
        <v>594</v>
      </c>
      <c r="D281" s="2" t="str">
        <f t="shared" si="3"/>
        <v>Error?</v>
      </c>
    </row>
    <row r="282" spans="1:4" x14ac:dyDescent="0.2">
      <c r="A282" s="5">
        <v>221</v>
      </c>
      <c r="B282" s="138">
        <f>'Assets-Liab 5-6'!N21</f>
        <v>493819</v>
      </c>
      <c r="D282" s="2" t="str">
        <f t="shared" si="3"/>
        <v>Error?</v>
      </c>
    </row>
    <row r="283" spans="1:4" x14ac:dyDescent="0.2">
      <c r="A283" s="5">
        <v>222</v>
      </c>
      <c r="B283" s="138">
        <f>'Assets-Liab 5-6'!N22</f>
        <v>4119918</v>
      </c>
      <c r="D283" s="2" t="str">
        <f t="shared" si="3"/>
        <v>Error?</v>
      </c>
    </row>
    <row r="284" spans="1:4" x14ac:dyDescent="0.2">
      <c r="A284" s="5">
        <v>223</v>
      </c>
      <c r="B284" s="138">
        <f>'Assets-Liab 5-6'!N23</f>
        <v>4613737</v>
      </c>
      <c r="C284" s="2" t="s">
        <v>594</v>
      </c>
      <c r="D284" s="2" t="str">
        <f t="shared" si="3"/>
        <v>Error?</v>
      </c>
    </row>
    <row r="285" spans="1:4" x14ac:dyDescent="0.2">
      <c r="A285" s="5">
        <v>224</v>
      </c>
      <c r="B285" s="138">
        <f>'Assets-Liab 5-6'!N36</f>
        <v>4613737</v>
      </c>
      <c r="D285" s="2" t="str">
        <f t="shared" si="3"/>
        <v>Error?</v>
      </c>
    </row>
    <row r="286" spans="1:4" x14ac:dyDescent="0.2">
      <c r="A286" s="10">
        <v>225</v>
      </c>
      <c r="D286" s="2" t="str">
        <f t="shared" si="3"/>
        <v>OK</v>
      </c>
    </row>
    <row r="287" spans="1:4" x14ac:dyDescent="0.2">
      <c r="A287" s="5">
        <v>226</v>
      </c>
      <c r="B287" s="138">
        <f>'Assets-Liab 5-6'!N37</f>
        <v>4613737</v>
      </c>
      <c r="C287" s="2" t="s">
        <v>594</v>
      </c>
      <c r="D287" s="2" t="str">
        <f t="shared" si="3"/>
        <v>Error?</v>
      </c>
    </row>
    <row r="288" spans="1:4" x14ac:dyDescent="0.2">
      <c r="A288" s="5">
        <v>227</v>
      </c>
      <c r="B288" s="138">
        <f>'Assets-Liab 5-6'!N41</f>
        <v>4613737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3600690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132923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4082023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178055</v>
      </c>
      <c r="D722" s="2" t="str">
        <f t="shared" si="10"/>
        <v>Error?</v>
      </c>
    </row>
    <row r="723" spans="1:4" x14ac:dyDescent="0.2">
      <c r="A723" s="5">
        <v>662</v>
      </c>
      <c r="B723" s="138">
        <f>'Expenditures 15-22'!C38</f>
        <v>66860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244915</v>
      </c>
      <c r="C727" s="2" t="s">
        <v>594</v>
      </c>
      <c r="D727" s="2" t="str">
        <f t="shared" si="10"/>
        <v>Error?</v>
      </c>
    </row>
    <row r="728" spans="1:4" x14ac:dyDescent="0.2">
      <c r="A728" s="5">
        <v>667</v>
      </c>
      <c r="B728" s="138">
        <f>'Expenditures 15-22'!C44</f>
        <v>3100</v>
      </c>
      <c r="D728" s="2" t="str">
        <f t="shared" si="10"/>
        <v>Error?</v>
      </c>
    </row>
    <row r="729" spans="1:4" x14ac:dyDescent="0.2">
      <c r="A729" s="5">
        <v>668</v>
      </c>
      <c r="B729" s="138">
        <f>'Expenditures 15-22'!C45</f>
        <v>189105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192205</v>
      </c>
      <c r="C731" s="2" t="s">
        <v>594</v>
      </c>
      <c r="D731" s="2" t="str">
        <f t="shared" si="10"/>
        <v>Error?</v>
      </c>
    </row>
    <row r="732" spans="1:4" x14ac:dyDescent="0.2">
      <c r="A732" s="5">
        <v>671</v>
      </c>
      <c r="B732" s="138">
        <f>'Expenditures 15-22'!C49</f>
        <v>660</v>
      </c>
      <c r="D732" s="2" t="str">
        <f t="shared" si="10"/>
        <v>Error?</v>
      </c>
    </row>
    <row r="733" spans="1:4" x14ac:dyDescent="0.2">
      <c r="A733" s="5">
        <v>672</v>
      </c>
      <c r="B733" s="138">
        <f>'Expenditures 15-22'!C50</f>
        <v>268434</v>
      </c>
      <c r="D733" s="2" t="str">
        <f t="shared" si="10"/>
        <v>Error?</v>
      </c>
    </row>
    <row r="734" spans="1:4" x14ac:dyDescent="0.2">
      <c r="A734" s="5">
        <v>673</v>
      </c>
      <c r="B734" s="138">
        <f>'Expenditures 15-22'!C53</f>
        <v>281400</v>
      </c>
      <c r="C734" s="2" t="s">
        <v>594</v>
      </c>
      <c r="D734" s="2" t="str">
        <f t="shared" si="10"/>
        <v>Error?</v>
      </c>
    </row>
    <row r="735" spans="1:4" x14ac:dyDescent="0.2">
      <c r="A735" s="5">
        <v>674</v>
      </c>
      <c r="B735" s="138">
        <f>'Expenditures 15-22'!C55</f>
        <v>575015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575015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62397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244422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306819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1600354</v>
      </c>
      <c r="C755" s="2" t="s">
        <v>594</v>
      </c>
      <c r="D755" s="2" t="str">
        <f t="shared" si="10"/>
        <v>Error?</v>
      </c>
    </row>
    <row r="756" spans="1:4" x14ac:dyDescent="0.2">
      <c r="A756" s="5">
        <v>695</v>
      </c>
      <c r="B756" s="138">
        <f>'Expenditures 15-22'!C75</f>
        <v>19773</v>
      </c>
      <c r="D756" s="2" t="str">
        <f t="shared" si="10"/>
        <v>Error?</v>
      </c>
    </row>
    <row r="757" spans="1:4" x14ac:dyDescent="0.2">
      <c r="A757" s="5">
        <v>696</v>
      </c>
      <c r="B757" s="138">
        <f>'Expenditures 15-22'!C114</f>
        <v>5702150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906184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10982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1026722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43647</v>
      </c>
      <c r="D780" s="2" t="str">
        <f t="shared" si="11"/>
        <v>Error?</v>
      </c>
    </row>
    <row r="781" spans="1:4" x14ac:dyDescent="0.2">
      <c r="A781" s="5">
        <v>720</v>
      </c>
      <c r="B781" s="138">
        <f>'Expenditures 15-22'!D38</f>
        <v>11199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54846</v>
      </c>
      <c r="C785" s="2" t="s">
        <v>594</v>
      </c>
      <c r="D785" s="2" t="str">
        <f t="shared" si="11"/>
        <v>Error?</v>
      </c>
    </row>
    <row r="786" spans="1:4" x14ac:dyDescent="0.2">
      <c r="A786" s="5">
        <v>725</v>
      </c>
      <c r="B786" s="138">
        <f>'Expenditures 15-22'!D44</f>
        <v>653</v>
      </c>
      <c r="D786" s="2" t="str">
        <f t="shared" si="11"/>
        <v>Error?</v>
      </c>
    </row>
    <row r="787" spans="1:4" x14ac:dyDescent="0.2">
      <c r="A787" s="5">
        <v>726</v>
      </c>
      <c r="B787" s="138">
        <f>'Expenditures 15-22'!D45</f>
        <v>45844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46497</v>
      </c>
      <c r="C789" s="2" t="s">
        <v>594</v>
      </c>
      <c r="D789" s="2" t="str">
        <f t="shared" si="11"/>
        <v>Error?</v>
      </c>
    </row>
    <row r="790" spans="1:4" x14ac:dyDescent="0.2">
      <c r="A790" s="5">
        <v>729</v>
      </c>
      <c r="B790" s="138">
        <f>'Expenditures 15-22'!D49</f>
        <v>31</v>
      </c>
      <c r="D790" s="2" t="str">
        <f t="shared" si="11"/>
        <v>Error?</v>
      </c>
    </row>
    <row r="791" spans="1:4" x14ac:dyDescent="0.2">
      <c r="A791" s="5">
        <v>730</v>
      </c>
      <c r="B791" s="138">
        <f>'Expenditures 15-22'!D50</f>
        <v>24447</v>
      </c>
      <c r="D791" s="2" t="str">
        <f t="shared" si="11"/>
        <v>Error?</v>
      </c>
    </row>
    <row r="792" spans="1:4" x14ac:dyDescent="0.2">
      <c r="A792" s="5">
        <v>731</v>
      </c>
      <c r="B792" s="138">
        <f>'Expenditures 15-22'!D53</f>
        <v>25073</v>
      </c>
      <c r="C792" s="2" t="s">
        <v>594</v>
      </c>
      <c r="D792" s="2" t="str">
        <f t="shared" si="11"/>
        <v>Error?</v>
      </c>
    </row>
    <row r="793" spans="1:4" x14ac:dyDescent="0.2">
      <c r="A793" s="5">
        <v>732</v>
      </c>
      <c r="B793" s="138">
        <f>'Expenditures 15-22'!D55</f>
        <v>172573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172573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10131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39683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49814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348803</v>
      </c>
      <c r="C813" s="2" t="s">
        <v>594</v>
      </c>
      <c r="D813" s="2" t="str">
        <f t="shared" si="11"/>
        <v>Error?</v>
      </c>
    </row>
    <row r="814" spans="1:4" x14ac:dyDescent="0.2">
      <c r="A814" s="5">
        <v>753</v>
      </c>
      <c r="B814" s="138">
        <f>'Expenditures 15-22'!D75</f>
        <v>2758</v>
      </c>
      <c r="D814" s="2" t="str">
        <f t="shared" si="11"/>
        <v>Error?</v>
      </c>
    </row>
    <row r="815" spans="1:4" x14ac:dyDescent="0.2">
      <c r="A815" s="5">
        <v>754</v>
      </c>
      <c r="B815" s="138">
        <f>'Expenditures 15-22'!D114</f>
        <v>1378283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25386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51486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338</v>
      </c>
      <c r="D838" s="2" t="str">
        <f t="shared" si="12"/>
        <v>Error?</v>
      </c>
    </row>
    <row r="839" spans="1:4" x14ac:dyDescent="0.2">
      <c r="A839" s="5">
        <v>778</v>
      </c>
      <c r="B839" s="138">
        <f>'Expenditures 15-22'!E38</f>
        <v>190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528</v>
      </c>
      <c r="C843" s="2" t="s">
        <v>594</v>
      </c>
      <c r="D843" s="2" t="str">
        <f t="shared" si="12"/>
        <v>Error?</v>
      </c>
    </row>
    <row r="844" spans="1:4" x14ac:dyDescent="0.2">
      <c r="A844" s="5">
        <v>783</v>
      </c>
      <c r="B844" s="138">
        <f>'Expenditures 15-22'!E44</f>
        <v>21380</v>
      </c>
      <c r="D844" s="2" t="str">
        <f t="shared" si="12"/>
        <v>Error?</v>
      </c>
    </row>
    <row r="845" spans="1:4" x14ac:dyDescent="0.2">
      <c r="A845" s="5">
        <v>784</v>
      </c>
      <c r="B845" s="138">
        <f>'Expenditures 15-22'!E45</f>
        <v>153382</v>
      </c>
      <c r="D845" s="2" t="str">
        <f t="shared" si="12"/>
        <v>Error?</v>
      </c>
    </row>
    <row r="846" spans="1:4" x14ac:dyDescent="0.2">
      <c r="A846" s="5">
        <v>785</v>
      </c>
      <c r="B846" s="138">
        <f>'Expenditures 15-22'!E46</f>
        <v>1950</v>
      </c>
      <c r="D846" s="2" t="str">
        <f t="shared" si="12"/>
        <v>Error?</v>
      </c>
    </row>
    <row r="847" spans="1:4" x14ac:dyDescent="0.2">
      <c r="A847" s="5">
        <v>786</v>
      </c>
      <c r="B847" s="138">
        <f>'Expenditures 15-22'!E47</f>
        <v>176712</v>
      </c>
      <c r="C847" s="2" t="s">
        <v>594</v>
      </c>
      <c r="D847" s="2" t="str">
        <f t="shared" si="12"/>
        <v>Error?</v>
      </c>
    </row>
    <row r="848" spans="1:4" x14ac:dyDescent="0.2">
      <c r="A848" s="5">
        <v>787</v>
      </c>
      <c r="B848" s="138">
        <f>'Expenditures 15-22'!E49</f>
        <v>16834</v>
      </c>
      <c r="D848" s="2" t="str">
        <f t="shared" si="12"/>
        <v>Error?</v>
      </c>
    </row>
    <row r="849" spans="1:4" x14ac:dyDescent="0.2">
      <c r="A849" s="5">
        <v>788</v>
      </c>
      <c r="B849" s="138">
        <f>'Expenditures 15-22'!E50</f>
        <v>2824</v>
      </c>
      <c r="D849" s="2" t="str">
        <f t="shared" si="12"/>
        <v>Error?</v>
      </c>
    </row>
    <row r="850" spans="1:4" x14ac:dyDescent="0.2">
      <c r="A850" s="5">
        <v>789</v>
      </c>
      <c r="B850" s="138">
        <f>'Expenditures 15-22'!E53</f>
        <v>20173</v>
      </c>
      <c r="C850" s="2" t="s">
        <v>594</v>
      </c>
      <c r="D850" s="2" t="str">
        <f t="shared" si="12"/>
        <v>Error?</v>
      </c>
    </row>
    <row r="851" spans="1:4" x14ac:dyDescent="0.2">
      <c r="A851" s="5">
        <v>790</v>
      </c>
      <c r="B851" s="138">
        <f>'Expenditures 15-22'!E55</f>
        <v>191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9064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22388</v>
      </c>
      <c r="D857" s="2" t="str">
        <f t="shared" si="12"/>
        <v>Error?</v>
      </c>
    </row>
    <row r="858" spans="1:4" x14ac:dyDescent="0.2">
      <c r="A858" s="5">
        <v>797</v>
      </c>
      <c r="B858" s="138">
        <f>'Expenditures 15-22'!E63</f>
        <v>2081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33533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231137</v>
      </c>
      <c r="C871" s="2" t="s">
        <v>594</v>
      </c>
      <c r="D871" s="2" t="str">
        <f t="shared" si="12"/>
        <v>Error?</v>
      </c>
    </row>
    <row r="872" spans="1:4" x14ac:dyDescent="0.2">
      <c r="A872" s="5">
        <v>811</v>
      </c>
      <c r="B872" s="138">
        <f>'Expenditures 15-22'!E75</f>
        <v>1687</v>
      </c>
      <c r="D872" s="2" t="str">
        <f t="shared" si="12"/>
        <v>Error?</v>
      </c>
    </row>
    <row r="873" spans="1:4" x14ac:dyDescent="0.2">
      <c r="A873" s="5">
        <v>812</v>
      </c>
      <c r="B873" s="138">
        <f>'Expenditures 15-22'!E114</f>
        <v>284310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58773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31161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244821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1296</v>
      </c>
      <c r="D896" s="2" t="str">
        <f t="shared" si="13"/>
        <v>Error?</v>
      </c>
    </row>
    <row r="897" spans="1:4" x14ac:dyDescent="0.2">
      <c r="A897" s="5">
        <v>836</v>
      </c>
      <c r="B897" s="138">
        <f>'Expenditures 15-22'!F38</f>
        <v>1147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2443</v>
      </c>
      <c r="C901" s="2" t="s">
        <v>594</v>
      </c>
      <c r="D901" s="2" t="str">
        <f t="shared" si="13"/>
        <v>Error?</v>
      </c>
    </row>
    <row r="902" spans="1:4" x14ac:dyDescent="0.2">
      <c r="A902" s="5">
        <v>841</v>
      </c>
      <c r="B902" s="138">
        <f>'Expenditures 15-22'!F44</f>
        <v>3303</v>
      </c>
      <c r="D902" s="2" t="str">
        <f t="shared" si="13"/>
        <v>Error?</v>
      </c>
    </row>
    <row r="903" spans="1:4" x14ac:dyDescent="0.2">
      <c r="A903" s="5">
        <v>842</v>
      </c>
      <c r="B903" s="138">
        <f>'Expenditures 15-22'!F45</f>
        <v>59663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62966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630</v>
      </c>
      <c r="C908" s="2" t="s">
        <v>594</v>
      </c>
      <c r="D908" s="2" t="str">
        <f t="shared" si="13"/>
        <v>Error?</v>
      </c>
    </row>
    <row r="909" spans="1:4" x14ac:dyDescent="0.2">
      <c r="A909" s="5">
        <v>848</v>
      </c>
      <c r="B909" s="138">
        <f>'Expenditures 15-22'!F55</f>
        <v>7829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7829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8507</v>
      </c>
      <c r="D913" s="2" t="str">
        <f t="shared" si="13"/>
        <v>Error?</v>
      </c>
    </row>
    <row r="914" spans="1:4" x14ac:dyDescent="0.2">
      <c r="A914" s="5">
        <v>853</v>
      </c>
      <c r="B914" s="138">
        <f>'Expenditures 15-22'!F61</f>
        <v>1302</v>
      </c>
      <c r="D914" s="2" t="str">
        <f t="shared" si="13"/>
        <v>Error?</v>
      </c>
    </row>
    <row r="915" spans="1:4" x14ac:dyDescent="0.2">
      <c r="A915" s="5">
        <v>854</v>
      </c>
      <c r="B915" s="138">
        <f>'Expenditures 15-22'!F62</f>
        <v>338</v>
      </c>
      <c r="D915" s="2" t="str">
        <f t="shared" si="13"/>
        <v>Error?</v>
      </c>
    </row>
    <row r="916" spans="1:4" x14ac:dyDescent="0.2">
      <c r="A916" s="5">
        <v>855</v>
      </c>
      <c r="B916" s="138">
        <f>'Expenditures 15-22'!F63</f>
        <v>397140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407287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793</v>
      </c>
      <c r="D928" s="2" t="str">
        <f t="shared" si="13"/>
        <v>Error?</v>
      </c>
    </row>
    <row r="929" spans="1:4" x14ac:dyDescent="0.2">
      <c r="A929" s="5">
        <v>868</v>
      </c>
      <c r="B929" s="138">
        <f>'Expenditures 15-22'!F74</f>
        <v>481948</v>
      </c>
      <c r="C929" s="2" t="s">
        <v>594</v>
      </c>
      <c r="D929" s="2" t="str">
        <f t="shared" si="13"/>
        <v>Error?</v>
      </c>
    </row>
    <row r="930" spans="1:4" x14ac:dyDescent="0.2">
      <c r="A930" s="5">
        <v>869</v>
      </c>
      <c r="B930" s="138">
        <f>'Expenditures 15-22'!F75</f>
        <v>5069</v>
      </c>
      <c r="D930" s="2" t="str">
        <f t="shared" si="13"/>
        <v>Error?</v>
      </c>
    </row>
    <row r="931" spans="1:4" x14ac:dyDescent="0.2">
      <c r="A931" s="5">
        <v>870</v>
      </c>
      <c r="B931" s="138">
        <f>'Expenditures 15-22'!F114</f>
        <v>731838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742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2011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39495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5991</v>
      </c>
      <c r="D960" s="2" t="str">
        <f t="shared" si="14"/>
        <v>Error?</v>
      </c>
    </row>
    <row r="961" spans="1:4" x14ac:dyDescent="0.2">
      <c r="A961" s="5">
        <v>900</v>
      </c>
      <c r="B961" s="138">
        <f>'Expenditures 15-22'!G45</f>
        <v>14051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20042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1143</v>
      </c>
      <c r="D965" s="2" t="str">
        <f t="shared" si="14"/>
        <v>Error?</v>
      </c>
    </row>
    <row r="966" spans="1:4" x14ac:dyDescent="0.2">
      <c r="A966" s="5">
        <v>905</v>
      </c>
      <c r="B966" s="138">
        <f>'Expenditures 15-22'!G53</f>
        <v>6401</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1822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1822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28265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67760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560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560</v>
      </c>
      <c r="C1021" s="2" t="s">
        <v>594</v>
      </c>
      <c r="D1021" s="2" t="str">
        <f t="shared" si="14"/>
        <v>Error?</v>
      </c>
    </row>
    <row r="1022" spans="1:4" x14ac:dyDescent="0.2">
      <c r="A1022" s="5">
        <v>961</v>
      </c>
      <c r="B1022" s="138">
        <f>'Expenditures 15-22'!H49</f>
        <v>26974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26974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27534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1376993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1404527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4571202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202463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5444547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223336</v>
      </c>
      <c r="C1110" s="2" t="s">
        <v>594</v>
      </c>
      <c r="D1110" s="2" t="str">
        <f t="shared" si="16"/>
        <v>Error?</v>
      </c>
    </row>
    <row r="1111" spans="1:4" x14ac:dyDescent="0.2">
      <c r="A1111" s="5">
        <v>1050</v>
      </c>
      <c r="B1111" s="138">
        <f>'Expenditures 15-22'!K38</f>
        <v>79396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302732</v>
      </c>
      <c r="C1115" s="2" t="s">
        <v>594</v>
      </c>
      <c r="D1115" s="2" t="str">
        <f t="shared" si="16"/>
        <v>Error?</v>
      </c>
    </row>
    <row r="1116" spans="1:4" x14ac:dyDescent="0.2">
      <c r="A1116" s="5">
        <v>1055</v>
      </c>
      <c r="B1116" s="138">
        <f>'Expenditures 15-22'!K44</f>
        <v>34987</v>
      </c>
      <c r="C1116" s="2" t="s">
        <v>594</v>
      </c>
      <c r="D1116" s="2" t="str">
        <f t="shared" si="16"/>
        <v>Error?</v>
      </c>
    </row>
    <row r="1117" spans="1:4" x14ac:dyDescent="0.2">
      <c r="A1117" s="5">
        <v>1056</v>
      </c>
      <c r="B1117" s="138">
        <f>'Expenditures 15-22'!K45</f>
        <v>462045</v>
      </c>
      <c r="C1117" s="2" t="s">
        <v>594</v>
      </c>
      <c r="D1117" s="2" t="str">
        <f t="shared" si="16"/>
        <v>Error?</v>
      </c>
    </row>
    <row r="1118" spans="1:4" x14ac:dyDescent="0.2">
      <c r="A1118" s="5">
        <v>1057</v>
      </c>
      <c r="B1118" s="138">
        <f>'Expenditures 15-22'!K46</f>
        <v>1950</v>
      </c>
      <c r="C1118" s="2" t="s">
        <v>594</v>
      </c>
      <c r="D1118" s="2" t="str">
        <f t="shared" si="16"/>
        <v>Error?</v>
      </c>
    </row>
    <row r="1119" spans="1:4" x14ac:dyDescent="0.2">
      <c r="A1119" s="5">
        <v>1058</v>
      </c>
      <c r="B1119" s="138">
        <f>'Expenditures 15-22'!K47</f>
        <v>498982</v>
      </c>
      <c r="C1119" s="2" t="s">
        <v>594</v>
      </c>
      <c r="D1119" s="2" t="str">
        <f t="shared" si="16"/>
        <v>Error?</v>
      </c>
    </row>
    <row r="1120" spans="1:4" x14ac:dyDescent="0.2">
      <c r="A1120" s="5">
        <v>1059</v>
      </c>
      <c r="B1120" s="138">
        <f>'Expenditures 15-22'!K49</f>
        <v>44499</v>
      </c>
      <c r="C1120" s="2" t="s">
        <v>594</v>
      </c>
      <c r="D1120" s="2" t="str">
        <f t="shared" si="16"/>
        <v>Error?</v>
      </c>
    </row>
    <row r="1121" spans="1:4" x14ac:dyDescent="0.2">
      <c r="A1121" s="5">
        <v>1060</v>
      </c>
      <c r="B1121" s="138">
        <f>'Expenditures 15-22'!K50</f>
        <v>296848</v>
      </c>
      <c r="C1121" s="2" t="s">
        <v>594</v>
      </c>
      <c r="D1121" s="2" t="str">
        <f t="shared" si="16"/>
        <v>Error?</v>
      </c>
    </row>
    <row r="1122" spans="1:4" x14ac:dyDescent="0.2">
      <c r="A1122" s="5">
        <v>1061</v>
      </c>
      <c r="B1122" s="138">
        <f>'Expenditures 15-22'!K53</f>
        <v>360651</v>
      </c>
      <c r="C1122" s="2" t="s">
        <v>594</v>
      </c>
      <c r="D1122" s="2" t="str">
        <f t="shared" si="16"/>
        <v>Error?</v>
      </c>
    </row>
    <row r="1123" spans="1:4" x14ac:dyDescent="0.2">
      <c r="A1123" s="5">
        <v>1062</v>
      </c>
      <c r="B1123" s="138">
        <f>'Expenditures 15-22'!K55</f>
        <v>755608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755608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90099</v>
      </c>
      <c r="C1127" s="2" t="s">
        <v>594</v>
      </c>
      <c r="D1127" s="2" t="str">
        <f t="shared" si="16"/>
        <v>Error?</v>
      </c>
    </row>
    <row r="1128" spans="1:4" x14ac:dyDescent="0.2">
      <c r="A1128" s="5">
        <v>1067</v>
      </c>
      <c r="B1128" s="138">
        <f>'Expenditures 15-22'!K61</f>
        <v>1302</v>
      </c>
      <c r="C1128" s="2" t="s">
        <v>594</v>
      </c>
      <c r="D1128" s="2" t="str">
        <f t="shared" si="16"/>
        <v>Error?</v>
      </c>
    </row>
    <row r="1129" spans="1:4" x14ac:dyDescent="0.2">
      <c r="A1129" s="5">
        <v>1068</v>
      </c>
      <c r="B1129" s="138">
        <f>'Expenditures 15-22'!K62</f>
        <v>22726</v>
      </c>
      <c r="C1129" s="2" t="s">
        <v>594</v>
      </c>
      <c r="D1129" s="2" t="str">
        <f t="shared" si="16"/>
        <v>Error?</v>
      </c>
    </row>
    <row r="1130" spans="1:4" x14ac:dyDescent="0.2">
      <c r="A1130" s="5">
        <v>1069</v>
      </c>
      <c r="B1130" s="138">
        <f>'Expenditures 15-22'!K63</f>
        <v>685148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799275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793</v>
      </c>
      <c r="C1142" s="2" t="s">
        <v>594</v>
      </c>
      <c r="D1142" s="2" t="str">
        <f t="shared" si="16"/>
        <v>Error?</v>
      </c>
    </row>
    <row r="1143" spans="1:4" x14ac:dyDescent="0.2">
      <c r="A1143" s="5">
        <v>1082</v>
      </c>
      <c r="B1143" s="138">
        <f>'Expenditures 15-22'!K74</f>
        <v>2718041</v>
      </c>
      <c r="C1143" s="2" t="s">
        <v>594</v>
      </c>
      <c r="D1143" s="2" t="str">
        <f t="shared" si="16"/>
        <v>Error?</v>
      </c>
    </row>
    <row r="1144" spans="1:4" x14ac:dyDescent="0.2">
      <c r="A1144" s="5">
        <v>1083</v>
      </c>
      <c r="B1144" s="138">
        <f>'Expenditures 15-22'!K75</f>
        <v>29287</v>
      </c>
      <c r="C1144" s="2" t="s">
        <v>594</v>
      </c>
      <c r="D1144" s="2" t="str">
        <f t="shared" si="16"/>
        <v>Error?</v>
      </c>
    </row>
    <row r="1145" spans="1:4" x14ac:dyDescent="0.2">
      <c r="A1145" s="5">
        <v>1084</v>
      </c>
      <c r="B1145" s="138">
        <f>'Expenditures 15-22'!K102</f>
        <v>1376993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9568868</v>
      </c>
      <c r="C1152" s="2" t="s">
        <v>594</v>
      </c>
      <c r="D1152" s="2" t="str">
        <f t="shared" si="17"/>
        <v>Error?</v>
      </c>
    </row>
    <row r="1153" spans="1:4" x14ac:dyDescent="0.2">
      <c r="A1153" s="5">
        <v>1092</v>
      </c>
      <c r="B1153" s="138">
        <f>'Expenditures 15-22'!K115</f>
        <v>1738993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447462</v>
      </c>
      <c r="D1221" s="2" t="str">
        <f t="shared" si="18"/>
        <v>Error?</v>
      </c>
    </row>
    <row r="1222" spans="1:4" x14ac:dyDescent="0.2">
      <c r="A1222" s="10">
        <v>1161</v>
      </c>
      <c r="D1222" s="2" t="str">
        <f t="shared" si="18"/>
        <v>OK</v>
      </c>
    </row>
    <row r="1223" spans="1:4" x14ac:dyDescent="0.2">
      <c r="A1223" s="5">
        <v>1162</v>
      </c>
      <c r="B1223" s="138">
        <f>'Expenditures 15-22'!C127</f>
        <v>447462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447462</v>
      </c>
      <c r="C1225" s="2" t="s">
        <v>594</v>
      </c>
      <c r="D1225" s="2" t="str">
        <f t="shared" si="18"/>
        <v>Error?</v>
      </c>
    </row>
    <row r="1226" spans="1:4" x14ac:dyDescent="0.2">
      <c r="A1226" s="5">
        <v>1165</v>
      </c>
      <c r="B1226" s="138">
        <f>'Expenditures 15-22'!C151</f>
        <v>447462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102246</v>
      </c>
      <c r="D1229" s="2" t="str">
        <f t="shared" si="18"/>
        <v>Error?</v>
      </c>
    </row>
    <row r="1230" spans="1:4" x14ac:dyDescent="0.2">
      <c r="A1230" s="10">
        <v>1169</v>
      </c>
      <c r="D1230" s="2" t="str">
        <f t="shared" si="18"/>
        <v>OK</v>
      </c>
    </row>
    <row r="1231" spans="1:4" x14ac:dyDescent="0.2">
      <c r="A1231" s="5">
        <v>1170</v>
      </c>
      <c r="B1231" s="138">
        <f>'Expenditures 15-22'!D127</f>
        <v>102246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102246</v>
      </c>
      <c r="C1233" s="2" t="s">
        <v>594</v>
      </c>
      <c r="D1233" s="2" t="str">
        <f t="shared" si="18"/>
        <v>Error?</v>
      </c>
    </row>
    <row r="1234" spans="1:4" x14ac:dyDescent="0.2">
      <c r="A1234" s="5">
        <v>1173</v>
      </c>
      <c r="B1234" s="138">
        <f>'Expenditures 15-22'!D151</f>
        <v>102246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249273</v>
      </c>
      <c r="D1237" s="2" t="str">
        <f t="shared" si="18"/>
        <v>Error?</v>
      </c>
    </row>
    <row r="1238" spans="1:4" x14ac:dyDescent="0.2">
      <c r="A1238" s="10">
        <v>1177</v>
      </c>
      <c r="D1238" s="2" t="str">
        <f t="shared" si="18"/>
        <v>OK</v>
      </c>
    </row>
    <row r="1239" spans="1:4" x14ac:dyDescent="0.2">
      <c r="A1239" s="5">
        <v>1178</v>
      </c>
      <c r="B1239" s="138">
        <f>'Expenditures 15-22'!E127</f>
        <v>249273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249273</v>
      </c>
      <c r="C1241" s="2" t="s">
        <v>594</v>
      </c>
      <c r="D1241" s="2" t="str">
        <f t="shared" si="18"/>
        <v>Error?</v>
      </c>
    </row>
    <row r="1242" spans="1:4" x14ac:dyDescent="0.2">
      <c r="A1242" s="5">
        <v>1181</v>
      </c>
      <c r="B1242" s="138">
        <f>'Expenditures 15-22'!E151</f>
        <v>249273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411697</v>
      </c>
      <c r="D1245" s="2" t="str">
        <f t="shared" si="18"/>
        <v>Error?</v>
      </c>
    </row>
    <row r="1246" spans="1:4" x14ac:dyDescent="0.2">
      <c r="A1246" s="10">
        <v>1185</v>
      </c>
      <c r="D1246" s="2" t="str">
        <f t="shared" si="18"/>
        <v>OK</v>
      </c>
    </row>
    <row r="1247" spans="1:4" x14ac:dyDescent="0.2">
      <c r="A1247" s="5">
        <v>1186</v>
      </c>
      <c r="B1247" s="138">
        <f>'Expenditures 15-22'!F127</f>
        <v>411697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411697</v>
      </c>
      <c r="C1249" s="2" t="s">
        <v>594</v>
      </c>
      <c r="D1249" s="2" t="str">
        <f t="shared" si="18"/>
        <v>Error?</v>
      </c>
    </row>
    <row r="1250" spans="1:4" x14ac:dyDescent="0.2">
      <c r="A1250" s="5">
        <v>1189</v>
      </c>
      <c r="B1250" s="138">
        <f>'Expenditures 15-22'!F151</f>
        <v>411697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4201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4201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4201</v>
      </c>
      <c r="C1258" s="2" t="s">
        <v>594</v>
      </c>
      <c r="D1258" s="2" t="str">
        <f t="shared" si="18"/>
        <v>Error?</v>
      </c>
    </row>
    <row r="1259" spans="1:4" x14ac:dyDescent="0.2">
      <c r="A1259" s="5">
        <v>1198</v>
      </c>
      <c r="B1259" s="138">
        <f>'Expenditures 15-22'!G151</f>
        <v>4201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1214879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1214879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1214879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1214879</v>
      </c>
      <c r="C1288" s="2" t="s">
        <v>594</v>
      </c>
      <c r="D1288" s="2" t="str">
        <f t="shared" si="19"/>
        <v>Error?</v>
      </c>
    </row>
    <row r="1289" spans="1:4" x14ac:dyDescent="0.2">
      <c r="A1289" s="5">
        <v>1228</v>
      </c>
      <c r="B1289" s="138">
        <f>'Expenditures 15-22'!K152</f>
        <v>-158639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173644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345000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519144</v>
      </c>
      <c r="C1317" s="2" t="s">
        <v>594</v>
      </c>
      <c r="D1317" s="2" t="str">
        <f t="shared" si="19"/>
        <v>Error?</v>
      </c>
    </row>
    <row r="1318" spans="1:4" x14ac:dyDescent="0.2">
      <c r="A1318" s="5">
        <v>1257</v>
      </c>
      <c r="B1318" s="138">
        <f>'Expenditures 15-22'!H174</f>
        <v>519144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173644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345000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519144</v>
      </c>
      <c r="C1331" s="2" t="s">
        <v>594</v>
      </c>
      <c r="D1331" s="2" t="str">
        <f t="shared" si="19"/>
        <v>Error?</v>
      </c>
    </row>
    <row r="1332" spans="1:4" x14ac:dyDescent="0.2">
      <c r="A1332" s="5">
        <v>1271</v>
      </c>
      <c r="B1332" s="138">
        <f>'Expenditures 15-22'!K174</f>
        <v>519144</v>
      </c>
      <c r="C1332" s="2" t="s">
        <v>594</v>
      </c>
      <c r="D1332" s="2" t="str">
        <f t="shared" si="19"/>
        <v>Error?</v>
      </c>
    </row>
    <row r="1333" spans="1:4" x14ac:dyDescent="0.2">
      <c r="A1333" s="5">
        <v>1272</v>
      </c>
      <c r="B1333" s="138">
        <f>'Expenditures 15-22'!K175</f>
        <v>383005</v>
      </c>
      <c r="C1333" s="2" t="s">
        <v>594</v>
      </c>
      <c r="D1333" s="2" t="str">
        <f t="shared" si="19"/>
        <v>Error?</v>
      </c>
    </row>
    <row r="1334" spans="1:4" x14ac:dyDescent="0.2">
      <c r="A1334" s="10">
        <v>1273</v>
      </c>
      <c r="D1334" s="2" t="str">
        <f t="shared" si="19"/>
        <v>OK</v>
      </c>
    </row>
    <row r="1335" spans="1:4" x14ac:dyDescent="0.2">
      <c r="A1335" s="5">
        <v>1274</v>
      </c>
      <c r="B1335" s="138">
        <f>'Expenditures 15-22'!C182</f>
        <v>499718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499718</v>
      </c>
      <c r="C1339" s="2" t="s">
        <v>594</v>
      </c>
      <c r="D1339" s="2" t="str">
        <f t="shared" si="19"/>
        <v>Error?</v>
      </c>
    </row>
    <row r="1340" spans="1:4" x14ac:dyDescent="0.2">
      <c r="A1340" s="5">
        <v>1279</v>
      </c>
      <c r="B1340" s="138">
        <f>'Expenditures 15-22'!C210</f>
        <v>499718</v>
      </c>
      <c r="C1340" s="2" t="s">
        <v>594</v>
      </c>
      <c r="D1340" s="2" t="str">
        <f t="shared" si="19"/>
        <v>Error?</v>
      </c>
    </row>
    <row r="1341" spans="1:4" x14ac:dyDescent="0.2">
      <c r="A1341" s="5">
        <v>1280</v>
      </c>
      <c r="B1341" s="138">
        <f>'Expenditures 15-22'!D182</f>
        <v>66973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66973</v>
      </c>
      <c r="C1345" s="2" t="s">
        <v>594</v>
      </c>
      <c r="D1345" s="2" t="str">
        <f t="shared" si="20"/>
        <v>Error?</v>
      </c>
    </row>
    <row r="1346" spans="1:4" x14ac:dyDescent="0.2">
      <c r="A1346" s="5">
        <v>1285</v>
      </c>
      <c r="B1346" s="138">
        <f>'Expenditures 15-22'!D210</f>
        <v>66973</v>
      </c>
      <c r="C1346" s="2" t="s">
        <v>594</v>
      </c>
      <c r="D1346" s="2" t="str">
        <f t="shared" si="20"/>
        <v>Error?</v>
      </c>
    </row>
    <row r="1347" spans="1:4" x14ac:dyDescent="0.2">
      <c r="A1347" s="5">
        <v>1286</v>
      </c>
      <c r="B1347" s="138">
        <f>'Expenditures 15-22'!E182</f>
        <v>28690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28690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28690</v>
      </c>
      <c r="C1353" s="2" t="s">
        <v>594</v>
      </c>
      <c r="D1353" s="2" t="str">
        <f t="shared" si="20"/>
        <v>Error?</v>
      </c>
    </row>
    <row r="1354" spans="1:4" x14ac:dyDescent="0.2">
      <c r="A1354" s="5">
        <v>1293</v>
      </c>
      <c r="B1354" s="138">
        <f>'Expenditures 15-22'!F182</f>
        <v>106877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106877</v>
      </c>
      <c r="C1358" s="2" t="s">
        <v>594</v>
      </c>
      <c r="D1358" s="2" t="str">
        <f t="shared" si="20"/>
        <v>Error?</v>
      </c>
    </row>
    <row r="1359" spans="1:4" x14ac:dyDescent="0.2">
      <c r="A1359" s="5">
        <v>1298</v>
      </c>
      <c r="B1359" s="138">
        <f>'Expenditures 15-22'!F210</f>
        <v>106877</v>
      </c>
      <c r="C1359" s="2" t="s">
        <v>594</v>
      </c>
      <c r="D1359" s="2" t="str">
        <f t="shared" si="20"/>
        <v>Error?</v>
      </c>
    </row>
    <row r="1360" spans="1:4" x14ac:dyDescent="0.2">
      <c r="A1360" s="5">
        <v>1299</v>
      </c>
      <c r="B1360" s="138">
        <f>'Expenditures 15-22'!G182</f>
        <v>1397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1397</v>
      </c>
      <c r="C1364" s="2" t="s">
        <v>594</v>
      </c>
      <c r="D1364" s="2" t="str">
        <f t="shared" si="20"/>
        <v>Error?</v>
      </c>
    </row>
    <row r="1365" spans="1:4" x14ac:dyDescent="0.2">
      <c r="A1365" s="5">
        <v>1304</v>
      </c>
      <c r="B1365" s="138">
        <f>'Expenditures 15-22'!G210</f>
        <v>1397</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88285</v>
      </c>
      <c r="C1375" s="2" t="s">
        <v>594</v>
      </c>
      <c r="D1375" s="2" t="str">
        <f t="shared" si="20"/>
        <v>Error?</v>
      </c>
    </row>
    <row r="1376" spans="1:4" x14ac:dyDescent="0.2">
      <c r="A1376" s="5">
        <v>1315</v>
      </c>
      <c r="B1376" s="138">
        <f>'Expenditures 15-22'!H210</f>
        <v>88285</v>
      </c>
      <c r="C1376" s="2" t="s">
        <v>594</v>
      </c>
      <c r="D1376" s="2" t="str">
        <f t="shared" si="20"/>
        <v>Error?</v>
      </c>
    </row>
    <row r="1377" spans="1:4" x14ac:dyDescent="0.2">
      <c r="A1377" s="5">
        <v>1316</v>
      </c>
      <c r="B1377" s="138">
        <f>'Expenditures 15-22'!K182</f>
        <v>703655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703655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88285</v>
      </c>
      <c r="C1387" s="2" t="s">
        <v>594</v>
      </c>
      <c r="D1387" s="2" t="str">
        <f t="shared" si="20"/>
        <v>Error?</v>
      </c>
    </row>
    <row r="1388" spans="1:4" x14ac:dyDescent="0.2">
      <c r="A1388" s="5">
        <v>1327</v>
      </c>
      <c r="B1388" s="138">
        <f>'Expenditures 15-22'!K210</f>
        <v>791940</v>
      </c>
      <c r="C1388" s="2" t="s">
        <v>594</v>
      </c>
      <c r="D1388" s="2" t="str">
        <f t="shared" si="20"/>
        <v>Error?</v>
      </c>
    </row>
    <row r="1389" spans="1:4" x14ac:dyDescent="0.2">
      <c r="A1389" s="5">
        <v>1328</v>
      </c>
      <c r="B1389" s="138">
        <f>'Expenditures 15-22'!K211</f>
        <v>444658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7196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109073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2304</v>
      </c>
      <c r="D1412" s="2" t="str">
        <f t="shared" si="21"/>
        <v>Error?</v>
      </c>
    </row>
    <row r="1413" spans="1:4" x14ac:dyDescent="0.2">
      <c r="A1413" s="5">
        <v>1352</v>
      </c>
      <c r="B1413" s="138">
        <f>'Expenditures 15-22'!D234</f>
        <v>15877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18181</v>
      </c>
      <c r="C1417" s="2" t="s">
        <v>594</v>
      </c>
      <c r="D1417" s="2" t="str">
        <f t="shared" si="21"/>
        <v>Error?</v>
      </c>
    </row>
    <row r="1418" spans="1:4" x14ac:dyDescent="0.2">
      <c r="A1418" s="5">
        <v>1357</v>
      </c>
      <c r="B1418" s="138">
        <f>'Expenditures 15-22'!D240</f>
        <v>88</v>
      </c>
      <c r="D1418" s="2" t="str">
        <f t="shared" si="21"/>
        <v>Error?</v>
      </c>
    </row>
    <row r="1419" spans="1:4" x14ac:dyDescent="0.2">
      <c r="A1419" s="5">
        <v>1358</v>
      </c>
      <c r="B1419" s="138">
        <f>'Expenditures 15-22'!D241</f>
        <v>3421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3509</v>
      </c>
      <c r="C1421" s="2" t="s">
        <v>594</v>
      </c>
      <c r="D1421" s="2" t="str">
        <f t="shared" si="21"/>
        <v>Error?</v>
      </c>
    </row>
    <row r="1422" spans="1:4" x14ac:dyDescent="0.2">
      <c r="A1422" s="5">
        <v>1361</v>
      </c>
      <c r="B1422" s="138">
        <f>'Expenditures 15-22'!D245</f>
        <v>163</v>
      </c>
      <c r="D1422" s="2" t="str">
        <f t="shared" si="21"/>
        <v>Error?</v>
      </c>
    </row>
    <row r="1423" spans="1:4" x14ac:dyDescent="0.2">
      <c r="A1423" s="5">
        <v>1362</v>
      </c>
      <c r="B1423" s="138">
        <f>'Expenditures 15-22'!D246</f>
        <v>11983</v>
      </c>
      <c r="D1423" s="2" t="str">
        <f t="shared" si="21"/>
        <v>Error?</v>
      </c>
    </row>
    <row r="1424" spans="1:4" x14ac:dyDescent="0.2">
      <c r="A1424" s="5">
        <v>1363</v>
      </c>
      <c r="B1424" s="138">
        <f>'Expenditures 15-22'!D257</f>
        <v>32320</v>
      </c>
      <c r="C1424" s="2" t="s">
        <v>594</v>
      </c>
      <c r="D1424" s="2" t="str">
        <f t="shared" si="21"/>
        <v>Error?</v>
      </c>
    </row>
    <row r="1425" spans="1:4" x14ac:dyDescent="0.2">
      <c r="A1425" s="5">
        <v>1364</v>
      </c>
      <c r="B1425" s="138">
        <f>'Expenditures 15-22'!D259</f>
        <v>43842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43842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15307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104382</v>
      </c>
      <c r="D1431" s="2" t="str">
        <f t="shared" si="21"/>
        <v>Error?</v>
      </c>
    </row>
    <row r="1432" spans="1:4" x14ac:dyDescent="0.2">
      <c r="A1432" s="5">
        <v>1371</v>
      </c>
      <c r="B1432" s="138">
        <f>'Expenditures 15-22'!D267</f>
        <v>117524</v>
      </c>
      <c r="D1432" s="2" t="str">
        <f t="shared" si="21"/>
        <v>Error?</v>
      </c>
    </row>
    <row r="1433" spans="1:4" x14ac:dyDescent="0.2">
      <c r="A1433" s="5">
        <v>1372</v>
      </c>
      <c r="B1433" s="138">
        <f>'Expenditures 15-22'!D268</f>
        <v>56585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293798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391650</v>
      </c>
      <c r="C1446" s="2" t="s">
        <v>594</v>
      </c>
      <c r="D1446" s="2" t="str">
        <f t="shared" si="21"/>
        <v>Error?</v>
      </c>
    </row>
    <row r="1447" spans="1:4" x14ac:dyDescent="0.2">
      <c r="A1447" s="5">
        <v>1386</v>
      </c>
      <c r="B1447" s="138">
        <f>'Expenditures 15-22'!D280</f>
        <v>2512</v>
      </c>
      <c r="D1447" s="2" t="str">
        <f t="shared" si="21"/>
        <v>Error?</v>
      </c>
    </row>
    <row r="1448" spans="1:4" x14ac:dyDescent="0.2">
      <c r="A1448" s="5">
        <v>1387</v>
      </c>
      <c r="B1448" s="138">
        <f>'Expenditures 15-22'!D295</f>
        <v>503235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7196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109073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2304</v>
      </c>
      <c r="C1476" s="2" t="s">
        <v>594</v>
      </c>
      <c r="D1476" s="2" t="str">
        <f t="shared" si="22"/>
        <v>Error?</v>
      </c>
    </row>
    <row r="1477" spans="1:4" x14ac:dyDescent="0.2">
      <c r="A1477" s="5">
        <v>1416</v>
      </c>
      <c r="B1477" s="138">
        <f>'Expenditures 15-22'!K234</f>
        <v>15877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18181</v>
      </c>
      <c r="C1481" s="2" t="s">
        <v>594</v>
      </c>
      <c r="D1481" s="2" t="str">
        <f t="shared" si="22"/>
        <v>Error?</v>
      </c>
    </row>
    <row r="1482" spans="1:4" x14ac:dyDescent="0.2">
      <c r="A1482" s="5">
        <v>1421</v>
      </c>
      <c r="B1482" s="138">
        <f>'Expenditures 15-22'!K240</f>
        <v>88</v>
      </c>
      <c r="C1482" s="2" t="s">
        <v>594</v>
      </c>
      <c r="D1482" s="2" t="str">
        <f t="shared" si="22"/>
        <v>Error?</v>
      </c>
    </row>
    <row r="1483" spans="1:4" x14ac:dyDescent="0.2">
      <c r="A1483" s="5">
        <v>1422</v>
      </c>
      <c r="B1483" s="138">
        <f>'Expenditures 15-22'!K241</f>
        <v>3421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3509</v>
      </c>
      <c r="C1485" s="2" t="s">
        <v>594</v>
      </c>
      <c r="D1485" s="2" t="str">
        <f t="shared" si="22"/>
        <v>Error?</v>
      </c>
    </row>
    <row r="1486" spans="1:4" x14ac:dyDescent="0.2">
      <c r="A1486" s="5">
        <v>1425</v>
      </c>
      <c r="B1486" s="138">
        <f>'Expenditures 15-22'!K245</f>
        <v>163</v>
      </c>
      <c r="C1486" s="2" t="s">
        <v>594</v>
      </c>
      <c r="D1486" s="2" t="str">
        <f t="shared" si="22"/>
        <v>Error?</v>
      </c>
    </row>
    <row r="1487" spans="1:4" x14ac:dyDescent="0.2">
      <c r="A1487" s="5">
        <v>1426</v>
      </c>
      <c r="B1487" s="138">
        <f>'Expenditures 15-22'!K246</f>
        <v>11983</v>
      </c>
      <c r="C1487" s="2" t="s">
        <v>594</v>
      </c>
      <c r="D1487" s="2" t="str">
        <f t="shared" si="22"/>
        <v>Error?</v>
      </c>
    </row>
    <row r="1488" spans="1:4" x14ac:dyDescent="0.2">
      <c r="A1488" s="5">
        <v>1427</v>
      </c>
      <c r="B1488" s="138">
        <f>'Expenditures 15-22'!K257</f>
        <v>32320</v>
      </c>
      <c r="C1488" s="2" t="s">
        <v>594</v>
      </c>
      <c r="D1488" s="2" t="str">
        <f t="shared" si="22"/>
        <v>Error?</v>
      </c>
    </row>
    <row r="1489" spans="1:4" x14ac:dyDescent="0.2">
      <c r="A1489" s="5">
        <v>1428</v>
      </c>
      <c r="B1489" s="138">
        <f>'Expenditures 15-22'!K259</f>
        <v>43842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43842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15307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104382</v>
      </c>
      <c r="C1495" s="2" t="s">
        <v>594</v>
      </c>
      <c r="D1495" s="2" t="str">
        <f t="shared" si="22"/>
        <v>Error?</v>
      </c>
    </row>
    <row r="1496" spans="1:4" x14ac:dyDescent="0.2">
      <c r="A1496" s="5">
        <v>1435</v>
      </c>
      <c r="B1496" s="138">
        <f>'Expenditures 15-22'!K267</f>
        <v>117524</v>
      </c>
      <c r="C1496" s="2" t="s">
        <v>594</v>
      </c>
      <c r="D1496" s="2" t="str">
        <f t="shared" si="22"/>
        <v>Error?</v>
      </c>
    </row>
    <row r="1497" spans="1:4" x14ac:dyDescent="0.2">
      <c r="A1497" s="5">
        <v>1436</v>
      </c>
      <c r="B1497" s="138">
        <f>'Expenditures 15-22'!K268</f>
        <v>56585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293798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391650</v>
      </c>
      <c r="C1510" s="2" t="s">
        <v>594</v>
      </c>
      <c r="D1510" s="2" t="str">
        <f t="shared" si="22"/>
        <v>Error?</v>
      </c>
    </row>
    <row r="1511" spans="1:4" x14ac:dyDescent="0.2">
      <c r="A1511" s="5">
        <v>1450</v>
      </c>
      <c r="B1511" s="138">
        <f>'Expenditures 15-22'!K280</f>
        <v>2512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503235</v>
      </c>
      <c r="C1517" s="2" t="s">
        <v>594</v>
      </c>
      <c r="D1517" s="2" t="str">
        <f t="shared" si="22"/>
        <v>Error?</v>
      </c>
    </row>
    <row r="1518" spans="1:4" x14ac:dyDescent="0.2">
      <c r="A1518" s="5">
        <v>1457</v>
      </c>
      <c r="B1518" s="138">
        <f>'Expenditures 15-22'!K296</f>
        <v>67185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96102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96102</v>
      </c>
      <c r="C1547" s="2" t="s">
        <v>594</v>
      </c>
      <c r="D1547" s="2" t="str">
        <f t="shared" si="23"/>
        <v>Error?</v>
      </c>
    </row>
    <row r="1548" spans="1:4" x14ac:dyDescent="0.2">
      <c r="A1548" s="5">
        <v>1487</v>
      </c>
      <c r="B1548" s="138">
        <f>'Expenditures 15-22'!G312</f>
        <v>96102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96102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96102</v>
      </c>
      <c r="C1559" s="2" t="s">
        <v>594</v>
      </c>
      <c r="D1559" s="2" t="str">
        <f t="shared" si="23"/>
        <v>Error?</v>
      </c>
    </row>
    <row r="1560" spans="1:4" x14ac:dyDescent="0.2">
      <c r="A1560" s="5">
        <v>1499</v>
      </c>
      <c r="B1560" s="138">
        <f>'Expenditures 15-22'!K312</f>
        <v>96102</v>
      </c>
      <c r="C1560" s="2" t="s">
        <v>594</v>
      </c>
      <c r="D1560" s="2" t="str">
        <f t="shared" si="23"/>
        <v>Error?</v>
      </c>
    </row>
    <row r="1561" spans="1:4" x14ac:dyDescent="0.2">
      <c r="A1561" s="5">
        <v>1500</v>
      </c>
      <c r="B1561" s="138">
        <f>'Expenditures 15-22'!K313</f>
        <v>284400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4023851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5762844</v>
      </c>
      <c r="C1630" s="2" t="s">
        <v>594</v>
      </c>
      <c r="D1630" s="2" t="str">
        <f t="shared" si="24"/>
        <v>Error?</v>
      </c>
    </row>
    <row r="1631" spans="1:4" x14ac:dyDescent="0.2">
      <c r="A1631" s="5">
        <v>1570</v>
      </c>
      <c r="B1631" s="138">
        <f>'Acct Summary 7-8'!D79</f>
        <v>237865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79226</v>
      </c>
      <c r="C1644" s="2" t="s">
        <v>594</v>
      </c>
      <c r="D1644" s="2" t="str">
        <f t="shared" si="24"/>
        <v>Error?</v>
      </c>
    </row>
    <row r="1645" spans="1:4" x14ac:dyDescent="0.2">
      <c r="A1645" s="5">
        <v>1584</v>
      </c>
      <c r="B1645" s="138">
        <f>'Acct Summary 7-8'!E79</f>
        <v>110814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493819</v>
      </c>
      <c r="C1658" s="2" t="s">
        <v>594</v>
      </c>
      <c r="D1658" s="2" t="str">
        <f t="shared" si="24"/>
        <v>Error?</v>
      </c>
    </row>
    <row r="1659" spans="1:4" x14ac:dyDescent="0.2">
      <c r="A1659" s="5">
        <v>1598</v>
      </c>
      <c r="B1659" s="138">
        <f>'Acct Summary 7-8'!F79</f>
        <v>302781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747439</v>
      </c>
      <c r="C1672" s="2" t="s">
        <v>594</v>
      </c>
      <c r="D1672" s="2" t="str">
        <f t="shared" si="25"/>
        <v>Error?</v>
      </c>
    </row>
    <row r="1673" spans="1:4" x14ac:dyDescent="0.2">
      <c r="A1673" s="5">
        <v>1612</v>
      </c>
      <c r="B1673" s="138">
        <f>'Acct Summary 7-8'!G79</f>
        <v>238758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305943</v>
      </c>
      <c r="C1686" s="2" t="s">
        <v>594</v>
      </c>
      <c r="D1686" s="2" t="str">
        <f t="shared" si="25"/>
        <v>Error?</v>
      </c>
    </row>
    <row r="1687" spans="1:4" x14ac:dyDescent="0.2">
      <c r="A1687" s="5">
        <v>1626</v>
      </c>
      <c r="B1687" s="138">
        <f>'Acct Summary 7-8'!H79</f>
        <v>254384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538784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3529248</v>
      </c>
      <c r="C1744" s="2" t="s">
        <v>594</v>
      </c>
      <c r="D1744" s="2" t="str">
        <f t="shared" si="26"/>
        <v>Error?</v>
      </c>
    </row>
    <row r="1745" spans="1:5" x14ac:dyDescent="0.2">
      <c r="A1745" s="5">
        <v>1684</v>
      </c>
      <c r="B1745" s="138">
        <f>'Tax Sched 23'!B5</f>
        <v>720281</v>
      </c>
      <c r="C1745" s="2" t="s">
        <v>594</v>
      </c>
      <c r="D1745" s="2" t="str">
        <f t="shared" si="26"/>
        <v>Error?</v>
      </c>
    </row>
    <row r="1746" spans="1:5" x14ac:dyDescent="0.2">
      <c r="A1746" s="5">
        <v>1685</v>
      </c>
      <c r="B1746" s="138">
        <f>'Tax Sched 23'!B6</f>
        <v>901947</v>
      </c>
      <c r="C1746" s="2" t="s">
        <v>594</v>
      </c>
      <c r="D1746" s="2" t="str">
        <f t="shared" si="26"/>
        <v>Error?</v>
      </c>
    </row>
    <row r="1747" spans="1:5" x14ac:dyDescent="0.2">
      <c r="A1747" s="5">
        <v>1686</v>
      </c>
      <c r="B1747" s="138">
        <f>'Tax Sched 23'!B7</f>
        <v>293023</v>
      </c>
      <c r="C1747" s="2" t="s">
        <v>594</v>
      </c>
      <c r="D1747" s="2" t="str">
        <f t="shared" si="26"/>
        <v>Error?</v>
      </c>
    </row>
    <row r="1748" spans="1:5" x14ac:dyDescent="0.2">
      <c r="A1748" s="5">
        <v>1687</v>
      </c>
      <c r="B1748" s="138">
        <f>'Tax Sched 23'!B8</f>
        <v>323284</v>
      </c>
      <c r="C1748" s="2" t="s">
        <v>594</v>
      </c>
      <c r="D1748" s="2" t="str">
        <f t="shared" si="26"/>
        <v>Error?</v>
      </c>
    </row>
    <row r="1749" spans="1:5" x14ac:dyDescent="0.2">
      <c r="A1749" s="5">
        <v>1688</v>
      </c>
      <c r="B1749" s="138">
        <f>'Tax Sched 23'!B10</f>
        <v>61024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568334</v>
      </c>
      <c r="C1752" s="2" t="s">
        <v>594</v>
      </c>
      <c r="D1752" s="2" t="str">
        <f t="shared" si="26"/>
        <v>Error?</v>
      </c>
    </row>
    <row r="1753" spans="1:5" x14ac:dyDescent="0.2">
      <c r="A1753" s="5">
        <v>1692</v>
      </c>
      <c r="B1753" s="138">
        <f>'Tax Sched 23'!B12</f>
        <v>61024</v>
      </c>
      <c r="C1753" s="2" t="s">
        <v>594</v>
      </c>
      <c r="D1753" s="2" t="str">
        <f t="shared" si="26"/>
        <v>Error?</v>
      </c>
    </row>
    <row r="1754" spans="1:5" x14ac:dyDescent="0.2">
      <c r="A1754" s="5">
        <v>1693</v>
      </c>
      <c r="B1754" s="138">
        <f>'Tax Sched 23'!B14</f>
        <v>48098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6797361</v>
      </c>
      <c r="C1759" s="2" t="s">
        <v>594</v>
      </c>
      <c r="D1759" s="2" t="str">
        <f t="shared" si="26"/>
        <v>Error?</v>
      </c>
    </row>
    <row r="1760" spans="1:5" x14ac:dyDescent="0.2">
      <c r="A1760" s="5">
        <v>1699</v>
      </c>
      <c r="B1760" s="138">
        <f>'Tax Sched 23'!D4</f>
        <v>3235234</v>
      </c>
      <c r="C1760" s="2" t="s">
        <v>594</v>
      </c>
      <c r="D1760" s="2" t="str">
        <f t="shared" si="26"/>
        <v>Error?</v>
      </c>
    </row>
    <row r="1761" spans="1:5" x14ac:dyDescent="0.2">
      <c r="A1761" s="5">
        <v>1700</v>
      </c>
      <c r="B1761" s="138">
        <f>'Tax Sched 23'!D5</f>
        <v>660272</v>
      </c>
      <c r="C1761" s="2" t="s">
        <v>594</v>
      </c>
      <c r="D1761" s="2" t="str">
        <f t="shared" si="26"/>
        <v>Error?</v>
      </c>
    </row>
    <row r="1762" spans="1:5" s="8" customFormat="1" x14ac:dyDescent="0.2">
      <c r="A1762" s="5">
        <v>1701</v>
      </c>
      <c r="B1762" s="138">
        <f>'Tax Sched 23'!D6</f>
        <v>861606</v>
      </c>
      <c r="C1762" s="2" t="s">
        <v>594</v>
      </c>
      <c r="D1762" s="2" t="str">
        <f t="shared" si="26"/>
        <v>Error?</v>
      </c>
      <c r="E1762" s="9"/>
    </row>
    <row r="1763" spans="1:5" x14ac:dyDescent="0.2">
      <c r="A1763" s="5">
        <v>1702</v>
      </c>
      <c r="B1763" s="138">
        <f>'Tax Sched 23'!D7</f>
        <v>268606</v>
      </c>
      <c r="C1763" s="2" t="s">
        <v>594</v>
      </c>
      <c r="D1763" s="2" t="str">
        <f t="shared" si="26"/>
        <v>Error?</v>
      </c>
    </row>
    <row r="1764" spans="1:5" x14ac:dyDescent="0.2">
      <c r="A1764" s="5">
        <v>1703</v>
      </c>
      <c r="B1764" s="138">
        <f>'Tax Sched 23'!D8</f>
        <v>297028</v>
      </c>
      <c r="C1764" s="2" t="s">
        <v>594</v>
      </c>
      <c r="D1764" s="2" t="str">
        <f t="shared" si="26"/>
        <v>Error?</v>
      </c>
    </row>
    <row r="1765" spans="1:5" x14ac:dyDescent="0.2">
      <c r="A1765" s="5">
        <v>1704</v>
      </c>
      <c r="B1765" s="138">
        <f>'Tax Sched 23'!D10</f>
        <v>55937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522630</v>
      </c>
      <c r="C1768" s="2" t="s">
        <v>594</v>
      </c>
      <c r="D1768" s="2" t="str">
        <f t="shared" si="26"/>
        <v>Error?</v>
      </c>
    </row>
    <row r="1769" spans="1:5" x14ac:dyDescent="0.2">
      <c r="A1769" s="5">
        <v>1708</v>
      </c>
      <c r="B1769" s="138">
        <f>'Tax Sched 23'!D12</f>
        <v>55937</v>
      </c>
      <c r="C1769" s="2" t="s">
        <v>594</v>
      </c>
      <c r="D1769" s="2" t="str">
        <f t="shared" si="26"/>
        <v>Error?</v>
      </c>
    </row>
    <row r="1770" spans="1:5" x14ac:dyDescent="0.2">
      <c r="A1770" s="5">
        <v>1709</v>
      </c>
      <c r="B1770" s="138">
        <f>'Tax Sched 23'!D14</f>
        <v>44034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6268584</v>
      </c>
      <c r="C1775" s="2" t="s">
        <v>594</v>
      </c>
      <c r="D1775" s="2" t="str">
        <f t="shared" si="26"/>
        <v>Error?</v>
      </c>
    </row>
    <row r="1776" spans="1:5" x14ac:dyDescent="0.2">
      <c r="A1776" s="5">
        <v>1715</v>
      </c>
      <c r="B1776" s="138">
        <f>'Tax Sched 23'!C4</f>
        <v>294014</v>
      </c>
      <c r="D1776" s="2" t="str">
        <f t="shared" si="26"/>
        <v>Error?</v>
      </c>
    </row>
    <row r="1777" spans="1:4" x14ac:dyDescent="0.2">
      <c r="A1777" s="5">
        <v>1716</v>
      </c>
      <c r="B1777" s="138">
        <f>'Tax Sched 23'!C5</f>
        <v>60009</v>
      </c>
      <c r="D1777" s="2" t="str">
        <f t="shared" si="26"/>
        <v>Error?</v>
      </c>
    </row>
    <row r="1778" spans="1:4" x14ac:dyDescent="0.2">
      <c r="A1778" s="5">
        <v>1717</v>
      </c>
      <c r="B1778" s="138">
        <f>'Tax Sched 23'!C6</f>
        <v>40341</v>
      </c>
      <c r="D1778" s="2" t="str">
        <f t="shared" si="26"/>
        <v>Error?</v>
      </c>
    </row>
    <row r="1779" spans="1:4" x14ac:dyDescent="0.2">
      <c r="A1779" s="5">
        <v>1718</v>
      </c>
      <c r="B1779" s="138">
        <f>'Tax Sched 23'!C7</f>
        <v>24417</v>
      </c>
      <c r="D1779" s="2" t="str">
        <f t="shared" si="26"/>
        <v>Error?</v>
      </c>
    </row>
    <row r="1780" spans="1:4" x14ac:dyDescent="0.2">
      <c r="A1780" s="5">
        <v>1719</v>
      </c>
      <c r="B1780" s="138">
        <f>'Tax Sched 23'!C8</f>
        <v>26256</v>
      </c>
      <c r="D1780" s="2" t="str">
        <f t="shared" si="26"/>
        <v>Error?</v>
      </c>
    </row>
    <row r="1781" spans="1:4" x14ac:dyDescent="0.2">
      <c r="A1781" s="5">
        <v>1720</v>
      </c>
      <c r="B1781" s="138">
        <f>'Tax Sched 23'!C10</f>
        <v>5087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45704</v>
      </c>
      <c r="D1784" s="2" t="str">
        <f t="shared" si="26"/>
        <v>Error?</v>
      </c>
    </row>
    <row r="1785" spans="1:4" x14ac:dyDescent="0.2">
      <c r="A1785" s="5">
        <v>1724</v>
      </c>
      <c r="B1785" s="138">
        <f>'Tax Sched 23'!C12</f>
        <v>5087</v>
      </c>
      <c r="D1785" s="2" t="str">
        <f t="shared" si="26"/>
        <v>Error?</v>
      </c>
    </row>
    <row r="1786" spans="1:4" x14ac:dyDescent="0.2">
      <c r="A1786" s="5">
        <v>1725</v>
      </c>
      <c r="B1786" s="138">
        <f>'Tax Sched 23'!C14</f>
        <v>4064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528777</v>
      </c>
      <c r="C1791" s="2" t="s">
        <v>594</v>
      </c>
      <c r="D1791" s="2" t="str">
        <f t="shared" ref="D1791:D1854" si="27">IF(ISBLANK(B1791),"OK",IF(A1791-B1791=0,"OK","Error?"))</f>
        <v>Error?</v>
      </c>
    </row>
    <row r="1792" spans="1:4" x14ac:dyDescent="0.2">
      <c r="A1792" s="5">
        <v>1731</v>
      </c>
      <c r="B1792" s="138">
        <f>'Tax Sched 23'!F4</f>
        <v>3405014</v>
      </c>
      <c r="C1792" s="2" t="s">
        <v>594</v>
      </c>
      <c r="D1792" s="2" t="str">
        <f t="shared" si="27"/>
        <v>Error?</v>
      </c>
    </row>
    <row r="1793" spans="1:4" x14ac:dyDescent="0.2">
      <c r="A1793" s="5">
        <v>1732</v>
      </c>
      <c r="B1793" s="138">
        <f>'Tax Sched 23'!F5</f>
        <v>695156</v>
      </c>
      <c r="C1793" s="2" t="s">
        <v>594</v>
      </c>
      <c r="D1793" s="2" t="str">
        <f t="shared" si="27"/>
        <v>Error?</v>
      </c>
    </row>
    <row r="1794" spans="1:4" x14ac:dyDescent="0.2">
      <c r="A1794" s="5">
        <v>1733</v>
      </c>
      <c r="B1794" s="138">
        <f>'Tax Sched 23'!F6</f>
        <v>46391</v>
      </c>
      <c r="C1794" s="2" t="s">
        <v>594</v>
      </c>
      <c r="D1794" s="2" t="str">
        <f t="shared" si="27"/>
        <v>Error?</v>
      </c>
    </row>
    <row r="1795" spans="1:4" x14ac:dyDescent="0.2">
      <c r="A1795" s="5">
        <v>1734</v>
      </c>
      <c r="B1795" s="138">
        <f>'Tax Sched 23'!F7</f>
        <v>282769</v>
      </c>
      <c r="C1795" s="2" t="s">
        <v>594</v>
      </c>
      <c r="D1795" s="2" t="str">
        <f t="shared" si="27"/>
        <v>Error?</v>
      </c>
    </row>
    <row r="1796" spans="1:4" x14ac:dyDescent="0.2">
      <c r="A1796" s="5">
        <v>1735</v>
      </c>
      <c r="B1796" s="138">
        <f>'Tax Sched 23'!F8</f>
        <v>305995</v>
      </c>
      <c r="C1796" s="2" t="s">
        <v>594</v>
      </c>
      <c r="D1796" s="2" t="str">
        <f t="shared" si="27"/>
        <v>Error?</v>
      </c>
    </row>
    <row r="1797" spans="1:4" x14ac:dyDescent="0.2">
      <c r="A1797" s="5">
        <v>1736</v>
      </c>
      <c r="B1797" s="138">
        <f>'Tax Sched 23'!F10</f>
        <v>58910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533222</v>
      </c>
      <c r="C1800" s="2" t="s">
        <v>594</v>
      </c>
      <c r="D1800" s="2" t="str">
        <f t="shared" si="27"/>
        <v>Error?</v>
      </c>
    </row>
    <row r="1801" spans="1:4" x14ac:dyDescent="0.2">
      <c r="A1801" s="5">
        <v>1740</v>
      </c>
      <c r="B1801" s="138">
        <f>'Tax Sched 23'!F12</f>
        <v>58910</v>
      </c>
      <c r="C1801" s="2" t="s">
        <v>594</v>
      </c>
      <c r="D1801" s="2" t="str">
        <f t="shared" si="27"/>
        <v>Error?</v>
      </c>
    </row>
    <row r="1802" spans="1:4" x14ac:dyDescent="0.2">
      <c r="A1802" s="5">
        <v>1741</v>
      </c>
      <c r="B1802" s="138">
        <f>'Tax Sched 23'!F14</f>
        <v>47134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5710311</v>
      </c>
      <c r="C1807" s="2" t="s">
        <v>594</v>
      </c>
      <c r="D1807" s="2" t="str">
        <f t="shared" si="27"/>
        <v>Error?</v>
      </c>
    </row>
    <row r="1808" spans="1:4" x14ac:dyDescent="0.2">
      <c r="A1808" s="5">
        <v>1747</v>
      </c>
      <c r="B1808" s="138">
        <f>'Tax Sched 23'!E4</f>
        <v>3699028</v>
      </c>
      <c r="D1808" s="2" t="str">
        <f t="shared" si="27"/>
        <v>Error?</v>
      </c>
    </row>
    <row r="1809" spans="1:4" x14ac:dyDescent="0.2">
      <c r="A1809" s="5">
        <v>1748</v>
      </c>
      <c r="B1809" s="138">
        <f>'Tax Sched 23'!E5</f>
        <v>755165</v>
      </c>
      <c r="D1809" s="2" t="str">
        <f t="shared" si="27"/>
        <v>Error?</v>
      </c>
    </row>
    <row r="1810" spans="1:4" x14ac:dyDescent="0.2">
      <c r="A1810" s="5">
        <v>1749</v>
      </c>
      <c r="B1810" s="138">
        <f>'Tax Sched 23'!E6</f>
        <v>86732</v>
      </c>
      <c r="D1810" s="2" t="str">
        <f t="shared" si="27"/>
        <v>Error?</v>
      </c>
    </row>
    <row r="1811" spans="1:4" x14ac:dyDescent="0.2">
      <c r="A1811" s="5">
        <v>1750</v>
      </c>
      <c r="B1811" s="138">
        <f>'Tax Sched 23'!E7</f>
        <v>307186</v>
      </c>
      <c r="D1811" s="2" t="str">
        <f t="shared" si="27"/>
        <v>Error?</v>
      </c>
    </row>
    <row r="1812" spans="1:4" x14ac:dyDescent="0.2">
      <c r="A1812" s="5">
        <v>1751</v>
      </c>
      <c r="B1812" s="138">
        <f>'Tax Sched 23'!E8</f>
        <v>332251</v>
      </c>
      <c r="D1812" s="2" t="str">
        <f t="shared" si="27"/>
        <v>Error?</v>
      </c>
    </row>
    <row r="1813" spans="1:4" x14ac:dyDescent="0.2">
      <c r="A1813" s="5">
        <v>1752</v>
      </c>
      <c r="B1813" s="138">
        <f>'Tax Sched 23'!E10</f>
        <v>63997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578926</v>
      </c>
      <c r="D1816" s="2" t="str">
        <f t="shared" si="27"/>
        <v>Error?</v>
      </c>
    </row>
    <row r="1817" spans="1:4" x14ac:dyDescent="0.2">
      <c r="A1817" s="5">
        <v>1756</v>
      </c>
      <c r="B1817" s="138">
        <f>'Tax Sched 23'!E12</f>
        <v>63997</v>
      </c>
      <c r="D1817" s="2" t="str">
        <f t="shared" si="27"/>
        <v>Error?</v>
      </c>
    </row>
    <row r="1818" spans="1:4" x14ac:dyDescent="0.2">
      <c r="A1818" s="5">
        <v>1757</v>
      </c>
      <c r="B1818" s="138">
        <f>'Tax Sched 23'!E14</f>
        <v>51198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6239088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4874328</v>
      </c>
      <c r="C1939" s="2" t="s">
        <v>594</v>
      </c>
      <c r="D1939" s="2" t="str">
        <f t="shared" si="29"/>
        <v>Error?</v>
      </c>
    </row>
    <row r="1940" spans="1:5" x14ac:dyDescent="0.2">
      <c r="A1940" s="5">
        <v>1879</v>
      </c>
      <c r="B1940" s="138">
        <f>'Short-Term Long-Term Debt 24'!F49</f>
        <v>288921</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48098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48098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48098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307026</v>
      </c>
      <c r="D2008" s="2" t="str">
        <f t="shared" si="30"/>
        <v>Error?</v>
      </c>
    </row>
    <row r="2009" spans="1:4" x14ac:dyDescent="0.2">
      <c r="A2009" s="5">
        <v>1948</v>
      </c>
      <c r="B2009" s="138">
        <f>'Cap Outlay Deprec 26'!C8</f>
        <v>15319273</v>
      </c>
      <c r="D2009" s="2" t="str">
        <f t="shared" si="30"/>
        <v>Error?</v>
      </c>
    </row>
    <row r="2010" spans="1:4" x14ac:dyDescent="0.2">
      <c r="A2010" s="5">
        <v>1949</v>
      </c>
      <c r="B2010" s="138">
        <f>'Cap Outlay Deprec 26'!C10</f>
        <v>582634</v>
      </c>
      <c r="D2010" s="2" t="str">
        <f t="shared" si="30"/>
        <v>Error?</v>
      </c>
    </row>
    <row r="2011" spans="1:4" x14ac:dyDescent="0.2">
      <c r="A2011" s="5">
        <v>1950</v>
      </c>
      <c r="B2011" s="138">
        <f>'Cap Outlay Deprec 26'!C12</f>
        <v>3625109</v>
      </c>
      <c r="D2011" s="2" t="str">
        <f t="shared" si="30"/>
        <v>Error?</v>
      </c>
    </row>
    <row r="2012" spans="1:4" x14ac:dyDescent="0.2">
      <c r="A2012" s="5">
        <v>1951</v>
      </c>
      <c r="B2012" s="138">
        <f>'Cap Outlay Deprec 26'!C13</f>
        <v>1892172</v>
      </c>
      <c r="D2012" s="2" t="str">
        <f t="shared" si="30"/>
        <v>Error?</v>
      </c>
    </row>
    <row r="2013" spans="1:4" x14ac:dyDescent="0.2">
      <c r="A2013" s="5">
        <v>1952</v>
      </c>
      <c r="B2013" s="138">
        <f>'Cap Outlay Deprec 26'!C16</f>
        <v>21726214</v>
      </c>
      <c r="C2013" s="2" t="s">
        <v>594</v>
      </c>
      <c r="D2013" s="2" t="str">
        <f t="shared" si="30"/>
        <v>Error?</v>
      </c>
    </row>
    <row r="2014" spans="1:4" x14ac:dyDescent="0.2">
      <c r="A2014" s="5">
        <v>1953</v>
      </c>
      <c r="B2014" s="138">
        <f>'Cap Outlay Deprec 26'!D5</f>
        <v>96102</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73359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169461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403128</v>
      </c>
      <c r="C2026" s="2" t="s">
        <v>594</v>
      </c>
      <c r="D2026" s="2" t="str">
        <f t="shared" si="30"/>
        <v>Error?</v>
      </c>
    </row>
    <row r="2027" spans="1:4" x14ac:dyDescent="0.2">
      <c r="A2027" s="5">
        <v>1966</v>
      </c>
      <c r="B2027" s="138">
        <f>'Cap Outlay Deprec 26'!F8</f>
        <v>15319273</v>
      </c>
      <c r="C2027" s="2" t="s">
        <v>594</v>
      </c>
      <c r="D2027" s="2" t="str">
        <f t="shared" si="30"/>
        <v>Error?</v>
      </c>
    </row>
    <row r="2028" spans="1:4" x14ac:dyDescent="0.2">
      <c r="A2028" s="5">
        <v>1967</v>
      </c>
      <c r="B2028" s="138">
        <f>'Cap Outlay Deprec 26'!F10</f>
        <v>582634</v>
      </c>
      <c r="C2028" s="2" t="s">
        <v>594</v>
      </c>
      <c r="D2028" s="2" t="str">
        <f t="shared" si="30"/>
        <v>Error?</v>
      </c>
    </row>
    <row r="2029" spans="1:4" x14ac:dyDescent="0.2">
      <c r="A2029" s="5">
        <v>1968</v>
      </c>
      <c r="B2029" s="138">
        <f>'Cap Outlay Deprec 26'!F12</f>
        <v>3698468</v>
      </c>
      <c r="C2029" s="2" t="s">
        <v>594</v>
      </c>
      <c r="D2029" s="2" t="str">
        <f t="shared" si="30"/>
        <v>Error?</v>
      </c>
    </row>
    <row r="2030" spans="1:4" x14ac:dyDescent="0.2">
      <c r="A2030" s="5">
        <v>1969</v>
      </c>
      <c r="B2030" s="138">
        <f>'Cap Outlay Deprec 26'!F13</f>
        <v>1892172</v>
      </c>
      <c r="C2030" s="2" t="s">
        <v>594</v>
      </c>
      <c r="D2030" s="2" t="str">
        <f t="shared" si="30"/>
        <v>Error?</v>
      </c>
    </row>
    <row r="2031" spans="1:4" x14ac:dyDescent="0.2">
      <c r="A2031" s="5">
        <v>1970</v>
      </c>
      <c r="B2031" s="138">
        <f>'Cap Outlay Deprec 26'!F16</f>
        <v>21895675</v>
      </c>
      <c r="C2031" s="2" t="s">
        <v>594</v>
      </c>
      <c r="D2031" s="2" t="str">
        <f t="shared" si="30"/>
        <v>Error?</v>
      </c>
    </row>
    <row r="2032" spans="1:4" x14ac:dyDescent="0.2">
      <c r="A2032" s="10">
        <v>1971</v>
      </c>
      <c r="D2032" s="2" t="str">
        <f t="shared" si="30"/>
        <v>OK</v>
      </c>
    </row>
    <row r="2033" spans="1:4" x14ac:dyDescent="0.2">
      <c r="A2033" s="5">
        <v>1972</v>
      </c>
      <c r="B2033" s="138">
        <f>'Cap Outlay Deprec 26'!H8</f>
        <v>8279160</v>
      </c>
      <c r="D2033" s="2" t="str">
        <f t="shared" si="30"/>
        <v>Error?</v>
      </c>
    </row>
    <row r="2034" spans="1:4" x14ac:dyDescent="0.2">
      <c r="A2034" s="5">
        <v>1973</v>
      </c>
      <c r="B2034" s="138">
        <f>'Cap Outlay Deprec 26'!H10</f>
        <v>306042</v>
      </c>
      <c r="D2034" s="2" t="str">
        <f t="shared" si="30"/>
        <v>Error?</v>
      </c>
    </row>
    <row r="2035" spans="1:4" x14ac:dyDescent="0.2">
      <c r="A2035" s="5">
        <v>1974</v>
      </c>
      <c r="B2035" s="138">
        <f>'Cap Outlay Deprec 26'!H12</f>
        <v>3117802</v>
      </c>
      <c r="D2035" s="2" t="str">
        <f t="shared" si="30"/>
        <v>Error?</v>
      </c>
    </row>
    <row r="2036" spans="1:4" x14ac:dyDescent="0.2">
      <c r="A2036" s="5">
        <v>1975</v>
      </c>
      <c r="B2036" s="138">
        <f>'Cap Outlay Deprec 26'!H13</f>
        <v>1766861</v>
      </c>
      <c r="D2036" s="2" t="str">
        <f t="shared" si="30"/>
        <v>Error?</v>
      </c>
    </row>
    <row r="2037" spans="1:4" x14ac:dyDescent="0.2">
      <c r="A2037" s="5">
        <v>1976</v>
      </c>
      <c r="B2037" s="138">
        <f>'Cap Outlay Deprec 26'!H16</f>
        <v>13469865</v>
      </c>
      <c r="C2037" s="2" t="s">
        <v>594</v>
      </c>
      <c r="D2037" s="2" t="str">
        <f t="shared" si="30"/>
        <v>Error?</v>
      </c>
    </row>
    <row r="2038" spans="1:4" x14ac:dyDescent="0.2">
      <c r="A2038" s="10">
        <v>1977</v>
      </c>
      <c r="D2038" s="2" t="str">
        <f t="shared" si="30"/>
        <v>OK</v>
      </c>
    </row>
    <row r="2039" spans="1:4" x14ac:dyDescent="0.2">
      <c r="A2039" s="5">
        <v>1978</v>
      </c>
      <c r="B2039" s="138">
        <f>'Cap Outlay Deprec 26'!I8</f>
        <v>306385</v>
      </c>
      <c r="D2039" s="2" t="str">
        <f t="shared" si="30"/>
        <v>Error?</v>
      </c>
    </row>
    <row r="2040" spans="1:4" x14ac:dyDescent="0.2">
      <c r="A2040" s="5">
        <v>1979</v>
      </c>
      <c r="B2040" s="138">
        <f>'Cap Outlay Deprec 26'!I10</f>
        <v>13830</v>
      </c>
      <c r="D2040" s="2" t="str">
        <f t="shared" si="30"/>
        <v>Error?</v>
      </c>
    </row>
    <row r="2041" spans="1:4" x14ac:dyDescent="0.2">
      <c r="A2041" s="5">
        <v>1980</v>
      </c>
      <c r="B2041" s="138">
        <f>'Cap Outlay Deprec 26'!I12</f>
        <v>58067</v>
      </c>
      <c r="D2041" s="2" t="str">
        <f t="shared" si="30"/>
        <v>Error?</v>
      </c>
    </row>
    <row r="2042" spans="1:4" x14ac:dyDescent="0.2">
      <c r="A2042" s="5">
        <v>1981</v>
      </c>
      <c r="B2042" s="138">
        <f>'Cap Outlay Deprec 26'!I13</f>
        <v>86798</v>
      </c>
      <c r="D2042" s="2" t="str">
        <f t="shared" si="30"/>
        <v>Error?</v>
      </c>
    </row>
    <row r="2043" spans="1:4" x14ac:dyDescent="0.2">
      <c r="A2043" s="5">
        <v>1982</v>
      </c>
      <c r="B2043" s="138">
        <f>'Cap Outlay Deprec 26'!I16</f>
        <v>465080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8585545</v>
      </c>
      <c r="C2051" s="2" t="s">
        <v>594</v>
      </c>
      <c r="D2051" s="2" t="str">
        <f t="shared" si="31"/>
        <v>Error?</v>
      </c>
    </row>
    <row r="2052" spans="1:4" x14ac:dyDescent="0.2">
      <c r="A2052" s="5">
        <v>1991</v>
      </c>
      <c r="B2052" s="138">
        <f>'Cap Outlay Deprec 26'!K10</f>
        <v>319872</v>
      </c>
      <c r="C2052" s="2" t="s">
        <v>594</v>
      </c>
      <c r="D2052" s="2" t="str">
        <f t="shared" si="31"/>
        <v>Error?</v>
      </c>
    </row>
    <row r="2053" spans="1:4" x14ac:dyDescent="0.2">
      <c r="A2053" s="5">
        <v>1992</v>
      </c>
      <c r="B2053" s="138">
        <f>'Cap Outlay Deprec 26'!K12</f>
        <v>3175869</v>
      </c>
      <c r="C2053" s="2" t="s">
        <v>594</v>
      </c>
      <c r="D2053" s="2" t="str">
        <f t="shared" si="31"/>
        <v>Error?</v>
      </c>
    </row>
    <row r="2054" spans="1:4" x14ac:dyDescent="0.2">
      <c r="A2054" s="5">
        <v>1993</v>
      </c>
      <c r="B2054" s="138">
        <f>'Cap Outlay Deprec 26'!K13</f>
        <v>1853659</v>
      </c>
      <c r="C2054" s="2" t="s">
        <v>594</v>
      </c>
      <c r="D2054" s="2" t="str">
        <f t="shared" si="31"/>
        <v>Error?</v>
      </c>
    </row>
    <row r="2055" spans="1:4" x14ac:dyDescent="0.2">
      <c r="A2055" s="5">
        <v>1994</v>
      </c>
      <c r="B2055" s="138">
        <f>'Cap Outlay Deprec 26'!K16</f>
        <v>13934945</v>
      </c>
      <c r="C2055" s="2" t="s">
        <v>594</v>
      </c>
      <c r="D2055" s="2" t="str">
        <f t="shared" si="31"/>
        <v>Error?</v>
      </c>
    </row>
    <row r="2056" spans="1:4" x14ac:dyDescent="0.2">
      <c r="A2056" s="5">
        <v>1995</v>
      </c>
      <c r="B2056" s="138">
        <f>'Cap Outlay Deprec 26'!L5</f>
        <v>403128</v>
      </c>
      <c r="C2056" s="2" t="s">
        <v>594</v>
      </c>
      <c r="D2056" s="2" t="str">
        <f t="shared" si="31"/>
        <v>Error?</v>
      </c>
    </row>
    <row r="2057" spans="1:4" x14ac:dyDescent="0.2">
      <c r="A2057" s="5">
        <v>1996</v>
      </c>
      <c r="B2057" s="138">
        <f>'Cap Outlay Deprec 26'!L8</f>
        <v>6733728</v>
      </c>
      <c r="C2057" s="2" t="s">
        <v>594</v>
      </c>
      <c r="D2057" s="2" t="str">
        <f t="shared" si="31"/>
        <v>Error?</v>
      </c>
    </row>
    <row r="2058" spans="1:4" x14ac:dyDescent="0.2">
      <c r="A2058" s="5">
        <v>1997</v>
      </c>
      <c r="B2058" s="138">
        <f>'Cap Outlay Deprec 26'!L10</f>
        <v>262762</v>
      </c>
      <c r="C2058" s="2" t="s">
        <v>594</v>
      </c>
      <c r="D2058" s="2" t="str">
        <f t="shared" si="31"/>
        <v>Error?</v>
      </c>
    </row>
    <row r="2059" spans="1:4" x14ac:dyDescent="0.2">
      <c r="A2059" s="5">
        <v>1998</v>
      </c>
      <c r="B2059" s="138">
        <f>'Cap Outlay Deprec 26'!L12</f>
        <v>522599</v>
      </c>
      <c r="C2059" s="2" t="s">
        <v>594</v>
      </c>
      <c r="D2059" s="2" t="str">
        <f t="shared" si="31"/>
        <v>Error?</v>
      </c>
    </row>
    <row r="2060" spans="1:4" x14ac:dyDescent="0.2">
      <c r="A2060" s="5">
        <v>1999</v>
      </c>
      <c r="B2060" s="138">
        <f>'Cap Outlay Deprec 26'!L13</f>
        <v>38513</v>
      </c>
      <c r="C2060" s="2" t="s">
        <v>594</v>
      </c>
      <c r="D2060" s="2" t="str">
        <f t="shared" si="31"/>
        <v>Error?</v>
      </c>
    </row>
    <row r="2061" spans="1:4" x14ac:dyDescent="0.2">
      <c r="A2061" s="5">
        <v>2000</v>
      </c>
      <c r="B2061" s="138">
        <f>'Cap Outlay Deprec 26'!L16</f>
        <v>7960730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1325693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1325693</v>
      </c>
      <c r="C2088" s="2" t="s">
        <v>594</v>
      </c>
      <c r="D2088" s="2" t="str">
        <f t="shared" si="31"/>
        <v>Error?</v>
      </c>
    </row>
    <row r="2089" spans="1:4" x14ac:dyDescent="0.2">
      <c r="A2089" s="5">
        <v>2028</v>
      </c>
      <c r="B2089" s="138">
        <f>'Expenditures 15-22'!K92</f>
        <v>51300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305943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493819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538784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3925495</v>
      </c>
      <c r="C2551" s="2" t="s">
        <v>594</v>
      </c>
      <c r="D2551" s="2" t="str">
        <f t="shared" si="38"/>
        <v>Error?</v>
      </c>
    </row>
    <row r="2552" spans="1:4" x14ac:dyDescent="0.2">
      <c r="A2552" s="10">
        <v>2491</v>
      </c>
      <c r="D2552" s="2" t="str">
        <f t="shared" si="38"/>
        <v>OK</v>
      </c>
    </row>
    <row r="2553" spans="1:4" x14ac:dyDescent="0.2">
      <c r="A2553" s="5">
        <v>2492</v>
      </c>
      <c r="B2553" s="138">
        <f>'Acct Summary 7-8'!C6</f>
        <v>6218558</v>
      </c>
      <c r="C2553" s="2" t="s">
        <v>594</v>
      </c>
      <c r="D2553" s="2" t="str">
        <f t="shared" si="38"/>
        <v>Error?</v>
      </c>
    </row>
    <row r="2554" spans="1:4" x14ac:dyDescent="0.2">
      <c r="A2554" s="5">
        <v>2493</v>
      </c>
      <c r="B2554" s="138">
        <f>'Acct Summary 7-8'!C7</f>
        <v>1163808</v>
      </c>
      <c r="C2554" s="2" t="s">
        <v>594</v>
      </c>
      <c r="D2554" s="2" t="str">
        <f t="shared" si="38"/>
        <v>Error?</v>
      </c>
    </row>
    <row r="2555" spans="1:4" x14ac:dyDescent="0.2">
      <c r="A2555" s="5">
        <v>2494</v>
      </c>
      <c r="B2555" s="138">
        <f>'Acct Summary 7-8'!C8</f>
        <v>11307861</v>
      </c>
      <c r="C2555" s="2" t="s">
        <v>594</v>
      </c>
      <c r="D2555" s="2" t="str">
        <f t="shared" si="38"/>
        <v>Error?</v>
      </c>
    </row>
    <row r="2556" spans="1:4" x14ac:dyDescent="0.2">
      <c r="A2556" s="5">
        <v>2495</v>
      </c>
      <c r="B2556" s="138">
        <f>'Acct Summary 7-8'!C12</f>
        <v>5444547</v>
      </c>
      <c r="C2556" s="2" t="s">
        <v>594</v>
      </c>
      <c r="D2556" s="2" t="str">
        <f t="shared" si="38"/>
        <v>Error?</v>
      </c>
    </row>
    <row r="2557" spans="1:4" x14ac:dyDescent="0.2">
      <c r="A2557" s="5">
        <v>2496</v>
      </c>
      <c r="B2557" s="138">
        <f>'Acct Summary 7-8'!C13</f>
        <v>2718041</v>
      </c>
      <c r="C2557" s="2" t="s">
        <v>594</v>
      </c>
      <c r="D2557" s="2" t="str">
        <f t="shared" si="38"/>
        <v>Error?</v>
      </c>
    </row>
    <row r="2558" spans="1:4" x14ac:dyDescent="0.2">
      <c r="A2558" s="5">
        <v>2497</v>
      </c>
      <c r="B2558" s="138">
        <f>'Acct Summary 7-8'!C14</f>
        <v>29287</v>
      </c>
      <c r="C2558" s="2" t="s">
        <v>594</v>
      </c>
      <c r="D2558" s="2" t="str">
        <f t="shared" si="38"/>
        <v>Error?</v>
      </c>
    </row>
    <row r="2559" spans="1:4" x14ac:dyDescent="0.2">
      <c r="A2559" s="5">
        <v>2498</v>
      </c>
      <c r="B2559" s="138">
        <f>'Acct Summary 7-8'!C15</f>
        <v>1376993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9568868</v>
      </c>
      <c r="C2561" s="2" t="s">
        <v>594</v>
      </c>
      <c r="D2561" s="2" t="str">
        <f t="shared" si="39"/>
        <v>Error?</v>
      </c>
    </row>
    <row r="2562" spans="1:4" x14ac:dyDescent="0.2">
      <c r="A2562" s="5">
        <v>2501</v>
      </c>
      <c r="B2562" s="138">
        <f>'Acct Summary 7-8'!C20</f>
        <v>1738993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816240</v>
      </c>
      <c r="C2564" s="2" t="s">
        <v>594</v>
      </c>
      <c r="D2564" s="2" t="str">
        <f t="shared" si="39"/>
        <v>Error?</v>
      </c>
    </row>
    <row r="2565" spans="1:4" x14ac:dyDescent="0.2">
      <c r="A2565" s="10">
        <v>2504</v>
      </c>
      <c r="D2565" s="2" t="str">
        <f t="shared" si="39"/>
        <v>OK</v>
      </c>
    </row>
    <row r="2566" spans="1:4" x14ac:dyDescent="0.2">
      <c r="A2566" s="5">
        <v>2505</v>
      </c>
      <c r="B2566" s="138">
        <f>'Acct Summary 7-8'!D6</f>
        <v>240000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1056240</v>
      </c>
      <c r="C2568" s="2" t="s">
        <v>594</v>
      </c>
      <c r="D2568" s="2" t="str">
        <f t="shared" si="39"/>
        <v>Error?</v>
      </c>
    </row>
    <row r="2569" spans="1:4" x14ac:dyDescent="0.2">
      <c r="A2569" s="5">
        <v>2508</v>
      </c>
      <c r="B2569" s="138">
        <f>'Acct Summary 7-8'!D13</f>
        <v>1214879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1214879</v>
      </c>
      <c r="C2573" s="2" t="s">
        <v>594</v>
      </c>
      <c r="D2573" s="2" t="str">
        <f t="shared" si="39"/>
        <v>Error?</v>
      </c>
    </row>
    <row r="2574" spans="1:4" x14ac:dyDescent="0.2">
      <c r="A2574" s="5">
        <v>2513</v>
      </c>
      <c r="B2574" s="138">
        <f>'Acct Summary 7-8'!D20</f>
        <v>-158639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484962</v>
      </c>
      <c r="C2591" s="2" t="s">
        <v>594</v>
      </c>
      <c r="D2591" s="2" t="str">
        <f t="shared" si="39"/>
        <v>Error?</v>
      </c>
    </row>
    <row r="2592" spans="1:4" x14ac:dyDescent="0.2">
      <c r="A2592" s="10">
        <v>2531</v>
      </c>
      <c r="D2592" s="2" t="str">
        <f t="shared" si="39"/>
        <v>OK</v>
      </c>
    </row>
    <row r="2593" spans="1:4" x14ac:dyDescent="0.2">
      <c r="A2593" s="5">
        <v>2532</v>
      </c>
      <c r="B2593" s="138">
        <f>'Acct Summary 7-8'!F6</f>
        <v>751636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1236598</v>
      </c>
      <c r="C2595" s="2" t="s">
        <v>594</v>
      </c>
      <c r="D2595" s="2" t="str">
        <f t="shared" si="39"/>
        <v>Error?</v>
      </c>
    </row>
    <row r="2596" spans="1:4" x14ac:dyDescent="0.2">
      <c r="A2596" s="5">
        <v>2535</v>
      </c>
      <c r="B2596" s="138">
        <f>'Acct Summary 7-8'!F13</f>
        <v>703655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88285</v>
      </c>
      <c r="C2599" s="2" t="s">
        <v>594</v>
      </c>
      <c r="D2599" s="2" t="str">
        <f t="shared" si="39"/>
        <v>Error?</v>
      </c>
    </row>
    <row r="2600" spans="1:4" x14ac:dyDescent="0.2">
      <c r="A2600" s="5">
        <v>2539</v>
      </c>
      <c r="B2600" s="138">
        <f>'Acct Summary 7-8'!F17</f>
        <v>791940</v>
      </c>
      <c r="C2600" s="2" t="s">
        <v>594</v>
      </c>
      <c r="D2600" s="2" t="str">
        <f t="shared" si="39"/>
        <v>Error?</v>
      </c>
    </row>
    <row r="2601" spans="1:4" x14ac:dyDescent="0.2">
      <c r="A2601" s="5">
        <v>2540</v>
      </c>
      <c r="B2601" s="138">
        <f>'Acct Summary 7-8'!F20</f>
        <v>444658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570420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570420</v>
      </c>
      <c r="C2606" s="2" t="s">
        <v>594</v>
      </c>
      <c r="D2606" s="2" t="str">
        <f t="shared" si="39"/>
        <v>Error?</v>
      </c>
    </row>
    <row r="2607" spans="1:4" x14ac:dyDescent="0.2">
      <c r="A2607" s="5">
        <v>2546</v>
      </c>
      <c r="B2607" s="138">
        <f>'Acct Summary 7-8'!G12</f>
        <v>109073</v>
      </c>
      <c r="C2607" s="2" t="s">
        <v>594</v>
      </c>
      <c r="D2607" s="2" t="str">
        <f t="shared" si="39"/>
        <v>Error?</v>
      </c>
    </row>
    <row r="2608" spans="1:4" x14ac:dyDescent="0.2">
      <c r="A2608" s="5">
        <v>2547</v>
      </c>
      <c r="B2608" s="138">
        <f>'Acct Summary 7-8'!G13</f>
        <v>391650</v>
      </c>
      <c r="C2608" s="2" t="s">
        <v>594</v>
      </c>
      <c r="D2608" s="2" t="str">
        <f t="shared" si="39"/>
        <v>Error?</v>
      </c>
    </row>
    <row r="2609" spans="1:4" x14ac:dyDescent="0.2">
      <c r="A2609" s="5">
        <v>2548</v>
      </c>
      <c r="B2609" s="138">
        <f>'Acct Summary 7-8'!G14</f>
        <v>2512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503235</v>
      </c>
      <c r="C2612" s="2" t="s">
        <v>594</v>
      </c>
      <c r="D2612" s="2" t="str">
        <f t="shared" si="39"/>
        <v>Error?</v>
      </c>
    </row>
    <row r="2613" spans="1:4" x14ac:dyDescent="0.2">
      <c r="A2613" s="5">
        <v>2552</v>
      </c>
      <c r="B2613" s="138">
        <f>'Acct Summary 7-8'!G20</f>
        <v>67185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902149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902149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519144</v>
      </c>
      <c r="C2634" s="2" t="s">
        <v>594</v>
      </c>
      <c r="D2634" s="2" t="str">
        <f t="shared" si="40"/>
        <v>Error?</v>
      </c>
    </row>
    <row r="2635" spans="1:4" x14ac:dyDescent="0.2">
      <c r="A2635" s="5">
        <v>2574</v>
      </c>
      <c r="B2635" s="138">
        <f>'Acct Summary 7-8'!E17</f>
        <v>519144</v>
      </c>
      <c r="C2635" s="2" t="s">
        <v>594</v>
      </c>
      <c r="D2635" s="2" t="str">
        <f t="shared" si="40"/>
        <v>Error?</v>
      </c>
    </row>
    <row r="2636" spans="1:4" x14ac:dyDescent="0.2">
      <c r="A2636" s="5">
        <v>2575</v>
      </c>
      <c r="B2636" s="138">
        <f>'Acct Summary 7-8'!E20</f>
        <v>383005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380502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380502</v>
      </c>
      <c r="C2658" s="2" t="s">
        <v>594</v>
      </c>
      <c r="D2658" s="2" t="str">
        <f t="shared" si="40"/>
        <v>Error?</v>
      </c>
    </row>
    <row r="2659" spans="1:4" x14ac:dyDescent="0.2">
      <c r="A2659" s="5">
        <v>2598</v>
      </c>
      <c r="B2659" s="138">
        <f>'Acct Summary 7-8'!H13</f>
        <v>96102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96102</v>
      </c>
      <c r="C2661" s="2" t="s">
        <v>594</v>
      </c>
      <c r="D2661" s="2" t="str">
        <f t="shared" si="40"/>
        <v>Error?</v>
      </c>
    </row>
    <row r="2662" spans="1:4" x14ac:dyDescent="0.2">
      <c r="A2662" s="5">
        <v>2601</v>
      </c>
      <c r="B2662" s="138">
        <f>'Acct Summary 7-8'!H20</f>
        <v>284400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12306</v>
      </c>
      <c r="D2718" s="2" t="str">
        <f t="shared" si="41"/>
        <v>Error?</v>
      </c>
    </row>
    <row r="2719" spans="1:4" x14ac:dyDescent="0.2">
      <c r="A2719" s="5">
        <v>2658</v>
      </c>
      <c r="B2719" s="138">
        <f>'Expenditures 15-22'!D51</f>
        <v>595</v>
      </c>
      <c r="D2719" s="2" t="str">
        <f t="shared" si="41"/>
        <v>Error?</v>
      </c>
    </row>
    <row r="2720" spans="1:4" x14ac:dyDescent="0.2">
      <c r="A2720" s="5">
        <v>2659</v>
      </c>
      <c r="B2720" s="138">
        <f>'Expenditures 15-22'!E51</f>
        <v>515</v>
      </c>
      <c r="D2720" s="2" t="str">
        <f t="shared" si="41"/>
        <v>Error?</v>
      </c>
    </row>
    <row r="2721" spans="1:4" x14ac:dyDescent="0.2">
      <c r="A2721" s="5">
        <v>2660</v>
      </c>
      <c r="B2721" s="138">
        <f>'Expenditures 15-22'!F51</f>
        <v>630</v>
      </c>
      <c r="D2721" s="2" t="str">
        <f t="shared" si="41"/>
        <v>Error?</v>
      </c>
    </row>
    <row r="2722" spans="1:4" x14ac:dyDescent="0.2">
      <c r="A2722" s="5">
        <v>2661</v>
      </c>
      <c r="B2722" s="138">
        <f>'Expenditures 15-22'!G51</f>
        <v>5258</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19304</v>
      </c>
      <c r="C2724" s="2" t="s">
        <v>594</v>
      </c>
      <c r="D2724" s="2" t="str">
        <f t="shared" si="41"/>
        <v>Error?</v>
      </c>
    </row>
    <row r="2725" spans="1:4" x14ac:dyDescent="0.2">
      <c r="A2725" s="5">
        <v>2664</v>
      </c>
      <c r="B2725" s="138">
        <f>'Expenditures 15-22'!D247</f>
        <v>3056</v>
      </c>
      <c r="D2725" s="2" t="str">
        <f t="shared" si="41"/>
        <v>Error?</v>
      </c>
    </row>
    <row r="2726" spans="1:4" x14ac:dyDescent="0.2">
      <c r="A2726" s="5">
        <v>2665</v>
      </c>
      <c r="B2726" s="138">
        <f>'Expenditures 15-22'!K247</f>
        <v>3056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246153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352774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193930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352774</v>
      </c>
      <c r="D2912" s="2" t="str">
        <f t="shared" si="44"/>
        <v>Error?</v>
      </c>
    </row>
    <row r="2913" spans="1:4" x14ac:dyDescent="0.2">
      <c r="A2913" s="5">
        <v>2852</v>
      </c>
      <c r="B2913" s="138">
        <f>'Assets-Liab 5-6'!I41</f>
        <v>352774</v>
      </c>
      <c r="C2913" s="2" t="s">
        <v>594</v>
      </c>
      <c r="D2913" s="2" t="str">
        <f t="shared" si="44"/>
        <v>Error?</v>
      </c>
    </row>
    <row r="2914" spans="1:4" x14ac:dyDescent="0.2">
      <c r="A2914" s="5">
        <v>2853</v>
      </c>
      <c r="B2914" s="138">
        <f>'Assets-Liab 5-6'!L33</f>
        <v>193930</v>
      </c>
      <c r="D2914" s="2" t="str">
        <f t="shared" si="44"/>
        <v>Error?</v>
      </c>
    </row>
    <row r="2915" spans="1:4" x14ac:dyDescent="0.2">
      <c r="A2915" s="10">
        <v>2854</v>
      </c>
      <c r="D2915" s="2" t="str">
        <f t="shared" si="44"/>
        <v>OK</v>
      </c>
    </row>
    <row r="2916" spans="1:4" x14ac:dyDescent="0.2">
      <c r="A2916" s="5">
        <v>2855</v>
      </c>
      <c r="B2916" s="138">
        <f>'Assets-Liab 5-6'!L34</f>
        <v>193930</v>
      </c>
      <c r="C2916" s="2" t="s">
        <v>594</v>
      </c>
      <c r="D2916" s="2" t="str">
        <f t="shared" si="44"/>
        <v>Error?</v>
      </c>
    </row>
    <row r="2917" spans="1:4" x14ac:dyDescent="0.2">
      <c r="A2917" s="5">
        <v>2856</v>
      </c>
      <c r="B2917" s="138">
        <f>'Assets-Liab 5-6'!L41</f>
        <v>193930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1325693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1325693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131942</v>
      </c>
      <c r="D3055" s="2" t="str">
        <f t="shared" si="46"/>
        <v>Error?</v>
      </c>
    </row>
    <row r="3056" spans="1:4" x14ac:dyDescent="0.2">
      <c r="A3056" s="5">
        <v>2995</v>
      </c>
      <c r="B3056" s="138">
        <f>'Expenditures 15-22'!D10</f>
        <v>42472</v>
      </c>
      <c r="D3056" s="2" t="str">
        <f t="shared" si="46"/>
        <v>Error?</v>
      </c>
    </row>
    <row r="3057" spans="1:4" x14ac:dyDescent="0.2">
      <c r="A3057" s="5">
        <v>2996</v>
      </c>
      <c r="B3057" s="138">
        <f>'Expenditures 15-22'!E10</f>
        <v>18933</v>
      </c>
      <c r="D3057" s="2" t="str">
        <f t="shared" si="46"/>
        <v>Error?</v>
      </c>
    </row>
    <row r="3058" spans="1:4" x14ac:dyDescent="0.2">
      <c r="A3058" s="5">
        <v>2997</v>
      </c>
      <c r="B3058" s="138">
        <f>'Expenditures 15-22'!F10</f>
        <v>118993</v>
      </c>
      <c r="D3058" s="2" t="str">
        <f t="shared" si="46"/>
        <v>Error?</v>
      </c>
    </row>
    <row r="3059" spans="1:4" x14ac:dyDescent="0.2">
      <c r="A3059" s="5">
        <v>2998</v>
      </c>
      <c r="B3059" s="138">
        <f>'Expenditures 15-22'!G10</f>
        <v>9703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322043</v>
      </c>
      <c r="C3062" s="2" t="s">
        <v>594</v>
      </c>
      <c r="D3062" s="2" t="str">
        <f t="shared" si="46"/>
        <v>Error?</v>
      </c>
    </row>
    <row r="3063" spans="1:4" x14ac:dyDescent="0.2">
      <c r="A3063" s="10">
        <v>3002</v>
      </c>
      <c r="D3063" s="2" t="str">
        <f t="shared" si="46"/>
        <v>OK</v>
      </c>
    </row>
    <row r="3064" spans="1:4" x14ac:dyDescent="0.2">
      <c r="A3064" s="5">
        <v>3003</v>
      </c>
      <c r="B3064" s="138">
        <f>'Expenditures 15-22'!D219</f>
        <v>17116</v>
      </c>
      <c r="D3064" s="2" t="str">
        <f t="shared" si="46"/>
        <v>Error?</v>
      </c>
    </row>
    <row r="3065" spans="1:4" x14ac:dyDescent="0.2">
      <c r="A3065" s="5">
        <v>3004</v>
      </c>
      <c r="B3065" s="138">
        <f>'Expenditures 15-22'!K219</f>
        <v>17116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61273</v>
      </c>
      <c r="C3225" s="2" t="s">
        <v>594</v>
      </c>
      <c r="D3225" s="2" t="str">
        <f t="shared" si="49"/>
        <v>Error?</v>
      </c>
    </row>
    <row r="3226" spans="1:4" x14ac:dyDescent="0.2">
      <c r="A3226" s="5">
        <v>3165</v>
      </c>
      <c r="B3226" s="138">
        <f>'Acct Summary 7-8'!I8</f>
        <v>61273</v>
      </c>
      <c r="C3226" s="2" t="s">
        <v>594</v>
      </c>
      <c r="D3226" s="2" t="str">
        <f t="shared" si="49"/>
        <v>Error?</v>
      </c>
    </row>
    <row r="3227" spans="1:4" x14ac:dyDescent="0.2">
      <c r="A3227" s="5">
        <v>3166</v>
      </c>
      <c r="B3227" s="138">
        <f>'Acct Summary 7-8'!I20</f>
        <v>61273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1738993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-158639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444658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67185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383005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284400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61273</v>
      </c>
      <c r="C3320" s="2" t="s">
        <v>594</v>
      </c>
      <c r="D3320" s="2" t="str">
        <f t="shared" si="50"/>
        <v>Error?</v>
      </c>
    </row>
    <row r="3321" spans="1:4" x14ac:dyDescent="0.2">
      <c r="A3321" s="5">
        <v>3260</v>
      </c>
      <c r="B3321" s="138">
        <f>'Acct Summary 7-8'!I79</f>
        <v>291501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352774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67915</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67915</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5762844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79226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493819</v>
      </c>
      <c r="D3417" s="2" t="str">
        <f t="shared" si="52"/>
        <v>Error?</v>
      </c>
    </row>
    <row r="3418" spans="1:4" x14ac:dyDescent="0.2">
      <c r="A3418" s="10">
        <v>3357</v>
      </c>
      <c r="D3418" s="2" t="str">
        <f t="shared" si="52"/>
        <v>OK</v>
      </c>
    </row>
    <row r="3419" spans="1:4" x14ac:dyDescent="0.2">
      <c r="A3419" s="5">
        <v>3358</v>
      </c>
      <c r="B3419" s="138">
        <f>'Assets-Liab 5-6'!F4</f>
        <v>747439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305943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538784</v>
      </c>
      <c r="D3425" s="2" t="str">
        <f t="shared" si="52"/>
        <v>Error?</v>
      </c>
    </row>
    <row r="3426" spans="1:4" x14ac:dyDescent="0.2">
      <c r="A3426" s="10">
        <v>3365</v>
      </c>
      <c r="D3426" s="2" t="str">
        <f t="shared" si="52"/>
        <v>OK</v>
      </c>
    </row>
    <row r="3427" spans="1:4" x14ac:dyDescent="0.2">
      <c r="A3427" s="5">
        <v>3366</v>
      </c>
      <c r="B3427" s="138">
        <f>'Assets-Liab 5-6'!I4</f>
        <v>106621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193930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230523</v>
      </c>
      <c r="C3446" s="2" t="s">
        <v>594</v>
      </c>
      <c r="D3446" s="2" t="str">
        <f t="shared" si="52"/>
        <v>Error?</v>
      </c>
    </row>
    <row r="3447" spans="1:4" x14ac:dyDescent="0.2">
      <c r="A3447" s="5">
        <v>3386</v>
      </c>
      <c r="B3447" s="138">
        <f>'Tax Sched 23'!D16</f>
        <v>211870</v>
      </c>
      <c r="C3447" s="2" t="s">
        <v>594</v>
      </c>
      <c r="D3447" s="2" t="str">
        <f t="shared" si="52"/>
        <v>Error?</v>
      </c>
    </row>
    <row r="3448" spans="1:4" x14ac:dyDescent="0.2">
      <c r="A3448" s="5">
        <v>3387</v>
      </c>
      <c r="B3448" s="138">
        <f>'Tax Sched 23'!C16</f>
        <v>18653</v>
      </c>
      <c r="D3448" s="2" t="str">
        <f t="shared" si="52"/>
        <v>Error?</v>
      </c>
    </row>
    <row r="3449" spans="1:4" x14ac:dyDescent="0.2">
      <c r="A3449" s="5">
        <v>3388</v>
      </c>
      <c r="B3449" s="138">
        <f>'Tax Sched 23'!F16</f>
        <v>217958</v>
      </c>
      <c r="C3449" s="2" t="s">
        <v>594</v>
      </c>
      <c r="D3449" s="2" t="str">
        <f t="shared" si="52"/>
        <v>Error?</v>
      </c>
    </row>
    <row r="3450" spans="1:4" x14ac:dyDescent="0.2">
      <c r="A3450" s="5">
        <v>3389</v>
      </c>
      <c r="B3450" s="138">
        <f>'Tax Sched 23'!E16</f>
        <v>236611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142163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127392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269555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269555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269555</v>
      </c>
      <c r="C3568" s="2" t="s">
        <v>594</v>
      </c>
      <c r="D3568" s="2" t="str">
        <f t="shared" si="54"/>
        <v>Error?</v>
      </c>
    </row>
    <row r="3569" spans="1:4" x14ac:dyDescent="0.2">
      <c r="A3569" s="5">
        <v>3508</v>
      </c>
      <c r="B3569" s="138">
        <f>'Acct Summary 7-8'!K4</f>
        <v>63470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63470</v>
      </c>
      <c r="C3571" s="2" t="s">
        <v>594</v>
      </c>
      <c r="D3571" s="2" t="str">
        <f t="shared" si="54"/>
        <v>Error?</v>
      </c>
    </row>
    <row r="3572" spans="1:4" x14ac:dyDescent="0.2">
      <c r="A3572" s="5">
        <v>3511</v>
      </c>
      <c r="B3572" s="138">
        <f>'Acct Summary 7-8'!K13</f>
        <v>1361410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125238</v>
      </c>
      <c r="C3574" s="2" t="s">
        <v>594</v>
      </c>
      <c r="D3574" s="2" t="str">
        <f t="shared" si="54"/>
        <v>Error?</v>
      </c>
    </row>
    <row r="3575" spans="1:4" x14ac:dyDescent="0.2">
      <c r="A3575" s="5">
        <v>3514</v>
      </c>
      <c r="B3575" s="138">
        <f>'Acct Summary 7-8'!K17</f>
        <v>1486648</v>
      </c>
      <c r="C3575" s="2" t="s">
        <v>594</v>
      </c>
      <c r="D3575" s="2" t="str">
        <f t="shared" si="54"/>
        <v>Error?</v>
      </c>
    </row>
    <row r="3576" spans="1:4" x14ac:dyDescent="0.2">
      <c r="A3576" s="5">
        <v>3515</v>
      </c>
      <c r="B3576" s="138">
        <f>'Acct Summary 7-8'!K20</f>
        <v>-1423178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-1423178</v>
      </c>
      <c r="C3588" s="2" t="s">
        <v>594</v>
      </c>
      <c r="D3588" s="2" t="str">
        <f t="shared" si="55"/>
        <v>Error?</v>
      </c>
    </row>
    <row r="3589" spans="1:4" x14ac:dyDescent="0.2">
      <c r="A3589" s="5">
        <v>3528</v>
      </c>
      <c r="B3589" s="138">
        <f>'Acct Summary 7-8'!K79</f>
        <v>1692733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269555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1351673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1351673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1351673</v>
      </c>
      <c r="C3635" s="2" t="s">
        <v>594</v>
      </c>
      <c r="D3635" s="2" t="str">
        <f t="shared" si="55"/>
        <v>Error?</v>
      </c>
    </row>
    <row r="3636" spans="1:4" x14ac:dyDescent="0.2">
      <c r="A3636" s="5">
        <v>3575</v>
      </c>
      <c r="B3636" s="138">
        <f>'Expenditures 15-22'!E367</f>
        <v>1351673</v>
      </c>
      <c r="C3636" s="2" t="s">
        <v>594</v>
      </c>
      <c r="D3636" s="2" t="str">
        <f t="shared" si="55"/>
        <v>Error?</v>
      </c>
    </row>
    <row r="3637" spans="1:4" x14ac:dyDescent="0.2">
      <c r="A3637" s="10">
        <v>3576</v>
      </c>
      <c r="D3637" s="2" t="str">
        <f t="shared" si="55"/>
        <v>OK</v>
      </c>
    </row>
    <row r="3638" spans="1:4" x14ac:dyDescent="0.2">
      <c r="A3638" s="5">
        <v>3577</v>
      </c>
      <c r="B3638" s="138">
        <f>'Expenditures 15-22'!F348</f>
        <v>9737</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9737</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9737</v>
      </c>
      <c r="C3642" s="2" t="s">
        <v>594</v>
      </c>
      <c r="D3642" s="2" t="str">
        <f t="shared" si="55"/>
        <v>Error?</v>
      </c>
    </row>
    <row r="3643" spans="1:4" x14ac:dyDescent="0.2">
      <c r="A3643" s="5">
        <v>3582</v>
      </c>
      <c r="B3643" s="138">
        <f>'Expenditures 15-22'!F367</f>
        <v>9737</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125238</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1361410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1361410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1361410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1486648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-1423178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60575</v>
      </c>
      <c r="C3725" s="2" t="s">
        <v>594</v>
      </c>
      <c r="D3725" s="2" t="str">
        <f t="shared" si="57"/>
        <v>Error?</v>
      </c>
    </row>
    <row r="3726" spans="1:4" x14ac:dyDescent="0.2">
      <c r="A3726" s="5">
        <v>3665</v>
      </c>
      <c r="B3726" s="138">
        <f>'Tax Sched 23'!D13</f>
        <v>55430</v>
      </c>
      <c r="C3726" s="2" t="s">
        <v>594</v>
      </c>
      <c r="D3726" s="2" t="str">
        <f t="shared" si="57"/>
        <v>Error?</v>
      </c>
    </row>
    <row r="3727" spans="1:4" x14ac:dyDescent="0.2">
      <c r="A3727" s="5">
        <v>3666</v>
      </c>
      <c r="B3727" s="138">
        <f>'Tax Sched 23'!C13</f>
        <v>5145</v>
      </c>
      <c r="D3727" s="2" t="str">
        <f t="shared" si="57"/>
        <v>Error?</v>
      </c>
    </row>
    <row r="3728" spans="1:4" x14ac:dyDescent="0.2">
      <c r="A3728" s="5">
        <v>3667</v>
      </c>
      <c r="B3728" s="138">
        <f>'Tax Sched 23'!F13</f>
        <v>58852</v>
      </c>
      <c r="C3728" s="2" t="s">
        <v>594</v>
      </c>
      <c r="D3728" s="2" t="str">
        <f t="shared" si="57"/>
        <v>Error?</v>
      </c>
    </row>
    <row r="3729" spans="1:4" x14ac:dyDescent="0.2">
      <c r="A3729" s="5">
        <v>3668</v>
      </c>
      <c r="B3729" s="138">
        <f>'Tax Sched 23'!E13</f>
        <v>63997</v>
      </c>
      <c r="D3729" s="2" t="str">
        <f t="shared" si="57"/>
        <v>Error?</v>
      </c>
    </row>
    <row r="3730" spans="1:4" x14ac:dyDescent="0.2">
      <c r="A3730" s="5">
        <v>3669</v>
      </c>
      <c r="B3730" s="138">
        <f>'ICR Computation 30'!E10</f>
        <v>397140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3723471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15031332</v>
      </c>
      <c r="C4122" s="2" t="s">
        <v>594</v>
      </c>
      <c r="D4122" s="2" t="str">
        <f t="shared" si="63"/>
        <v>Error?</v>
      </c>
    </row>
    <row r="4123" spans="1:4" x14ac:dyDescent="0.2">
      <c r="A4123" s="5">
        <v>4062</v>
      </c>
      <c r="B4123" s="138">
        <f>'Acct Summary 7-8'!D10</f>
        <v>1056240</v>
      </c>
      <c r="C4123" s="2" t="s">
        <v>594</v>
      </c>
      <c r="D4123" s="2" t="str">
        <f t="shared" si="63"/>
        <v>Error?</v>
      </c>
    </row>
    <row r="4124" spans="1:4" x14ac:dyDescent="0.2">
      <c r="A4124" s="5">
        <v>4063</v>
      </c>
      <c r="B4124" s="138">
        <f>'Acct Summary 7-8'!E10</f>
        <v>902149</v>
      </c>
      <c r="C4124" s="2" t="s">
        <v>594</v>
      </c>
      <c r="D4124" s="2" t="str">
        <f t="shared" si="63"/>
        <v>Error?</v>
      </c>
    </row>
    <row r="4125" spans="1:4" x14ac:dyDescent="0.2">
      <c r="A4125" s="5">
        <v>4064</v>
      </c>
      <c r="B4125" s="138">
        <f>'Acct Summary 7-8'!F10</f>
        <v>1236598</v>
      </c>
      <c r="C4125" s="2" t="s">
        <v>594</v>
      </c>
      <c r="D4125" s="2" t="str">
        <f t="shared" si="63"/>
        <v>Error?</v>
      </c>
    </row>
    <row r="4126" spans="1:4" x14ac:dyDescent="0.2">
      <c r="A4126" s="5">
        <v>4065</v>
      </c>
      <c r="B4126" s="138">
        <f>'Acct Summary 7-8'!G10</f>
        <v>570420</v>
      </c>
      <c r="C4126" s="2" t="s">
        <v>594</v>
      </c>
      <c r="D4126" s="2" t="str">
        <f t="shared" si="63"/>
        <v>Error?</v>
      </c>
    </row>
    <row r="4127" spans="1:4" x14ac:dyDescent="0.2">
      <c r="A4127" s="5">
        <v>4066</v>
      </c>
      <c r="B4127" s="138">
        <f>'Acct Summary 7-8'!H10</f>
        <v>380502</v>
      </c>
      <c r="C4127" s="2" t="s">
        <v>594</v>
      </c>
      <c r="D4127" s="2" t="str">
        <f t="shared" si="63"/>
        <v>Error?</v>
      </c>
    </row>
    <row r="4128" spans="1:4" x14ac:dyDescent="0.2">
      <c r="A4128" s="5">
        <v>4067</v>
      </c>
      <c r="B4128" s="138">
        <f>'Acct Summary 7-8'!I10</f>
        <v>61273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63470</v>
      </c>
      <c r="C4130" s="2" t="s">
        <v>594</v>
      </c>
      <c r="D4130" s="2" t="str">
        <f t="shared" si="63"/>
        <v>Error?</v>
      </c>
    </row>
    <row r="4131" spans="1:4" x14ac:dyDescent="0.2">
      <c r="A4131" s="5">
        <v>4070</v>
      </c>
      <c r="B4131" s="138">
        <f>'Acct Summary 7-8'!C18</f>
        <v>3723471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13292339</v>
      </c>
      <c r="C4136" s="2" t="s">
        <v>594</v>
      </c>
      <c r="D4136" s="2" t="str">
        <f t="shared" si="63"/>
        <v>Error?</v>
      </c>
    </row>
    <row r="4137" spans="1:4" x14ac:dyDescent="0.2">
      <c r="A4137" s="5">
        <v>4076</v>
      </c>
      <c r="B4137" s="138">
        <f>'Acct Summary 7-8'!D19</f>
        <v>1214879</v>
      </c>
      <c r="C4137" s="2" t="s">
        <v>594</v>
      </c>
      <c r="D4137" s="2" t="str">
        <f t="shared" si="63"/>
        <v>Error?</v>
      </c>
    </row>
    <row r="4138" spans="1:4" x14ac:dyDescent="0.2">
      <c r="A4138" s="5">
        <v>4077</v>
      </c>
      <c r="B4138" s="138">
        <f>'Acct Summary 7-8'!E19</f>
        <v>519144</v>
      </c>
      <c r="C4138" s="2" t="s">
        <v>594</v>
      </c>
      <c r="D4138" s="2" t="str">
        <f t="shared" si="63"/>
        <v>Error?</v>
      </c>
    </row>
    <row r="4139" spans="1:4" x14ac:dyDescent="0.2">
      <c r="A4139" s="5">
        <v>4078</v>
      </c>
      <c r="B4139" s="138">
        <f>'Acct Summary 7-8'!F19</f>
        <v>791940</v>
      </c>
      <c r="C4139" s="2" t="s">
        <v>594</v>
      </c>
      <c r="D4139" s="2" t="str">
        <f t="shared" si="63"/>
        <v>Error?</v>
      </c>
    </row>
    <row r="4140" spans="1:4" x14ac:dyDescent="0.2">
      <c r="A4140" s="5">
        <v>4079</v>
      </c>
      <c r="B4140" s="138">
        <f>'Acct Summary 7-8'!G19</f>
        <v>503235</v>
      </c>
      <c r="C4140" s="2" t="s">
        <v>594</v>
      </c>
      <c r="D4140" s="2" t="str">
        <f t="shared" si="63"/>
        <v>Error?</v>
      </c>
    </row>
    <row r="4141" spans="1:4" x14ac:dyDescent="0.2">
      <c r="A4141" s="5">
        <v>4080</v>
      </c>
      <c r="B4141" s="138">
        <f>'Acct Summary 7-8'!H19</f>
        <v>96102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1486648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4613737</v>
      </c>
      <c r="C4171" s="2" t="s">
        <v>594</v>
      </c>
      <c r="D4171" s="2" t="str">
        <f t="shared" si="64"/>
        <v>Error?</v>
      </c>
    </row>
    <row r="4172" spans="1:4" x14ac:dyDescent="0.2">
      <c r="A4172" s="5">
        <v>4111</v>
      </c>
      <c r="B4172" s="138">
        <f>'Short-Term Long-Term Debt 24'!J49</f>
        <v>4119918</v>
      </c>
      <c r="C4172" s="2" t="s">
        <v>594</v>
      </c>
      <c r="D4172" s="2" t="str">
        <f t="shared" si="64"/>
        <v>Error?</v>
      </c>
    </row>
    <row r="4173" spans="1:4" x14ac:dyDescent="0.2">
      <c r="A4173" s="5">
        <v>4112</v>
      </c>
      <c r="B4173" s="138">
        <f>'Short-Term Long-Term Debt 24'!H49</f>
        <v>549512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84512</v>
      </c>
      <c r="D4210" s="2" t="str">
        <f t="shared" si="64"/>
        <v>Error?</v>
      </c>
    </row>
    <row r="4211" spans="1:4" x14ac:dyDescent="0.2">
      <c r="A4211" s="5">
        <v>4150</v>
      </c>
      <c r="B4211" s="138">
        <f>'Expenditures 15-22'!K206</f>
        <v>84512</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2890</v>
      </c>
      <c r="C4265" s="2" t="s">
        <v>594</v>
      </c>
      <c r="D4265" s="2" t="str">
        <f t="shared" si="65"/>
        <v>Error?</v>
      </c>
      <c r="E4265" s="128"/>
    </row>
    <row r="4266" spans="1:5" x14ac:dyDescent="0.2">
      <c r="A4266" s="12">
        <v>4205</v>
      </c>
      <c r="B4266" s="138">
        <f>('FP Info 3'!F10)*100000</f>
        <v>590</v>
      </c>
      <c r="C4266" s="2" t="s">
        <v>594</v>
      </c>
      <c r="D4266" s="2" t="str">
        <f t="shared" si="65"/>
        <v>Error?</v>
      </c>
      <c r="E4266" s="128"/>
    </row>
    <row r="4267" spans="1:5" x14ac:dyDescent="0.2">
      <c r="A4267" s="12">
        <v>4206</v>
      </c>
      <c r="B4267" s="138">
        <f>('FP Info 3'!H10)*100000</f>
        <v>239.99999999999997</v>
      </c>
      <c r="C4267" s="2" t="s">
        <v>594</v>
      </c>
      <c r="D4267" s="2" t="str">
        <f t="shared" si="65"/>
        <v>Error?</v>
      </c>
      <c r="E4267" s="128"/>
    </row>
    <row r="4268" spans="1:5" x14ac:dyDescent="0.2">
      <c r="A4268" s="12">
        <v>4207</v>
      </c>
      <c r="B4268" s="138">
        <f>('FP Info 3'!J10)*100000</f>
        <v>3719.9999999999995</v>
      </c>
      <c r="C4268" s="2" t="s">
        <v>594</v>
      </c>
      <c r="D4268" s="2" t="str">
        <f t="shared" si="65"/>
        <v>Error?</v>
      </c>
    </row>
    <row r="4269" spans="1:5" x14ac:dyDescent="0.2">
      <c r="A4269" s="12">
        <v>4208</v>
      </c>
      <c r="B4269" s="138">
        <f>'FP Info 3'!J16</f>
        <v>6942283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14092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61085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21107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1854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127994047</v>
      </c>
      <c r="D4995" s="2" t="str">
        <f t="shared" si="77"/>
        <v>Error?</v>
      </c>
    </row>
    <row r="4996" spans="1:4" x14ac:dyDescent="0.2">
      <c r="A4996" s="12">
        <v>4935</v>
      </c>
      <c r="B4996" s="138">
        <f>'FP Info 3'!H31</f>
        <v>17663178.486000001</v>
      </c>
      <c r="D4996" s="2" t="str">
        <f t="shared" si="77"/>
        <v>Error?</v>
      </c>
    </row>
    <row r="4997" spans="1:4" x14ac:dyDescent="0.2">
      <c r="A4997" s="12">
        <v>4936</v>
      </c>
      <c r="B4997" s="138">
        <f>'FP Info 3'!H37</f>
        <v>4613737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60575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3529248</v>
      </c>
      <c r="D5061" s="2" t="str">
        <f t="shared" si="78"/>
        <v>Error?</v>
      </c>
    </row>
    <row r="5062" spans="1:4" x14ac:dyDescent="0.2">
      <c r="A5062" s="10">
        <v>5001</v>
      </c>
      <c r="D5062" s="2" t="str">
        <f t="shared" si="78"/>
        <v>OK</v>
      </c>
    </row>
    <row r="5063" spans="1:4" x14ac:dyDescent="0.2">
      <c r="A5063" s="5">
        <v>5002</v>
      </c>
      <c r="B5063" s="138">
        <f>'Revenues 9-14'!C7</f>
        <v>48098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3637921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5341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5341</v>
      </c>
      <c r="C5090" s="2" t="s">
        <v>594</v>
      </c>
      <c r="D5090" s="2" t="str">
        <f t="shared" si="78"/>
        <v>Error?</v>
      </c>
    </row>
    <row r="5091" spans="1:4" x14ac:dyDescent="0.2">
      <c r="A5091" s="5">
        <v>5030</v>
      </c>
      <c r="B5091" s="138">
        <f>'Revenues 9-14'!C70</f>
        <v>3372</v>
      </c>
      <c r="D5091" s="2" t="str">
        <f t="shared" si="78"/>
        <v>Error?</v>
      </c>
    </row>
    <row r="5092" spans="1:4" x14ac:dyDescent="0.2">
      <c r="A5092" s="5">
        <v>5031</v>
      </c>
      <c r="B5092" s="138">
        <f>'Revenues 9-14'!C71</f>
        <v>7513</v>
      </c>
      <c r="D5092" s="2" t="str">
        <f t="shared" si="78"/>
        <v>Error?</v>
      </c>
    </row>
    <row r="5093" spans="1:4" x14ac:dyDescent="0.2">
      <c r="A5093" s="5">
        <v>5032</v>
      </c>
      <c r="B5093" s="138">
        <f>'Revenues 9-14'!C72</f>
        <v>8561</v>
      </c>
      <c r="D5093" s="2" t="str">
        <f t="shared" si="78"/>
        <v>Error?</v>
      </c>
    </row>
    <row r="5094" spans="1:4" x14ac:dyDescent="0.2">
      <c r="A5094" s="5">
        <v>5033</v>
      </c>
      <c r="B5094" s="138">
        <f>'Revenues 9-14'!C73</f>
        <v>12667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36810</v>
      </c>
      <c r="C5096" s="2" t="s">
        <v>594</v>
      </c>
      <c r="D5096" s="2" t="str">
        <f t="shared" si="78"/>
        <v>Error?</v>
      </c>
    </row>
    <row r="5097" spans="1:4" x14ac:dyDescent="0.2">
      <c r="A5097" s="5">
        <v>5036</v>
      </c>
      <c r="B5097" s="138">
        <f>'Revenues 9-14'!C77</f>
        <v>60987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3972</v>
      </c>
      <c r="D5100" s="2" t="str">
        <f t="shared" si="78"/>
        <v>Error?</v>
      </c>
    </row>
    <row r="5101" spans="1:4" x14ac:dyDescent="0.2">
      <c r="A5101" s="5">
        <v>5040</v>
      </c>
      <c r="B5101" s="138">
        <f>'Revenues 9-14'!C81</f>
        <v>85</v>
      </c>
      <c r="D5101" s="2" t="str">
        <f t="shared" si="78"/>
        <v>Error?</v>
      </c>
    </row>
    <row r="5102" spans="1:4" x14ac:dyDescent="0.2">
      <c r="A5102" s="5">
        <v>5041</v>
      </c>
      <c r="B5102" s="138">
        <f>'Revenues 9-14'!C82</f>
        <v>65044</v>
      </c>
      <c r="C5102" s="2" t="s">
        <v>594</v>
      </c>
      <c r="D5102" s="2" t="str">
        <f t="shared" si="78"/>
        <v>Error?</v>
      </c>
    </row>
    <row r="5103" spans="1:4" x14ac:dyDescent="0.2">
      <c r="A5103" s="5">
        <v>5042</v>
      </c>
      <c r="B5103" s="138">
        <f>'Revenues 9-14'!C84</f>
        <v>109020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109020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61265</v>
      </c>
      <c r="D5119" s="2" t="str">
        <f t="shared" ref="D5119:D5182" si="79">IF(ISBLANK(B5119),"OK",IF(A5119-B5119=0,"OK","Error?"))</f>
        <v>Error?</v>
      </c>
    </row>
    <row r="5120" spans="1:4" x14ac:dyDescent="0.2">
      <c r="A5120" s="5">
        <v>5059</v>
      </c>
      <c r="B5120" s="138">
        <f>'Revenues 9-14'!C108</f>
        <v>71359</v>
      </c>
      <c r="C5120" s="2" t="s">
        <v>594</v>
      </c>
      <c r="D5120" s="2" t="str">
        <f t="shared" si="79"/>
        <v>Error?</v>
      </c>
    </row>
    <row r="5121" spans="1:4" x14ac:dyDescent="0.2">
      <c r="A5121" s="5">
        <v>5060</v>
      </c>
      <c r="B5121" s="138">
        <f>'Revenues 9-14'!C109</f>
        <v>3925495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5285397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5285397</v>
      </c>
      <c r="C5132" s="2" t="s">
        <v>594</v>
      </c>
      <c r="D5132" s="2" t="str">
        <f t="shared" si="79"/>
        <v>Error?</v>
      </c>
    </row>
    <row r="5133" spans="1:4" x14ac:dyDescent="0.2">
      <c r="A5133" s="5">
        <v>5072</v>
      </c>
      <c r="B5133" s="138">
        <f>'Revenues 9-14'!C124</f>
        <v>243440</v>
      </c>
      <c r="D5133" s="2" t="str">
        <f t="shared" si="79"/>
        <v>Error?</v>
      </c>
    </row>
    <row r="5134" spans="1:4" x14ac:dyDescent="0.2">
      <c r="A5134" s="5">
        <v>5073</v>
      </c>
      <c r="B5134" s="138">
        <f>'Revenues 9-14'!C125</f>
        <v>93088</v>
      </c>
      <c r="D5134" s="2" t="str">
        <f t="shared" si="79"/>
        <v>Error?</v>
      </c>
    </row>
    <row r="5135" spans="1:4" x14ac:dyDescent="0.2">
      <c r="A5135" s="5">
        <v>5074</v>
      </c>
      <c r="B5135" s="138">
        <f>'Revenues 9-14'!C126</f>
        <v>4123</v>
      </c>
      <c r="D5135" s="2" t="str">
        <f t="shared" si="79"/>
        <v>Error?</v>
      </c>
    </row>
    <row r="5136" spans="1:4" x14ac:dyDescent="0.2">
      <c r="A5136" s="10">
        <v>5075</v>
      </c>
      <c r="D5136" s="2" t="str">
        <f t="shared" si="79"/>
        <v>OK</v>
      </c>
    </row>
    <row r="5137" spans="1:4" x14ac:dyDescent="0.2">
      <c r="A5137" s="5">
        <v>5076</v>
      </c>
      <c r="B5137" s="138">
        <f>'Revenues 9-14'!C127</f>
        <v>102777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4308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447736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3283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8415</v>
      </c>
      <c r="D5167" s="2" t="str">
        <f t="shared" si="79"/>
        <v>Error?</v>
      </c>
    </row>
    <row r="5168" spans="1:4" x14ac:dyDescent="0.2">
      <c r="A5168" s="5">
        <v>5107</v>
      </c>
      <c r="B5168" s="138">
        <f>'Revenues 9-14'!C147</f>
        <v>20530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451343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933161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6218558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406295</v>
      </c>
      <c r="D5239" s="2" t="str">
        <f t="shared" si="80"/>
        <v>Error?</v>
      </c>
    </row>
    <row r="5240" spans="1:4" x14ac:dyDescent="0.2">
      <c r="A5240" s="5">
        <v>5179</v>
      </c>
      <c r="B5240" s="138">
        <f>'Revenues 9-14'!C195</f>
        <v>2397</v>
      </c>
      <c r="D5240" s="2" t="str">
        <f t="shared" si="80"/>
        <v>Error?</v>
      </c>
    </row>
    <row r="5241" spans="1:4" x14ac:dyDescent="0.2">
      <c r="A5241" s="5">
        <v>5180</v>
      </c>
      <c r="B5241" s="138">
        <f>'Revenues 9-14'!C196</f>
        <v>137965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546657</v>
      </c>
      <c r="C5246" s="2" t="s">
        <v>594</v>
      </c>
      <c r="D5246" s="2" t="str">
        <f t="shared" si="80"/>
        <v>Error?</v>
      </c>
    </row>
    <row r="5247" spans="1:4" x14ac:dyDescent="0.2">
      <c r="A5247" s="5">
        <v>5186</v>
      </c>
      <c r="B5247" s="138">
        <f>'Revenues 9-14'!C203</f>
        <v>257184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257184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34341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212384</v>
      </c>
      <c r="D5278" s="2" t="str">
        <f t="shared" si="81"/>
        <v>Error?</v>
      </c>
    </row>
    <row r="5279" spans="1:4" x14ac:dyDescent="0.2">
      <c r="A5279" s="5">
        <v>5218</v>
      </c>
      <c r="B5279" s="138">
        <f>'Revenues 9-14'!C221</f>
        <v>14958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261683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1163808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1163808</v>
      </c>
      <c r="C5326" s="2" t="s">
        <v>594</v>
      </c>
      <c r="D5326" s="2" t="str">
        <f t="shared" si="82"/>
        <v>Error?</v>
      </c>
    </row>
    <row r="5327" spans="1:4" x14ac:dyDescent="0.2">
      <c r="A5327" s="5">
        <v>5266</v>
      </c>
      <c r="B5327" s="138">
        <f>'Revenues 9-14'!C275</f>
        <v>11307861</v>
      </c>
      <c r="C5327" s="2" t="s">
        <v>594</v>
      </c>
      <c r="D5327" s="2" t="str">
        <f t="shared" si="82"/>
        <v>Error?</v>
      </c>
    </row>
    <row r="5328" spans="1:4" x14ac:dyDescent="0.2">
      <c r="A5328" s="5">
        <v>5267</v>
      </c>
      <c r="B5328" s="138">
        <f>'Revenues 9-14'!D5</f>
        <v>720281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720281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95678</v>
      </c>
      <c r="D5354" s="2" t="str">
        <f t="shared" si="82"/>
        <v>Error?</v>
      </c>
    </row>
    <row r="5355" spans="1:4" x14ac:dyDescent="0.2">
      <c r="A5355" s="5">
        <v>5294</v>
      </c>
      <c r="B5355" s="138">
        <f>'Revenues 9-14'!D108</f>
        <v>95678</v>
      </c>
      <c r="C5355" s="2" t="s">
        <v>594</v>
      </c>
      <c r="D5355" s="2" t="str">
        <f t="shared" si="82"/>
        <v>Error?</v>
      </c>
    </row>
    <row r="5356" spans="1:4" x14ac:dyDescent="0.2">
      <c r="A5356" s="5">
        <v>5295</v>
      </c>
      <c r="B5356" s="138">
        <f>'Revenues 9-14'!D109</f>
        <v>816240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240000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240000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240000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1056240</v>
      </c>
      <c r="C5508" s="2" t="s">
        <v>594</v>
      </c>
      <c r="D5508" s="2" t="str">
        <f t="shared" si="85"/>
        <v>Error?</v>
      </c>
    </row>
    <row r="5509" spans="1:4" x14ac:dyDescent="0.2">
      <c r="A5509" s="5">
        <v>5448</v>
      </c>
      <c r="B5509" s="138">
        <f>'Revenues 9-14'!E5</f>
        <v>901947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901947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902149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902149</v>
      </c>
      <c r="C5552" s="2" t="s">
        <v>594</v>
      </c>
      <c r="D5552" s="2" t="str">
        <f t="shared" si="85"/>
        <v>Error?</v>
      </c>
    </row>
    <row r="5553" spans="1:4" x14ac:dyDescent="0.2">
      <c r="A5553" s="5">
        <v>5492</v>
      </c>
      <c r="B5553" s="138">
        <f>'Revenues 9-14'!F5</f>
        <v>293023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293023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156873</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156873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34938</v>
      </c>
      <c r="D5586" s="2" t="str">
        <f t="shared" si="86"/>
        <v>Error?</v>
      </c>
    </row>
    <row r="5587" spans="1:4" x14ac:dyDescent="0.2">
      <c r="A5587" s="5">
        <v>5526</v>
      </c>
      <c r="B5587" s="138">
        <f>'Revenues 9-14'!F108</f>
        <v>34938</v>
      </c>
      <c r="C5587" s="2" t="s">
        <v>594</v>
      </c>
      <c r="D5587" s="2" t="str">
        <f t="shared" si="86"/>
        <v>Error?</v>
      </c>
    </row>
    <row r="5588" spans="1:4" x14ac:dyDescent="0.2">
      <c r="A5588" s="5">
        <v>5527</v>
      </c>
      <c r="B5588" s="138">
        <f>'Revenues 9-14'!F109</f>
        <v>484962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423711</v>
      </c>
      <c r="D5615" s="2" t="str">
        <f t="shared" si="86"/>
        <v>Error?</v>
      </c>
    </row>
    <row r="5616" spans="1:4" x14ac:dyDescent="0.2">
      <c r="A5616" s="10">
        <v>5555</v>
      </c>
      <c r="D5616" s="2" t="str">
        <f t="shared" si="86"/>
        <v>OK</v>
      </c>
    </row>
    <row r="5617" spans="1:4" x14ac:dyDescent="0.2">
      <c r="A5617" s="5">
        <v>5556</v>
      </c>
      <c r="B5617" s="138">
        <f>'Revenues 9-14'!F152</f>
        <v>127925</v>
      </c>
      <c r="D5617" s="2" t="str">
        <f t="shared" si="86"/>
        <v>Error?</v>
      </c>
    </row>
    <row r="5618" spans="1:4" x14ac:dyDescent="0.2">
      <c r="A5618" s="5">
        <v>5557</v>
      </c>
      <c r="B5618" s="138">
        <f>'Revenues 9-14'!F154</f>
        <v>551636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551636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751636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1236598</v>
      </c>
      <c r="C5720" s="2" t="s">
        <v>594</v>
      </c>
      <c r="D5720" s="2" t="str">
        <f t="shared" si="88"/>
        <v>Error?</v>
      </c>
    </row>
    <row r="5721" spans="1:4" x14ac:dyDescent="0.2">
      <c r="A5721" s="5">
        <v>5660</v>
      </c>
      <c r="B5721" s="138">
        <f>'Revenues 9-14'!G5</f>
        <v>323284</v>
      </c>
      <c r="D5721" s="2" t="str">
        <f t="shared" si="88"/>
        <v>Error?</v>
      </c>
    </row>
    <row r="5722" spans="1:4" x14ac:dyDescent="0.2">
      <c r="A5722" s="5">
        <v>5661</v>
      </c>
      <c r="B5722" s="138">
        <f>'Revenues 9-14'!G7</f>
        <v>0</v>
      </c>
      <c r="D5722" s="2" t="str">
        <f t="shared" si="88"/>
        <v>Error?</v>
      </c>
    </row>
    <row r="5723" spans="1:4" x14ac:dyDescent="0.2">
      <c r="A5723" s="5">
        <v>5662</v>
      </c>
      <c r="B5723" s="138">
        <f>'Revenues 9-14'!G8</f>
        <v>230523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553807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16392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16392</v>
      </c>
      <c r="C5730" s="2" t="s">
        <v>594</v>
      </c>
      <c r="D5730" s="2" t="str">
        <f t="shared" si="88"/>
        <v>Error?</v>
      </c>
    </row>
    <row r="5731" spans="1:4" x14ac:dyDescent="0.2">
      <c r="A5731" s="5">
        <v>5670</v>
      </c>
      <c r="B5731" s="138">
        <f>'Revenues 9-14'!G65</f>
        <v>221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570420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380502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380502</v>
      </c>
      <c r="C5915" s="2" t="s">
        <v>594</v>
      </c>
      <c r="D5915" s="2" t="str">
        <f t="shared" si="91"/>
        <v>Error?</v>
      </c>
    </row>
    <row r="5916" spans="1:4" x14ac:dyDescent="0.2">
      <c r="A5916" s="5">
        <v>5855</v>
      </c>
      <c r="B5916" s="138">
        <f>'Revenues 9-14'!I5</f>
        <v>61024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61024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61273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61024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61024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2446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2446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63470</v>
      </c>
      <c r="C6023" s="2" t="s">
        <v>594</v>
      </c>
      <c r="D6023" s="2" t="str">
        <f t="shared" si="93"/>
        <v>Error?</v>
      </c>
    </row>
    <row r="6024" spans="1:5" x14ac:dyDescent="0.2">
      <c r="A6024" s="5">
        <v>5963</v>
      </c>
      <c r="B6024" s="138">
        <f>'Revenues 9-14'!G109</f>
        <v>570420</v>
      </c>
      <c r="C6024" s="2" t="s">
        <v>594</v>
      </c>
      <c r="D6024" s="2" t="str">
        <f t="shared" si="93"/>
        <v>Error?</v>
      </c>
    </row>
    <row r="6025" spans="1:5" x14ac:dyDescent="0.2">
      <c r="A6025" s="5">
        <v>5964</v>
      </c>
      <c r="B6025" s="138">
        <f>'Revenues 9-14'!H109</f>
        <v>380502</v>
      </c>
      <c r="C6025" s="2" t="s">
        <v>594</v>
      </c>
      <c r="D6025" s="2" t="str">
        <f t="shared" si="93"/>
        <v>Error?</v>
      </c>
    </row>
    <row r="6026" spans="1:5" x14ac:dyDescent="0.2">
      <c r="A6026" s="5">
        <v>5965</v>
      </c>
      <c r="B6026" s="138">
        <f>'Revenues 9-14'!I109</f>
        <v>61273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63470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4697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63377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1154.69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281663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281663</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281663</v>
      </c>
      <c r="D6216" s="2" t="str">
        <f t="shared" si="96"/>
        <v>Error?</v>
      </c>
      <c r="E6216" s="2" t="s">
        <v>199</v>
      </c>
    </row>
    <row r="6217" spans="1:5" x14ac:dyDescent="0.2">
      <c r="A6217">
        <v>6156</v>
      </c>
      <c r="B6217" s="138">
        <f>'Assets-Liab 5-6'!J4</f>
        <v>281663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568562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568562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568562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738605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738605</v>
      </c>
      <c r="D6229" s="2" t="str">
        <f t="shared" si="96"/>
        <v>Error?</v>
      </c>
      <c r="E6229" s="2" t="s">
        <v>199</v>
      </c>
    </row>
    <row r="6230" spans="1:5" x14ac:dyDescent="0.2">
      <c r="A6230">
        <v>6169</v>
      </c>
      <c r="B6230" s="138">
        <f>'Acct Summary 7-8'!J20</f>
        <v>-170043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-170043</v>
      </c>
      <c r="D6263" s="2" t="str">
        <f t="shared" si="96"/>
        <v>Error?</v>
      </c>
      <c r="E6263" s="2" t="s">
        <v>199</v>
      </c>
    </row>
    <row r="6264" spans="1:5" x14ac:dyDescent="0.2">
      <c r="A6264">
        <v>6203</v>
      </c>
      <c r="B6264" s="138">
        <f>'Acct Summary 7-8'!J79</f>
        <v>451706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281663</v>
      </c>
      <c r="D6266" s="2" t="str">
        <f t="shared" si="96"/>
        <v>Error?</v>
      </c>
      <c r="E6266" s="2" t="s">
        <v>199</v>
      </c>
    </row>
    <row r="6267" spans="1:5" x14ac:dyDescent="0.2">
      <c r="A6267">
        <v>6206</v>
      </c>
      <c r="B6267" s="138">
        <f>'Acct Summary 7-8'!C82</f>
        <v>1738993</v>
      </c>
      <c r="D6267" s="2" t="str">
        <f t="shared" si="96"/>
        <v>Error?</v>
      </c>
      <c r="E6267" s="2" t="s">
        <v>199</v>
      </c>
    </row>
    <row r="6268" spans="1:5" x14ac:dyDescent="0.2">
      <c r="A6268">
        <v>6207</v>
      </c>
      <c r="B6268" s="138">
        <f>'Acct Summary 7-8'!D82</f>
        <v>-158639</v>
      </c>
      <c r="D6268" s="2" t="str">
        <f t="shared" si="96"/>
        <v>Error?</v>
      </c>
      <c r="E6268" s="2" t="s">
        <v>199</v>
      </c>
    </row>
    <row r="6269" spans="1:5" x14ac:dyDescent="0.2">
      <c r="A6269">
        <v>6208</v>
      </c>
      <c r="B6269" s="138">
        <f>'Acct Summary 7-8'!E82</f>
        <v>383005</v>
      </c>
      <c r="D6269" s="2" t="str">
        <f t="shared" si="96"/>
        <v>Error?</v>
      </c>
      <c r="E6269" s="2" t="s">
        <v>199</v>
      </c>
    </row>
    <row r="6270" spans="1:5" x14ac:dyDescent="0.2">
      <c r="A6270">
        <v>6209</v>
      </c>
      <c r="B6270" s="138">
        <f>'Acct Summary 7-8'!F82</f>
        <v>444658</v>
      </c>
      <c r="D6270" s="2" t="str">
        <f t="shared" si="96"/>
        <v>Error?</v>
      </c>
      <c r="E6270" s="2" t="s">
        <v>199</v>
      </c>
    </row>
    <row r="6271" spans="1:5" x14ac:dyDescent="0.2">
      <c r="A6271">
        <v>6210</v>
      </c>
      <c r="B6271" s="138">
        <f>'Acct Summary 7-8'!G82</f>
        <v>67185</v>
      </c>
      <c r="D6271" s="2" t="str">
        <f t="shared" ref="D6271:D6334" si="97">IF(ISBLANK(B6271),"OK",IF(A6271-B6271=0,"OK","Error?"))</f>
        <v>Error?</v>
      </c>
      <c r="E6271" s="2" t="s">
        <v>199</v>
      </c>
    </row>
    <row r="6272" spans="1:5" x14ac:dyDescent="0.2">
      <c r="A6272">
        <v>6211</v>
      </c>
      <c r="B6272" s="138">
        <f>'Acct Summary 7-8'!H82</f>
        <v>284400</v>
      </c>
      <c r="D6272" s="2" t="str">
        <f t="shared" si="97"/>
        <v>Error?</v>
      </c>
      <c r="E6272" s="2" t="s">
        <v>199</v>
      </c>
    </row>
    <row r="6273" spans="1:5" x14ac:dyDescent="0.2">
      <c r="A6273">
        <v>6212</v>
      </c>
      <c r="B6273" s="138">
        <f>'Acct Summary 7-8'!I82</f>
        <v>61273</v>
      </c>
      <c r="D6273" s="2" t="str">
        <f t="shared" si="97"/>
        <v>Error?</v>
      </c>
      <c r="E6273" s="2" t="s">
        <v>199</v>
      </c>
    </row>
    <row r="6274" spans="1:5" x14ac:dyDescent="0.2">
      <c r="A6274">
        <v>6213</v>
      </c>
      <c r="B6274" s="138">
        <f>'Acct Summary 7-8'!J82</f>
        <v>-170043</v>
      </c>
      <c r="D6274" s="2" t="str">
        <f t="shared" si="97"/>
        <v>Error?</v>
      </c>
      <c r="E6274" s="2" t="s">
        <v>199</v>
      </c>
    </row>
    <row r="6275" spans="1:5" x14ac:dyDescent="0.2">
      <c r="A6275">
        <v>6214</v>
      </c>
      <c r="B6275" s="138">
        <f>'Acct Summary 7-8'!K82</f>
        <v>-1423178</v>
      </c>
      <c r="D6275" s="2" t="str">
        <f t="shared" si="97"/>
        <v>Error?</v>
      </c>
      <c r="E6275" s="2" t="s">
        <v>199</v>
      </c>
    </row>
    <row r="6276" spans="1:5" x14ac:dyDescent="0.2">
      <c r="A6276">
        <v>6215</v>
      </c>
      <c r="B6276" s="138">
        <f>'Acct Summary 7-8'!C83</f>
        <v>0.30175951318480942</v>
      </c>
      <c r="D6276" s="2" t="str">
        <f t="shared" si="97"/>
        <v>Error?</v>
      </c>
      <c r="E6276" s="2" t="s">
        <v>199</v>
      </c>
    </row>
    <row r="6277" spans="1:5" x14ac:dyDescent="0.2">
      <c r="A6277">
        <v>6216</v>
      </c>
      <c r="B6277" s="138">
        <f>'Acct Summary 7-8'!D83</f>
        <v>-2.0023603362532501</v>
      </c>
      <c r="D6277" s="2" t="str">
        <f t="shared" si="97"/>
        <v>Error?</v>
      </c>
      <c r="E6277" s="2" t="s">
        <v>199</v>
      </c>
    </row>
    <row r="6278" spans="1:5" x14ac:dyDescent="0.2">
      <c r="A6278">
        <v>6217</v>
      </c>
      <c r="B6278" s="138">
        <f>'Acct Summary 7-8'!E83</f>
        <v>0.77559794175598751</v>
      </c>
      <c r="D6278" s="2" t="str">
        <f t="shared" si="97"/>
        <v>Error?</v>
      </c>
      <c r="E6278" s="2" t="s">
        <v>199</v>
      </c>
    </row>
    <row r="6279" spans="1:5" x14ac:dyDescent="0.2">
      <c r="A6279">
        <v>6218</v>
      </c>
      <c r="B6279" s="138">
        <f>'Acct Summary 7-8'!F83</f>
        <v>0.59490874840622443</v>
      </c>
      <c r="D6279" s="2" t="str">
        <f t="shared" si="97"/>
        <v>Error?</v>
      </c>
      <c r="E6279" s="2" t="s">
        <v>199</v>
      </c>
    </row>
    <row r="6280" spans="1:5" x14ac:dyDescent="0.2">
      <c r="A6280">
        <v>6219</v>
      </c>
      <c r="B6280" s="138">
        <f>'Acct Summary 7-8'!G83</f>
        <v>0.21959972936135164</v>
      </c>
      <c r="D6280" s="2" t="str">
        <f t="shared" si="97"/>
        <v>Error?</v>
      </c>
      <c r="E6280" s="2" t="s">
        <v>199</v>
      </c>
    </row>
    <row r="6281" spans="1:5" x14ac:dyDescent="0.2">
      <c r="A6281">
        <v>6220</v>
      </c>
      <c r="B6281" s="138">
        <f>'Acct Summary 7-8'!H83</f>
        <v>0.5278553186434638</v>
      </c>
      <c r="D6281" s="2" t="str">
        <f t="shared" si="97"/>
        <v>Error?</v>
      </c>
      <c r="E6281" s="2" t="s">
        <v>199</v>
      </c>
    </row>
    <row r="6282" spans="1:5" x14ac:dyDescent="0.2">
      <c r="A6282">
        <v>6221</v>
      </c>
      <c r="B6282" s="138">
        <f>'Acct Summary 7-8'!I83</f>
        <v>0.17368910407229557</v>
      </c>
      <c r="D6282" s="2" t="str">
        <f t="shared" si="97"/>
        <v>Error?</v>
      </c>
      <c r="E6282" s="2" t="s">
        <v>199</v>
      </c>
    </row>
    <row r="6283" spans="1:5" x14ac:dyDescent="0.2">
      <c r="A6283">
        <v>6222</v>
      </c>
      <c r="B6283" s="138">
        <f>'Acct Summary 7-8'!J83</f>
        <v>-0.60371081753726974</v>
      </c>
      <c r="D6283" s="2" t="str">
        <f t="shared" si="97"/>
        <v>Error?</v>
      </c>
      <c r="E6283" s="2" t="s">
        <v>199</v>
      </c>
    </row>
    <row r="6284" spans="1:5" x14ac:dyDescent="0.2">
      <c r="A6284">
        <v>6223</v>
      </c>
      <c r="B6284" s="138">
        <f>'Acct Summary 7-8'!K83</f>
        <v>-5.2797314091743797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568334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568334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228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228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10094</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568562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3283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216468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348839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51300</v>
      </c>
      <c r="D6987" s="2" t="str">
        <f t="shared" si="108"/>
        <v>Error?</v>
      </c>
    </row>
    <row r="6988" spans="1:4" x14ac:dyDescent="0.2">
      <c r="A6988">
        <v>6927</v>
      </c>
      <c r="B6988" s="138">
        <f>'Expenditures 15-22'!K88</f>
        <v>51300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51300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738605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568562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3773</v>
      </c>
      <c r="D7067" s="2" t="str">
        <f t="shared" si="109"/>
        <v>Error?</v>
      </c>
    </row>
    <row r="7068" spans="1:4" x14ac:dyDescent="0.2">
      <c r="A7068">
        <v>7007</v>
      </c>
      <c r="B7068" s="138">
        <f>'Expenditures 15-22'!K205</f>
        <v>3773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16846</v>
      </c>
      <c r="D7073" s="2" t="str">
        <f t="shared" si="109"/>
        <v>Error?</v>
      </c>
    </row>
    <row r="7074" spans="1:4" x14ac:dyDescent="0.2">
      <c r="A7074">
        <v>7013</v>
      </c>
      <c r="B7074" s="138">
        <f>'Expenditures 15-22'!K216</f>
        <v>16846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17118</v>
      </c>
      <c r="D7093" s="2" t="str">
        <f t="shared" si="109"/>
        <v>Error?</v>
      </c>
    </row>
    <row r="7094" spans="1:4" x14ac:dyDescent="0.2">
      <c r="A7094">
        <v>7033</v>
      </c>
      <c r="B7094" s="138">
        <f>'Expenditures 15-22'!K254</f>
        <v>17118</v>
      </c>
      <c r="D7094" s="2" t="str">
        <f t="shared" si="109"/>
        <v>Error?</v>
      </c>
    </row>
    <row r="7095" spans="1:4" x14ac:dyDescent="0.2">
      <c r="A7095">
        <v>7034</v>
      </c>
      <c r="B7095" s="138" t="str">
        <f>'Expenditures 15-22'!D255</f>
        <v>.</v>
      </c>
      <c r="D7095" s="2" t="e">
        <f t="shared" si="109"/>
        <v>#VALUE!</v>
      </c>
    </row>
    <row r="7096" spans="1:4" x14ac:dyDescent="0.2">
      <c r="A7096">
        <v>7035</v>
      </c>
      <c r="B7096" s="138" t="str">
        <f>'Expenditures 15-22'!K255</f>
        <v>.</v>
      </c>
      <c r="D7096" s="2" t="e">
        <f t="shared" si="109"/>
        <v>#VALUE!</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254019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254019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305063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305063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74473</v>
      </c>
      <c r="D7172" s="2" t="str">
        <f t="shared" si="111"/>
        <v>Error?</v>
      </c>
    </row>
    <row r="7173" spans="1:4" x14ac:dyDescent="0.2">
      <c r="A7173">
        <v>7112</v>
      </c>
      <c r="B7173" s="138">
        <f>'Expenditures 15-22'!D325</f>
        <v>13216</v>
      </c>
      <c r="D7173" s="2" t="str">
        <f t="shared" si="111"/>
        <v>Error?</v>
      </c>
    </row>
    <row r="7174" spans="1:4" x14ac:dyDescent="0.2">
      <c r="A7174">
        <v>7113</v>
      </c>
      <c r="B7174" s="138">
        <f>'Expenditures 15-22'!E325</f>
        <v>22056</v>
      </c>
      <c r="D7174" s="2" t="str">
        <f t="shared" si="111"/>
        <v>Error?</v>
      </c>
    </row>
    <row r="7175" spans="1:4" x14ac:dyDescent="0.2">
      <c r="A7175">
        <v>7114</v>
      </c>
      <c r="B7175" s="138">
        <f>'Expenditures 15-22'!F325</f>
        <v>23853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14580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148178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31345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31345</v>
      </c>
      <c r="D7198" s="2" t="str">
        <f t="shared" si="111"/>
        <v>Error?</v>
      </c>
    </row>
    <row r="7199" spans="1:4" x14ac:dyDescent="0.2">
      <c r="A7199">
        <v>7138</v>
      </c>
      <c r="B7199" s="138">
        <f>'Expenditures 15-22'!C330</f>
        <v>74473</v>
      </c>
      <c r="D7199" s="2" t="str">
        <f t="shared" si="111"/>
        <v>Error?</v>
      </c>
    </row>
    <row r="7200" spans="1:4" x14ac:dyDescent="0.2">
      <c r="A7200">
        <v>7139</v>
      </c>
      <c r="B7200" s="138">
        <f>'Expenditures 15-22'!D330</f>
        <v>13216</v>
      </c>
      <c r="D7200" s="2" t="str">
        <f t="shared" si="111"/>
        <v>Error?</v>
      </c>
    </row>
    <row r="7201" spans="1:4" x14ac:dyDescent="0.2">
      <c r="A7201">
        <v>7140</v>
      </c>
      <c r="B7201" s="138">
        <f>'Expenditures 15-22'!E330</f>
        <v>612483</v>
      </c>
      <c r="D7201" s="2" t="str">
        <f t="shared" si="111"/>
        <v>Error?</v>
      </c>
    </row>
    <row r="7202" spans="1:4" x14ac:dyDescent="0.2">
      <c r="A7202">
        <v>7141</v>
      </c>
      <c r="B7202" s="138">
        <f>'Expenditures 15-22'!F330</f>
        <v>23853</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14580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738605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74473</v>
      </c>
      <c r="D7216" s="2" t="str">
        <f t="shared" si="111"/>
        <v>Error?</v>
      </c>
    </row>
    <row r="7217" spans="1:4" x14ac:dyDescent="0.2">
      <c r="A7217">
        <v>7156</v>
      </c>
      <c r="B7217" s="138">
        <f>'Expenditures 15-22'!D342</f>
        <v>13216</v>
      </c>
      <c r="D7217" s="2" t="str">
        <f t="shared" si="111"/>
        <v>Error?</v>
      </c>
    </row>
    <row r="7218" spans="1:4" x14ac:dyDescent="0.2">
      <c r="A7218">
        <v>7157</v>
      </c>
      <c r="B7218" s="138">
        <f>'Expenditures 15-22'!E342</f>
        <v>612483</v>
      </c>
      <c r="D7218" s="2" t="str">
        <f t="shared" si="111"/>
        <v>Error?</v>
      </c>
    </row>
    <row r="7219" spans="1:4" x14ac:dyDescent="0.2">
      <c r="A7219">
        <v>7158</v>
      </c>
      <c r="B7219" s="138">
        <f>'Expenditures 15-22'!F342</f>
        <v>23853</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14580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738605</v>
      </c>
      <c r="D7224" s="2" t="str">
        <f t="shared" si="111"/>
        <v>Error?</v>
      </c>
    </row>
    <row r="7225" spans="1:4" x14ac:dyDescent="0.2">
      <c r="A7225">
        <v>7164</v>
      </c>
      <c r="B7225" s="138">
        <f>'Expenditures 15-22'!K343</f>
        <v>-170043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5238</v>
      </c>
      <c r="D7240" s="2" t="str">
        <f t="shared" si="112"/>
        <v>Error?</v>
      </c>
    </row>
    <row r="7241" spans="1:4" x14ac:dyDescent="0.2">
      <c r="A7241">
        <v>7180</v>
      </c>
      <c r="B7241" s="138">
        <f>'Expenditures 15-22'!K363</f>
        <v>5238</v>
      </c>
      <c r="D7241" s="2" t="str">
        <f t="shared" si="112"/>
        <v>Error?</v>
      </c>
    </row>
    <row r="7242" spans="1:4" x14ac:dyDescent="0.2">
      <c r="A7242">
        <v>7181</v>
      </c>
      <c r="B7242" s="138">
        <f>'Expenditures 15-22'!H365</f>
        <v>125238</v>
      </c>
      <c r="D7242" s="2" t="str">
        <f t="shared" si="112"/>
        <v>Error?</v>
      </c>
    </row>
    <row r="7243" spans="1:4" x14ac:dyDescent="0.2">
      <c r="A7243">
        <v>7182</v>
      </c>
      <c r="B7243" s="138">
        <f>'Expenditures 15-22'!K365</f>
        <v>125238</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67084</v>
      </c>
      <c r="D7246" s="2" t="str">
        <f t="shared" si="112"/>
        <v>Error?</v>
      </c>
    </row>
    <row r="7247" spans="1:4" x14ac:dyDescent="0.2">
      <c r="A7247">
        <f t="shared" si="113"/>
        <v>7186</v>
      </c>
      <c r="B7247" s="138">
        <f>'Expenditures 15-22'!E7</f>
        <v>2354</v>
      </c>
      <c r="D7247" s="2" t="str">
        <f t="shared" si="112"/>
        <v>Error?</v>
      </c>
    </row>
    <row r="7248" spans="1:4" x14ac:dyDescent="0.2">
      <c r="A7248">
        <f t="shared" si="113"/>
        <v>7187</v>
      </c>
      <c r="B7248" s="138">
        <f>'Expenditures 15-22'!F7</f>
        <v>35894</v>
      </c>
      <c r="D7248" s="2" t="str">
        <f t="shared" si="112"/>
        <v>Error?</v>
      </c>
    </row>
    <row r="7249" spans="1:4" x14ac:dyDescent="0.2">
      <c r="A7249">
        <f t="shared" si="113"/>
        <v>7188</v>
      </c>
      <c r="B7249" s="138">
        <f>'Expenditures 15-22'!G7</f>
        <v>27039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465080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254384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10094</v>
      </c>
      <c r="D7712" s="2" t="str">
        <f t="shared" si="126"/>
        <v>Error?</v>
      </c>
      <c r="E7712" s="2" t="s">
        <v>881</v>
      </c>
    </row>
    <row r="7713" spans="1:6" x14ac:dyDescent="0.2">
      <c r="A7713">
        <v>7652</v>
      </c>
      <c r="B7713" s="138">
        <f>'Rest Tax Levies-Tort Im 25'!J8</f>
        <v>380502</v>
      </c>
      <c r="D7713" s="2" t="str">
        <f t="shared" si="126"/>
        <v>Error?</v>
      </c>
      <c r="E7713" s="2" t="s">
        <v>881</v>
      </c>
    </row>
    <row r="7714" spans="1:6" x14ac:dyDescent="0.2">
      <c r="A7714">
        <v>7653</v>
      </c>
      <c r="B7714" s="138">
        <f>'Rest Tax Levies-Tort Im 25'!K9</f>
        <v>20530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380502</v>
      </c>
      <c r="D7718" s="2" t="str">
        <f t="shared" si="126"/>
        <v>Error?</v>
      </c>
      <c r="E7718" s="2" t="s">
        <v>881</v>
      </c>
    </row>
    <row r="7719" spans="1:6" x14ac:dyDescent="0.2">
      <c r="A7719">
        <v>7658</v>
      </c>
      <c r="B7719" s="138">
        <f>'Rest Tax Levies-Tort Im 25'!K12</f>
        <v>30624</v>
      </c>
      <c r="D7719" s="2" t="str">
        <f t="shared" si="126"/>
        <v>Error?</v>
      </c>
      <c r="E7719" s="2" t="s">
        <v>881</v>
      </c>
    </row>
    <row r="7720" spans="1:6" x14ac:dyDescent="0.2">
      <c r="A7720">
        <v>7659</v>
      </c>
      <c r="B7720" s="138">
        <f>'Rest Tax Levies-Tort Im 25'!H14</f>
        <v>48098</v>
      </c>
      <c r="D7720" s="2" t="str">
        <f t="shared" si="126"/>
        <v>Error?</v>
      </c>
      <c r="E7720" s="2" t="s">
        <v>881</v>
      </c>
    </row>
    <row r="7721" spans="1:6" x14ac:dyDescent="0.2">
      <c r="A7721">
        <v>7660</v>
      </c>
      <c r="B7721" s="138">
        <f>'Rest Tax Levies-Tort Im 25'!K14</f>
        <v>30624</v>
      </c>
      <c r="D7721" s="2" t="str">
        <f t="shared" si="126"/>
        <v>Error?</v>
      </c>
      <c r="E7721" s="2" t="s">
        <v>881</v>
      </c>
    </row>
    <row r="7722" spans="1:6" x14ac:dyDescent="0.2">
      <c r="A7722">
        <v>7661</v>
      </c>
      <c r="B7722" s="138">
        <f>'Rest Tax Levies-Tort Im 25'!J15</f>
        <v>96102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96102</v>
      </c>
      <c r="D7730" s="2" t="str">
        <f t="shared" si="126"/>
        <v>Error?</v>
      </c>
      <c r="E7730" s="2" t="s">
        <v>881</v>
      </c>
    </row>
    <row r="7731" spans="1:6" x14ac:dyDescent="0.2">
      <c r="A7731">
        <v>7670</v>
      </c>
      <c r="B7731" s="138">
        <f>'Revenues 9-14'!H103</f>
        <v>380502</v>
      </c>
      <c r="D7731" s="2" t="str">
        <f t="shared" si="126"/>
        <v>Error?</v>
      </c>
      <c r="E7731" s="2" t="s">
        <v>881</v>
      </c>
    </row>
    <row r="7732" spans="1:6" x14ac:dyDescent="0.2">
      <c r="A7732">
        <v>7671</v>
      </c>
      <c r="B7732" s="138">
        <f>'Rest Tax Levies-Tort Im 25'!J24</f>
        <v>538784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538784</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120000</v>
      </c>
      <c r="D7745" s="2" t="str">
        <f t="shared" si="127"/>
        <v>Error?</v>
      </c>
      <c r="E7745" s="2" t="s">
        <v>881</v>
      </c>
    </row>
    <row r="7746" spans="1:6" x14ac:dyDescent="0.2">
      <c r="A7746">
        <v>7685</v>
      </c>
      <c r="B7746" s="138">
        <f>'Expenditures 15-22'!K364</f>
        <v>120000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0</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10" sqref="B1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9" t="str">
        <f>COVER!A17</f>
        <v>North Mac CUSD 34</v>
      </c>
      <c r="B7" s="2400"/>
      <c r="C7" s="2400"/>
      <c r="D7" s="2437"/>
      <c r="E7" s="2438">
        <f>COVER!A13</f>
        <v>40056034026</v>
      </c>
      <c r="F7" s="2439"/>
      <c r="G7" s="2406" t="str">
        <f>COVER!T23</f>
        <v>066-004886</v>
      </c>
      <c r="H7" s="2407"/>
      <c r="I7" s="2407"/>
      <c r="J7" s="2407"/>
      <c r="K7" s="2407"/>
      <c r="L7" s="240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9"/>
      <c r="B9" s="2410"/>
      <c r="C9" s="2410"/>
      <c r="D9" s="2410"/>
      <c r="E9" s="2410"/>
      <c r="F9" s="2411"/>
      <c r="G9" s="2412" t="str">
        <f>COVER!T13</f>
        <v xml:space="preserve">LOY MILLER TALLEY, PC </v>
      </c>
      <c r="H9" s="2413"/>
      <c r="I9" s="2413"/>
      <c r="J9" s="2413"/>
      <c r="K9" s="2413"/>
      <c r="L9" s="2414"/>
    </row>
    <row r="10" spans="1:29" ht="13.5" customHeight="1" x14ac:dyDescent="0.2">
      <c r="A10" s="2396" t="str">
        <f>COVER!A38</f>
        <v>JAY GOBLE</v>
      </c>
      <c r="B10" s="2397"/>
      <c r="C10" s="2397"/>
      <c r="D10" s="2397"/>
      <c r="E10" s="2397"/>
      <c r="F10" s="2398"/>
      <c r="G10" s="2412" t="str">
        <f>COVER!T17</f>
        <v>#2 CROSSROADS  COURT</v>
      </c>
      <c r="H10" s="2425"/>
      <c r="I10" s="2425"/>
      <c r="J10" s="2425"/>
      <c r="K10" s="2425"/>
      <c r="L10" s="2426"/>
    </row>
    <row r="11" spans="1:29" ht="13.5" customHeight="1" x14ac:dyDescent="0.2">
      <c r="A11" s="1185" t="s">
        <v>1599</v>
      </c>
      <c r="B11" s="1186"/>
      <c r="C11" s="1187"/>
      <c r="D11" s="1192"/>
      <c r="E11" s="1187"/>
      <c r="F11" s="1191"/>
      <c r="G11" s="2412" t="str">
        <f>COVER!T19</f>
        <v>ALTON</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t="str">
        <f>COVER!T25</f>
        <v>KEN@LMTCPAS.COM</v>
      </c>
      <c r="J13" s="2434"/>
      <c r="K13" s="2434"/>
      <c r="L13" s="2435"/>
    </row>
    <row r="14" spans="1:29" ht="13.5" customHeight="1" x14ac:dyDescent="0.2">
      <c r="A14" s="2412" t="str">
        <f>COVER!A19</f>
        <v>525 NORTH THIRD ST</v>
      </c>
      <c r="B14" s="2425"/>
      <c r="C14" s="2425"/>
      <c r="D14" s="2425"/>
      <c r="E14" s="2425"/>
      <c r="F14" s="2426"/>
      <c r="G14" s="1196" t="s">
        <v>1247</v>
      </c>
      <c r="H14" s="1194"/>
      <c r="I14" s="1194"/>
      <c r="J14" s="1194"/>
      <c r="K14" s="1194"/>
      <c r="L14" s="1195"/>
    </row>
    <row r="15" spans="1:29" ht="13.5" customHeight="1" x14ac:dyDescent="0.2">
      <c r="A15" s="2412" t="str">
        <f>COVER!A21</f>
        <v>GIRARD</v>
      </c>
      <c r="B15" s="2425"/>
      <c r="C15" s="2425"/>
      <c r="D15" s="2425"/>
      <c r="E15" s="2425"/>
      <c r="F15" s="2426"/>
      <c r="G15" s="2422" t="str">
        <f>COVER!T15</f>
        <v>KENNETH E. LOY</v>
      </c>
      <c r="H15" s="2423"/>
      <c r="I15" s="2423"/>
      <c r="J15" s="2423"/>
      <c r="K15" s="2423"/>
      <c r="L15" s="2424"/>
    </row>
    <row r="16" spans="1:29" ht="12.2" customHeight="1" x14ac:dyDescent="0.2">
      <c r="A16" s="2402">
        <f>COVER!A25</f>
        <v>62640</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6" t="s">
        <v>1246</v>
      </c>
      <c r="H17" s="1194"/>
      <c r="I17" s="1194"/>
      <c r="J17" s="1194"/>
      <c r="K17" s="1198" t="s">
        <v>1245</v>
      </c>
      <c r="L17" s="1191"/>
      <c r="M17" s="1184"/>
    </row>
    <row r="18" spans="1:13" ht="12.2" customHeight="1" x14ac:dyDescent="0.2">
      <c r="A18" s="2396"/>
      <c r="B18" s="2397"/>
      <c r="C18" s="2397"/>
      <c r="D18" s="2397"/>
      <c r="E18" s="2397"/>
      <c r="F18" s="2398"/>
      <c r="G18" s="2399" t="str">
        <f>COVER!T21</f>
        <v>618-465-1196</v>
      </c>
      <c r="H18" s="2400"/>
      <c r="I18" s="2400"/>
      <c r="J18" s="2400"/>
      <c r="K18" s="2399" t="str">
        <f>COVER!X21</f>
        <v>618-465-2900</v>
      </c>
      <c r="L18" s="240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2074</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0" sqref="B1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0" t="str">
        <f>'Single Audit Cover'!A7</f>
        <v>North Mac CUSD 34</v>
      </c>
      <c r="B1" s="2436"/>
      <c r="C1" s="2436"/>
      <c r="D1" s="2436"/>
    </row>
    <row r="2" spans="1:11" s="1215" customFormat="1" ht="12.75" x14ac:dyDescent="0.2">
      <c r="A2" s="2441">
        <f>'Single Audit Cover'!E7</f>
        <v>40056034026</v>
      </c>
      <c r="B2" s="2442"/>
      <c r="C2" s="2442"/>
      <c r="D2" s="2442"/>
    </row>
    <row r="3" spans="1:11" s="1215" customFormat="1" ht="12.75" x14ac:dyDescent="0.2">
      <c r="A3" s="2440" t="s">
        <v>1593</v>
      </c>
      <c r="B3" s="2436"/>
      <c r="C3" s="2436"/>
      <c r="D3" s="243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4" t="str">
        <f>'Single Audit Cover'!A7</f>
        <v>North Mac CUSD 34</v>
      </c>
      <c r="B1" s="2444"/>
      <c r="C1" s="2444"/>
      <c r="D1" s="2444"/>
      <c r="E1" s="2444"/>
    </row>
    <row r="2" spans="1:5" x14ac:dyDescent="0.2">
      <c r="A2" s="2445">
        <f>'Single Audit Cover'!E7</f>
        <v>40056034026</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60" t="s">
        <v>1305</v>
      </c>
    </row>
    <row r="10" spans="1:5" x14ac:dyDescent="0.2">
      <c r="A10" s="1261" t="s">
        <v>1304</v>
      </c>
      <c r="B10" s="1262" t="s">
        <v>1303</v>
      </c>
      <c r="C10" s="1262"/>
      <c r="D10" s="1263">
        <f>SUM('Acct Summary 7-8'!C7:K7)</f>
        <v>1163808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63377</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-61085</v>
      </c>
    </row>
    <row r="19" spans="1:4" ht="13.5" thickBot="1" x14ac:dyDescent="0.25">
      <c r="A19" s="1265" t="s">
        <v>1297</v>
      </c>
      <c r="D19" s="1266">
        <f>SUM(D10:D17)</f>
        <v>1166100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6"/>
      <c r="B24" s="2446"/>
      <c r="D24" s="1268"/>
    </row>
    <row r="25" spans="1:4" x14ac:dyDescent="0.2">
      <c r="A25" s="2443"/>
      <c r="B25" s="2443"/>
      <c r="D25" s="1268"/>
    </row>
    <row r="26" spans="1:4" x14ac:dyDescent="0.2">
      <c r="A26" s="2443"/>
      <c r="B26" s="2443"/>
      <c r="D26" s="1268"/>
    </row>
    <row r="27" spans="1:4" x14ac:dyDescent="0.2">
      <c r="A27" s="2443"/>
      <c r="B27" s="2443"/>
      <c r="D27" s="1268"/>
    </row>
    <row r="28" spans="1:4" x14ac:dyDescent="0.2">
      <c r="A28" s="2443"/>
      <c r="B28" s="2443"/>
      <c r="D28" s="1268"/>
    </row>
    <row r="29" spans="1:4" x14ac:dyDescent="0.2">
      <c r="A29" s="2443"/>
      <c r="B29" s="2443"/>
      <c r="D29" s="1268"/>
    </row>
    <row r="30" spans="1:4" x14ac:dyDescent="0.2">
      <c r="A30" s="2443"/>
      <c r="B30" s="2443"/>
      <c r="D30" s="1268"/>
    </row>
    <row r="32" spans="1:4" x14ac:dyDescent="0.2">
      <c r="A32" s="1260" t="s">
        <v>1295</v>
      </c>
      <c r="D32" s="1263">
        <f>SUM(D19:D30)</f>
        <v>1166100</v>
      </c>
    </row>
    <row r="33" spans="1:4" x14ac:dyDescent="0.2">
      <c r="D33" s="1269"/>
    </row>
    <row r="34" spans="1:4" x14ac:dyDescent="0.2">
      <c r="A34" s="317" t="s">
        <v>1294</v>
      </c>
    </row>
    <row r="35" spans="1:4" x14ac:dyDescent="0.2">
      <c r="A35" s="317" t="s">
        <v>1293</v>
      </c>
      <c r="B35" s="1258" t="s">
        <v>1292</v>
      </c>
      <c r="D35" s="1270">
        <f>+' SEFA (5)'!F27</f>
        <v>1166100</v>
      </c>
    </row>
    <row r="37" spans="1:4" x14ac:dyDescent="0.2">
      <c r="A37" s="1260" t="s">
        <v>1291</v>
      </c>
    </row>
    <row r="39" spans="1:4" ht="13.35" customHeight="1" x14ac:dyDescent="0.2">
      <c r="A39" s="1267" t="s">
        <v>1290</v>
      </c>
    </row>
    <row r="40" spans="1:4" x14ac:dyDescent="0.2">
      <c r="A40" s="2443"/>
      <c r="B40" s="2443"/>
      <c r="D40" s="1268"/>
    </row>
    <row r="41" spans="1:4" x14ac:dyDescent="0.2">
      <c r="A41" s="2443"/>
      <c r="B41" s="2443"/>
      <c r="D41" s="1271"/>
    </row>
    <row r="42" spans="1:4" x14ac:dyDescent="0.2">
      <c r="A42" s="2443"/>
      <c r="B42" s="2443"/>
      <c r="D42" s="1271"/>
    </row>
    <row r="43" spans="1:4" x14ac:dyDescent="0.2">
      <c r="A43" s="2443"/>
      <c r="B43" s="2443"/>
      <c r="D43" s="1271"/>
    </row>
    <row r="44" spans="1:4" x14ac:dyDescent="0.2">
      <c r="A44" s="2443"/>
      <c r="B44" s="2443"/>
      <c r="D44" s="1271"/>
    </row>
    <row r="45" spans="1:4" x14ac:dyDescent="0.2">
      <c r="A45" s="2443"/>
      <c r="B45" s="2443"/>
      <c r="D45" s="1271"/>
    </row>
    <row r="47" spans="1:4" x14ac:dyDescent="0.2">
      <c r="B47" s="1272" t="s">
        <v>1289</v>
      </c>
      <c r="C47" s="1272"/>
      <c r="D47" s="1273">
        <f>SUM(D35:D45)</f>
        <v>1166100</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0" zoomScale="120" zoomScaleNormal="120" workbookViewId="0">
      <selection activeCell="B10" sqref="B1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North Mac CUSD 34</v>
      </c>
      <c r="B1" s="2449"/>
      <c r="C1" s="2449"/>
      <c r="D1" s="2449"/>
      <c r="E1" s="2449"/>
      <c r="F1" s="2449"/>
    </row>
    <row r="2" spans="1:7" ht="13.5" customHeight="1" x14ac:dyDescent="0.2">
      <c r="A2" s="2450">
        <f>'Single Audit Cover'!E7</f>
        <v>40056034026</v>
      </c>
      <c r="B2" s="2450"/>
      <c r="C2" s="2450"/>
      <c r="D2" s="2450"/>
      <c r="E2" s="2450"/>
      <c r="F2" s="2450"/>
      <c r="G2" s="1275"/>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7"/>
      <c r="D5" s="317"/>
    </row>
    <row r="6" spans="1:7" ht="13.5" customHeight="1" x14ac:dyDescent="0.2">
      <c r="A6" s="1276" t="s">
        <v>1831</v>
      </c>
      <c r="C6" s="317"/>
      <c r="D6" s="317"/>
    </row>
    <row r="7" spans="1:7" ht="60.95" customHeight="1" x14ac:dyDescent="0.2">
      <c r="A7" s="2448" t="s">
        <v>2168</v>
      </c>
      <c r="B7" s="2448"/>
      <c r="C7" s="2448"/>
      <c r="D7" s="2448"/>
      <c r="E7" s="2448"/>
      <c r="F7" s="244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8" t="s">
        <v>2166</v>
      </c>
      <c r="B13" s="2448"/>
      <c r="C13" s="2448"/>
      <c r="D13" s="2448"/>
      <c r="E13" s="2448"/>
      <c r="F13" s="2448"/>
    </row>
    <row r="14" spans="1:7" ht="9.75" customHeight="1" x14ac:dyDescent="0.2">
      <c r="C14" s="1260"/>
      <c r="D14" s="1260"/>
    </row>
    <row r="15" spans="1:7" ht="13.5" customHeight="1" x14ac:dyDescent="0.2">
      <c r="C15" s="1871" t="s">
        <v>1332</v>
      </c>
      <c r="D15" s="2454" t="s">
        <v>1331</v>
      </c>
      <c r="E15" s="2454"/>
      <c r="F15" s="2454"/>
    </row>
    <row r="16" spans="1:7" ht="13.5" customHeight="1" x14ac:dyDescent="0.2">
      <c r="A16" s="1282"/>
      <c r="B16" s="1276" t="s">
        <v>1330</v>
      </c>
      <c r="C16" s="1871" t="s">
        <v>1329</v>
      </c>
      <c r="D16" s="2455" t="s">
        <v>1670</v>
      </c>
      <c r="E16" s="2455"/>
      <c r="F16" s="2455"/>
    </row>
    <row r="17" spans="1:6" ht="20.45" customHeight="1" x14ac:dyDescent="0.2">
      <c r="A17" s="1283"/>
      <c r="B17" s="1284" t="s">
        <v>2167</v>
      </c>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7" t="s">
        <v>2169</v>
      </c>
      <c r="B32" s="2457"/>
      <c r="C32" s="2457"/>
      <c r="D32" s="2457"/>
      <c r="E32" s="2457"/>
      <c r="F32" s="2457"/>
    </row>
    <row r="33" spans="1:6" ht="13.5" customHeight="1" x14ac:dyDescent="0.2">
      <c r="A33" s="328" t="s">
        <v>1509</v>
      </c>
      <c r="B33" s="328"/>
      <c r="C33" s="1288">
        <v>63377</v>
      </c>
      <c r="D33" s="1928"/>
      <c r="E33" s="1286"/>
    </row>
    <row r="34" spans="1:6" ht="13.5" customHeight="1" x14ac:dyDescent="0.2">
      <c r="A34" s="328" t="s">
        <v>1946</v>
      </c>
      <c r="B34" s="328"/>
      <c r="C34" s="1289">
        <v>0</v>
      </c>
      <c r="D34" s="1928" t="s">
        <v>1671</v>
      </c>
      <c r="E34" s="2458">
        <f>+C33+C34</f>
        <v>63377</v>
      </c>
      <c r="F34" s="245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0" sqref="B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North Mac CUSD 34</v>
      </c>
      <c r="C1" s="2461"/>
      <c r="D1" s="2461"/>
      <c r="E1" s="2461"/>
      <c r="F1" s="2461"/>
      <c r="G1" s="2461"/>
      <c r="H1" s="2461"/>
      <c r="I1" s="2461"/>
      <c r="J1" s="2461"/>
      <c r="K1" s="2461"/>
      <c r="L1" s="2461"/>
      <c r="M1" s="2461"/>
    </row>
    <row r="2" spans="2:14" ht="15" x14ac:dyDescent="0.2">
      <c r="B2" s="2450">
        <f>'Single Audit Cover'!E7</f>
        <v>40056034026</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2115</v>
      </c>
      <c r="C11" s="1338"/>
      <c r="D11" s="1339"/>
      <c r="E11" s="1340"/>
      <c r="F11" s="1340"/>
      <c r="G11" s="1340"/>
      <c r="H11" s="1340"/>
      <c r="I11" s="1340"/>
      <c r="J11" s="1340"/>
      <c r="K11" s="1340"/>
      <c r="L11" s="1340">
        <f>+G11+I11+K11</f>
        <v>0</v>
      </c>
      <c r="M11" s="1340"/>
    </row>
    <row r="12" spans="2:14" ht="20.100000000000001" customHeight="1" x14ac:dyDescent="0.2">
      <c r="B12" s="1337" t="s">
        <v>2116</v>
      </c>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t="s">
        <v>2117</v>
      </c>
      <c r="C14" s="1341">
        <v>10.555</v>
      </c>
      <c r="D14" s="1342" t="s">
        <v>2127</v>
      </c>
      <c r="E14" s="1343"/>
      <c r="F14" s="1343">
        <v>332342</v>
      </c>
      <c r="G14" s="1343"/>
      <c r="H14" s="1343"/>
      <c r="I14" s="1343">
        <v>332342</v>
      </c>
      <c r="J14" s="1343"/>
      <c r="K14" s="1343"/>
      <c r="L14" s="1340">
        <f t="shared" si="0"/>
        <v>332342</v>
      </c>
      <c r="M14" s="1343"/>
    </row>
    <row r="15" spans="2:14" ht="20.100000000000001" customHeight="1" x14ac:dyDescent="0.2">
      <c r="B15" s="1337" t="s">
        <v>2118</v>
      </c>
      <c r="C15" s="1341">
        <v>10.555</v>
      </c>
      <c r="D15" s="1342" t="s">
        <v>2128</v>
      </c>
      <c r="E15" s="1343">
        <v>332028</v>
      </c>
      <c r="F15" s="1343">
        <v>73954</v>
      </c>
      <c r="G15" s="1343"/>
      <c r="H15" s="1343">
        <v>332028</v>
      </c>
      <c r="I15" s="1343">
        <v>73954</v>
      </c>
      <c r="J15" s="1343"/>
      <c r="K15" s="1343"/>
      <c r="L15" s="1340">
        <f t="shared" si="0"/>
        <v>73954</v>
      </c>
      <c r="M15" s="1343"/>
    </row>
    <row r="16" spans="2:14" ht="20.100000000000001" customHeight="1" x14ac:dyDescent="0.2">
      <c r="B16" s="1337" t="s">
        <v>2119</v>
      </c>
      <c r="C16" s="1341">
        <v>10.553000000000001</v>
      </c>
      <c r="D16" s="1342" t="s">
        <v>2129</v>
      </c>
      <c r="E16" s="1343"/>
      <c r="F16" s="1343">
        <v>111532</v>
      </c>
      <c r="G16" s="1343"/>
      <c r="H16" s="1343"/>
      <c r="I16" s="1343">
        <v>111532</v>
      </c>
      <c r="J16" s="1343"/>
      <c r="K16" s="1343"/>
      <c r="L16" s="1340">
        <f t="shared" si="0"/>
        <v>111532</v>
      </c>
      <c r="M16" s="1343"/>
    </row>
    <row r="17" spans="2:14" ht="20.100000000000001" customHeight="1" x14ac:dyDescent="0.2">
      <c r="B17" s="1337" t="s">
        <v>2120</v>
      </c>
      <c r="C17" s="1341">
        <v>10.553000000000001</v>
      </c>
      <c r="D17" s="1342" t="s">
        <v>2130</v>
      </c>
      <c r="E17" s="1343">
        <v>116301</v>
      </c>
      <c r="F17" s="1343">
        <v>26433</v>
      </c>
      <c r="G17" s="1343"/>
      <c r="H17" s="1343">
        <v>116301</v>
      </c>
      <c r="I17" s="1343">
        <v>26433</v>
      </c>
      <c r="J17" s="1343"/>
      <c r="K17" s="1343"/>
      <c r="L17" s="1340">
        <f t="shared" si="0"/>
        <v>26433</v>
      </c>
      <c r="M17" s="1343"/>
    </row>
    <row r="18" spans="2:14" ht="20.100000000000001" customHeight="1" x14ac:dyDescent="0.2">
      <c r="B18" s="1337" t="s">
        <v>2121</v>
      </c>
      <c r="C18" s="1341">
        <v>10.555999999999999</v>
      </c>
      <c r="D18" s="1342" t="s">
        <v>2131</v>
      </c>
      <c r="E18" s="1343"/>
      <c r="F18" s="1343">
        <v>1994</v>
      </c>
      <c r="G18" s="1343"/>
      <c r="H18" s="1343"/>
      <c r="I18" s="1343">
        <v>1994</v>
      </c>
      <c r="J18" s="1343"/>
      <c r="K18" s="1343"/>
      <c r="L18" s="1340">
        <f t="shared" si="0"/>
        <v>1994</v>
      </c>
      <c r="M18" s="1343"/>
    </row>
    <row r="19" spans="2:14" ht="20.100000000000001" customHeight="1" x14ac:dyDescent="0.2">
      <c r="B19" s="1337" t="s">
        <v>2122</v>
      </c>
      <c r="C19" s="1341">
        <v>10.555999999999999</v>
      </c>
      <c r="D19" s="1342" t="s">
        <v>2132</v>
      </c>
      <c r="E19" s="1343">
        <v>1176</v>
      </c>
      <c r="F19" s="1343">
        <v>403</v>
      </c>
      <c r="G19" s="1343"/>
      <c r="H19" s="1343">
        <v>1176</v>
      </c>
      <c r="I19" s="1343">
        <v>403</v>
      </c>
      <c r="J19" s="1343"/>
      <c r="K19" s="1343"/>
      <c r="L19" s="1340">
        <f t="shared" si="0"/>
        <v>403</v>
      </c>
      <c r="M19" s="1343"/>
    </row>
    <row r="20" spans="2:14" ht="20.100000000000001" customHeight="1" x14ac:dyDescent="0.2">
      <c r="B20" s="1337" t="s">
        <v>2123</v>
      </c>
      <c r="C20" s="1341">
        <v>10.565</v>
      </c>
      <c r="D20" s="1342" t="s">
        <v>2133</v>
      </c>
      <c r="E20" s="1343"/>
      <c r="F20" s="1343">
        <v>18450</v>
      </c>
      <c r="G20" s="1343"/>
      <c r="H20" s="1343"/>
      <c r="I20" s="1343">
        <v>18450</v>
      </c>
      <c r="J20" s="1343"/>
      <c r="K20" s="1343"/>
      <c r="L20" s="1340">
        <f t="shared" si="0"/>
        <v>18450</v>
      </c>
      <c r="M20" s="1343"/>
    </row>
    <row r="21" spans="2:14" ht="20.100000000000001" customHeight="1" x14ac:dyDescent="0.2">
      <c r="B21" s="1337" t="s">
        <v>2124</v>
      </c>
      <c r="C21" s="1341">
        <v>10.582000000000001</v>
      </c>
      <c r="D21" s="1342" t="s">
        <v>2133</v>
      </c>
      <c r="E21" s="1343"/>
      <c r="F21" s="1343">
        <v>44927</v>
      </c>
      <c r="G21" s="1343"/>
      <c r="H21" s="1343"/>
      <c r="I21" s="1343">
        <v>44927</v>
      </c>
      <c r="J21" s="1343"/>
      <c r="K21" s="1343"/>
      <c r="L21" s="1340">
        <f t="shared" si="0"/>
        <v>44927</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t="s">
        <v>2125</v>
      </c>
      <c r="C26" s="1341"/>
      <c r="D26" s="1342"/>
      <c r="E26" s="1343"/>
      <c r="F26" s="1343"/>
      <c r="G26" s="1343"/>
      <c r="H26" s="1343"/>
      <c r="I26" s="1343"/>
      <c r="J26" s="1343"/>
      <c r="K26" s="1343"/>
      <c r="L26" s="1340">
        <f t="shared" si="0"/>
        <v>0</v>
      </c>
      <c r="M26" s="1343"/>
    </row>
    <row r="27" spans="2:14" ht="20.100000000000001" customHeight="1" x14ac:dyDescent="0.2">
      <c r="B27" s="1337" t="s">
        <v>2126</v>
      </c>
      <c r="C27" s="1341"/>
      <c r="D27" s="1342"/>
      <c r="E27" s="1343">
        <f>SUM(E13:E26)</f>
        <v>449505</v>
      </c>
      <c r="F27" s="1343">
        <f t="shared" ref="F27:K27" si="1">SUM(F13:F26)</f>
        <v>610035</v>
      </c>
      <c r="G27" s="1343">
        <f t="shared" si="1"/>
        <v>0</v>
      </c>
      <c r="H27" s="1343">
        <f t="shared" si="1"/>
        <v>449505</v>
      </c>
      <c r="I27" s="1343">
        <f t="shared" si="1"/>
        <v>610035</v>
      </c>
      <c r="J27" s="1343">
        <f t="shared" si="1"/>
        <v>0</v>
      </c>
      <c r="K27" s="1343">
        <f t="shared" si="1"/>
        <v>0</v>
      </c>
      <c r="L27" s="1340">
        <f t="shared" si="0"/>
        <v>610035</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35374</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2094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0" sqref="B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North Mac CUSD 34</v>
      </c>
      <c r="C1" s="2461"/>
      <c r="D1" s="2461"/>
      <c r="E1" s="2461"/>
      <c r="F1" s="2461"/>
      <c r="G1" s="2461"/>
      <c r="H1" s="2461"/>
      <c r="I1" s="2461"/>
      <c r="J1" s="2461"/>
      <c r="K1" s="2461"/>
      <c r="L1" s="2461"/>
      <c r="M1" s="2461"/>
    </row>
    <row r="2" spans="2:14" ht="15" x14ac:dyDescent="0.2">
      <c r="B2" s="2450">
        <f>'Single Audit Cover'!E7</f>
        <v>40056034026</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2134</v>
      </c>
      <c r="C11" s="1338"/>
      <c r="D11" s="1339"/>
      <c r="E11" s="1340"/>
      <c r="F11" s="1340"/>
      <c r="G11" s="1340"/>
      <c r="H11" s="1340"/>
      <c r="I11" s="1340"/>
      <c r="J11" s="1340"/>
      <c r="K11" s="1340"/>
      <c r="L11" s="1340">
        <f>+G11+I11+K11</f>
        <v>0</v>
      </c>
      <c r="M11" s="1340"/>
    </row>
    <row r="12" spans="2:14" ht="20.100000000000001" customHeight="1" x14ac:dyDescent="0.2">
      <c r="B12" s="1337" t="s">
        <v>2116</v>
      </c>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t="s">
        <v>2135</v>
      </c>
      <c r="C14" s="1341">
        <v>84.01</v>
      </c>
      <c r="D14" s="1342" t="s">
        <v>2138</v>
      </c>
      <c r="E14" s="1343"/>
      <c r="F14" s="1343">
        <v>141265</v>
      </c>
      <c r="G14" s="1343"/>
      <c r="H14" s="1343"/>
      <c r="I14" s="1343">
        <v>338064</v>
      </c>
      <c r="J14" s="1343"/>
      <c r="K14" s="1343">
        <v>30731</v>
      </c>
      <c r="L14" s="1340">
        <f t="shared" si="0"/>
        <v>368795</v>
      </c>
      <c r="M14" s="1343">
        <v>381610</v>
      </c>
    </row>
    <row r="15" spans="2:14" ht="20.100000000000001" customHeight="1" x14ac:dyDescent="0.2">
      <c r="B15" s="1337" t="s">
        <v>2136</v>
      </c>
      <c r="C15" s="1341">
        <v>84.01</v>
      </c>
      <c r="D15" s="1342" t="s">
        <v>2139</v>
      </c>
      <c r="E15" s="1343">
        <v>189156</v>
      </c>
      <c r="F15" s="1343">
        <v>115919</v>
      </c>
      <c r="G15" s="1343">
        <v>267966</v>
      </c>
      <c r="H15" s="1343"/>
      <c r="I15" s="1343">
        <v>46648</v>
      </c>
      <c r="J15" s="1343"/>
      <c r="K15" s="1343"/>
      <c r="L15" s="1340">
        <f t="shared" si="0"/>
        <v>314614</v>
      </c>
      <c r="M15" s="1343">
        <v>345332</v>
      </c>
    </row>
    <row r="16" spans="2:14" ht="20.100000000000001" customHeight="1" x14ac:dyDescent="0.2">
      <c r="B16" s="1337" t="s">
        <v>2137</v>
      </c>
      <c r="C16" s="1341">
        <v>84.367000000000004</v>
      </c>
      <c r="D16" s="1342" t="s">
        <v>2140</v>
      </c>
      <c r="E16" s="1343"/>
      <c r="F16" s="1343">
        <v>5885</v>
      </c>
      <c r="G16" s="1343"/>
      <c r="H16" s="1343"/>
      <c r="I16" s="1343">
        <v>6375</v>
      </c>
      <c r="J16" s="1343"/>
      <c r="K16" s="1343">
        <v>27334</v>
      </c>
      <c r="L16" s="1340">
        <f t="shared" si="0"/>
        <v>33709</v>
      </c>
      <c r="M16" s="1343">
        <v>33709</v>
      </c>
    </row>
    <row r="17" spans="2:14" ht="20.100000000000001" customHeight="1" x14ac:dyDescent="0.2">
      <c r="B17" s="1337" t="s">
        <v>2137</v>
      </c>
      <c r="C17" s="1341">
        <v>84.367000000000004</v>
      </c>
      <c r="D17" s="1342" t="s">
        <v>2141</v>
      </c>
      <c r="E17" s="1343">
        <v>38743</v>
      </c>
      <c r="F17" s="1343">
        <v>15222</v>
      </c>
      <c r="G17" s="1343">
        <v>50890</v>
      </c>
      <c r="H17" s="1343"/>
      <c r="I17" s="1343">
        <v>17097</v>
      </c>
      <c r="J17" s="1343"/>
      <c r="K17" s="1343"/>
      <c r="L17" s="1340">
        <f t="shared" si="0"/>
        <v>67987</v>
      </c>
      <c r="M17" s="1343">
        <v>89282</v>
      </c>
    </row>
    <row r="18" spans="2:14" ht="20.100000000000001" customHeight="1" x14ac:dyDescent="0.2">
      <c r="B18" s="1337" t="s">
        <v>2158</v>
      </c>
      <c r="C18" s="1341" t="s">
        <v>2159</v>
      </c>
      <c r="D18" s="1342" t="s">
        <v>2160</v>
      </c>
      <c r="E18" s="1343"/>
      <c r="F18" s="1343">
        <v>2000</v>
      </c>
      <c r="G18" s="1343"/>
      <c r="H18" s="1343"/>
      <c r="I18" s="1343">
        <v>6565</v>
      </c>
      <c r="J18" s="1343"/>
      <c r="K18" s="1343">
        <v>2860</v>
      </c>
      <c r="L18" s="1340">
        <f t="shared" si="0"/>
        <v>9425</v>
      </c>
      <c r="M18" s="1343">
        <v>10000</v>
      </c>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t="s">
        <v>2143</v>
      </c>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2142</v>
      </c>
      <c r="C27" s="1341"/>
      <c r="D27" s="1342"/>
      <c r="E27" s="1343">
        <f>SUM(E13:E26)</f>
        <v>227899</v>
      </c>
      <c r="F27" s="1343">
        <f t="shared" ref="F27:K27" si="1">SUM(F13:F26)</f>
        <v>280291</v>
      </c>
      <c r="G27" s="1343">
        <f t="shared" si="1"/>
        <v>318856</v>
      </c>
      <c r="H27" s="1343">
        <f t="shared" si="1"/>
        <v>0</v>
      </c>
      <c r="I27" s="1343">
        <f t="shared" si="1"/>
        <v>414749</v>
      </c>
      <c r="J27" s="1343">
        <f t="shared" si="1"/>
        <v>0</v>
      </c>
      <c r="K27" s="1343">
        <f t="shared" si="1"/>
        <v>60925</v>
      </c>
      <c r="L27" s="1340">
        <f t="shared" si="0"/>
        <v>794530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0" sqref="B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North Mac CUSD 34</v>
      </c>
      <c r="C1" s="2461"/>
      <c r="D1" s="2461"/>
      <c r="E1" s="2461"/>
      <c r="F1" s="2461"/>
      <c r="G1" s="2461"/>
      <c r="H1" s="2461"/>
      <c r="I1" s="2461"/>
      <c r="J1" s="2461"/>
      <c r="K1" s="2461"/>
      <c r="L1" s="2461"/>
      <c r="M1" s="2461"/>
    </row>
    <row r="2" spans="2:14" ht="15" x14ac:dyDescent="0.2">
      <c r="B2" s="2450">
        <f>'Single Audit Cover'!E7</f>
        <v>40056034026</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2144</v>
      </c>
      <c r="C11" s="1338"/>
      <c r="D11" s="1339"/>
      <c r="E11" s="1340"/>
      <c r="F11" s="1340"/>
      <c r="G11" s="1340"/>
      <c r="H11" s="1340"/>
      <c r="I11" s="1340"/>
      <c r="J11" s="1340"/>
      <c r="K11" s="1340"/>
      <c r="L11" s="1340">
        <f>+G11+I11+K11</f>
        <v>0</v>
      </c>
      <c r="M11" s="1340"/>
    </row>
    <row r="12" spans="2:14" ht="20.100000000000001" customHeight="1" x14ac:dyDescent="0.2">
      <c r="B12" s="1337" t="s">
        <v>2145</v>
      </c>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t="s">
        <v>2146</v>
      </c>
      <c r="C14" s="1341">
        <v>93.778000000000006</v>
      </c>
      <c r="D14" s="1342" t="s">
        <v>2148</v>
      </c>
      <c r="E14" s="1343"/>
      <c r="F14" s="1343">
        <v>14092</v>
      </c>
      <c r="G14" s="1343"/>
      <c r="H14" s="1343"/>
      <c r="I14" s="1343">
        <v>14092</v>
      </c>
      <c r="J14" s="1343"/>
      <c r="K14" s="1343"/>
      <c r="L14" s="1340">
        <f t="shared" si="0"/>
        <v>14092</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2147</v>
      </c>
      <c r="C27" s="1341"/>
      <c r="D27" s="1342"/>
      <c r="E27" s="1343">
        <f>SUM(E13:E26)</f>
        <v>0</v>
      </c>
      <c r="F27" s="1343">
        <f t="shared" ref="F27:K27" si="1">SUM(F13:F26)</f>
        <v>14092</v>
      </c>
      <c r="G27" s="1343">
        <f t="shared" si="1"/>
        <v>0</v>
      </c>
      <c r="H27" s="1343">
        <f t="shared" si="1"/>
        <v>0</v>
      </c>
      <c r="I27" s="1343">
        <f t="shared" si="1"/>
        <v>14092</v>
      </c>
      <c r="J27" s="1343">
        <f t="shared" si="1"/>
        <v>0</v>
      </c>
      <c r="K27" s="1343">
        <f t="shared" si="1"/>
        <v>0</v>
      </c>
      <c r="L27" s="1340">
        <f t="shared" si="0"/>
        <v>14092</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0" sqref="B1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North Mac CUSD 34</v>
      </c>
      <c r="C1" s="2461"/>
      <c r="D1" s="2461"/>
      <c r="E1" s="2461"/>
      <c r="F1" s="2461"/>
      <c r="G1" s="2461"/>
      <c r="H1" s="2461"/>
      <c r="I1" s="2461"/>
      <c r="J1" s="2461"/>
      <c r="K1" s="2461"/>
      <c r="L1" s="2461"/>
      <c r="M1" s="2461"/>
    </row>
    <row r="2" spans="2:14" ht="15" x14ac:dyDescent="0.2">
      <c r="B2" s="2450">
        <f>'Single Audit Cover'!E7</f>
        <v>40056034026</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2149</v>
      </c>
      <c r="C11" s="1338"/>
      <c r="D11" s="1339"/>
      <c r="E11" s="1340"/>
      <c r="F11" s="1340"/>
      <c r="G11" s="1340"/>
      <c r="H11" s="1340"/>
      <c r="I11" s="1340"/>
      <c r="J11" s="1340"/>
      <c r="K11" s="1340"/>
      <c r="L11" s="1340">
        <f>+G11+I11+K11</f>
        <v>0</v>
      </c>
      <c r="M11" s="1340"/>
    </row>
    <row r="12" spans="2:14" ht="20.100000000000001" customHeight="1" x14ac:dyDescent="0.2">
      <c r="B12" s="1337" t="s">
        <v>2150</v>
      </c>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t="s">
        <v>2151</v>
      </c>
      <c r="C14" s="1341">
        <v>84.027000000000001</v>
      </c>
      <c r="D14" s="1342" t="s">
        <v>2155</v>
      </c>
      <c r="E14" s="1343"/>
      <c r="F14" s="1343">
        <v>212383</v>
      </c>
      <c r="G14" s="1343"/>
      <c r="H14" s="1343"/>
      <c r="I14" s="1343">
        <v>212383</v>
      </c>
      <c r="J14" s="1343"/>
      <c r="K14" s="1343"/>
      <c r="L14" s="1340">
        <f t="shared" si="0"/>
        <v>212383</v>
      </c>
      <c r="M14" s="1343"/>
    </row>
    <row r="15" spans="2:14" ht="20.100000000000001" customHeight="1" x14ac:dyDescent="0.2">
      <c r="B15" s="1337" t="s">
        <v>2152</v>
      </c>
      <c r="C15" s="1341">
        <v>84.173000000000002</v>
      </c>
      <c r="D15" s="1342" t="s">
        <v>2156</v>
      </c>
      <c r="E15" s="1343"/>
      <c r="F15" s="1343">
        <v>34341</v>
      </c>
      <c r="G15" s="1343"/>
      <c r="H15" s="1343"/>
      <c r="I15" s="1343">
        <v>34341</v>
      </c>
      <c r="J15" s="1343"/>
      <c r="K15" s="1343"/>
      <c r="L15" s="1340">
        <f t="shared" si="0"/>
        <v>34341</v>
      </c>
      <c r="M15" s="1343"/>
    </row>
    <row r="16" spans="2:14" ht="20.100000000000001" customHeight="1" x14ac:dyDescent="0.2">
      <c r="B16" s="1337" t="s">
        <v>2153</v>
      </c>
      <c r="C16" s="1341">
        <v>84.027000000000001</v>
      </c>
      <c r="D16" s="1342" t="s">
        <v>2157</v>
      </c>
      <c r="E16" s="1343"/>
      <c r="F16" s="1343">
        <v>14958</v>
      </c>
      <c r="G16" s="1343"/>
      <c r="H16" s="1343"/>
      <c r="I16" s="1343">
        <v>14958</v>
      </c>
      <c r="J16" s="1343"/>
      <c r="K16" s="1343"/>
      <c r="L16" s="1340">
        <f t="shared" si="0"/>
        <v>14958</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2154</v>
      </c>
      <c r="C27" s="1341"/>
      <c r="D27" s="1342"/>
      <c r="E27" s="1343">
        <f>SUM(E13:E26)</f>
        <v>0</v>
      </c>
      <c r="F27" s="1343">
        <f t="shared" ref="F27:K27" si="1">SUM(F13:F26)</f>
        <v>261682</v>
      </c>
      <c r="G27" s="1343">
        <f t="shared" si="1"/>
        <v>0</v>
      </c>
      <c r="H27" s="1343">
        <f t="shared" si="1"/>
        <v>0</v>
      </c>
      <c r="I27" s="1343">
        <f t="shared" si="1"/>
        <v>261682</v>
      </c>
      <c r="J27" s="1343">
        <f t="shared" si="1"/>
        <v>0</v>
      </c>
      <c r="K27" s="1343">
        <f t="shared" si="1"/>
        <v>0</v>
      </c>
      <c r="L27" s="1340">
        <f t="shared" si="0"/>
        <v>261682</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J23" sqref="J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North Mac CUSD 34</v>
      </c>
      <c r="C1" s="2461"/>
      <c r="D1" s="2461"/>
      <c r="E1" s="2461"/>
      <c r="F1" s="2461"/>
      <c r="G1" s="2461"/>
      <c r="H1" s="2461"/>
      <c r="I1" s="2461"/>
      <c r="J1" s="2461"/>
      <c r="K1" s="2461"/>
      <c r="L1" s="2461"/>
      <c r="M1" s="2461"/>
    </row>
    <row r="2" spans="2:14" ht="15" x14ac:dyDescent="0.2">
      <c r="B2" s="2450">
        <f>'Single Audit Cover'!E7</f>
        <v>40056034026</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2161</v>
      </c>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t="s">
        <v>2162</v>
      </c>
      <c r="C13" s="1341"/>
      <c r="D13" s="1342"/>
      <c r="E13" s="1343">
        <f>+' SEFA'!E27+' SEFA (2)'!E27</f>
        <v>677404</v>
      </c>
      <c r="F13" s="1343">
        <f>+' SEFA'!F27+' SEFA (2)'!F27</f>
        <v>890326</v>
      </c>
      <c r="G13" s="1343">
        <f>+' SEFA'!G27+' SEFA (2)'!G27</f>
        <v>318856</v>
      </c>
      <c r="H13" s="1343">
        <f>+' SEFA'!H27+' SEFA (2)'!H27</f>
        <v>449505</v>
      </c>
      <c r="I13" s="1343">
        <f>+' SEFA'!I27+' SEFA (2)'!I27</f>
        <v>1024784</v>
      </c>
      <c r="J13" s="1343">
        <f>+' SEFA'!J27+' SEFA (2)'!J27</f>
        <v>0</v>
      </c>
      <c r="K13" s="1343">
        <f>+' SEFA'!K27+' SEFA (2)'!K27</f>
        <v>60925</v>
      </c>
      <c r="L13" s="1340">
        <f t="shared" si="0"/>
        <v>1404565</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2163</v>
      </c>
      <c r="C15" s="1341"/>
      <c r="D15" s="1342"/>
      <c r="E15" s="1343">
        <f>+' SEFA (3)'!E27</f>
        <v>0</v>
      </c>
      <c r="F15" s="1343">
        <f>+' SEFA (3)'!F27</f>
        <v>14092</v>
      </c>
      <c r="G15" s="1343">
        <f>+' SEFA (3)'!G27</f>
        <v>0</v>
      </c>
      <c r="H15" s="1343">
        <f>+' SEFA (3)'!H27</f>
        <v>0</v>
      </c>
      <c r="I15" s="1343">
        <f>+' SEFA (3)'!I27</f>
        <v>14092</v>
      </c>
      <c r="J15" s="1343">
        <f>+' SEFA (3)'!J27</f>
        <v>0</v>
      </c>
      <c r="K15" s="1343">
        <f>+' SEFA (3)'!K27</f>
        <v>0</v>
      </c>
      <c r="L15" s="1340">
        <f t="shared" si="0"/>
        <v>14092</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2164</v>
      </c>
      <c r="C17" s="1341"/>
      <c r="D17" s="1342"/>
      <c r="E17" s="1343">
        <f>+' SEFA (4)'!E27</f>
        <v>0</v>
      </c>
      <c r="F17" s="1343">
        <f>+' SEFA (4)'!F27</f>
        <v>261682</v>
      </c>
      <c r="G17" s="1343">
        <f>+' SEFA (4)'!G27</f>
        <v>0</v>
      </c>
      <c r="H17" s="1343">
        <f>+' SEFA (4)'!H27</f>
        <v>0</v>
      </c>
      <c r="I17" s="1343">
        <f>+' SEFA (4)'!I27</f>
        <v>261682</v>
      </c>
      <c r="J17" s="1343">
        <f>+' SEFA (4)'!J27</f>
        <v>0</v>
      </c>
      <c r="K17" s="1343">
        <f>+' SEFA (4)'!K27</f>
        <v>0</v>
      </c>
      <c r="L17" s="1340">
        <f t="shared" si="0"/>
        <v>261682</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2165</v>
      </c>
      <c r="C27" s="1341"/>
      <c r="D27" s="1342"/>
      <c r="E27" s="1343">
        <f>SUM(E13:E26)</f>
        <v>677404</v>
      </c>
      <c r="F27" s="1343">
        <f t="shared" ref="F27:K27" si="1">SUM(F13:F26)</f>
        <v>1166100</v>
      </c>
      <c r="G27" s="1343">
        <f t="shared" si="1"/>
        <v>318856</v>
      </c>
      <c r="H27" s="1343">
        <f t="shared" si="1"/>
        <v>449505</v>
      </c>
      <c r="I27" s="1343">
        <f t="shared" si="1"/>
        <v>1300558</v>
      </c>
      <c r="J27" s="1343">
        <f t="shared" si="1"/>
        <v>0</v>
      </c>
      <c r="K27" s="1343">
        <f t="shared" si="1"/>
        <v>60925</v>
      </c>
      <c r="L27" s="1340">
        <f t="shared" si="0"/>
        <v>1680339</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N39" sqref="N3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North Mac CUSD 34</v>
      </c>
      <c r="C1" s="2469"/>
      <c r="D1" s="2469"/>
      <c r="E1" s="2469"/>
      <c r="F1" s="2469"/>
      <c r="G1" s="2469"/>
      <c r="H1" s="2469"/>
      <c r="I1" s="2469"/>
      <c r="J1" s="1422"/>
    </row>
    <row r="2" spans="2:10" s="317" customFormat="1" ht="12.75" customHeight="1" x14ac:dyDescent="0.2">
      <c r="B2" s="2470">
        <f>'Single Audit Cover'!E7</f>
        <v>40056034026</v>
      </c>
      <c r="C2" s="2471"/>
      <c r="D2" s="2471"/>
      <c r="E2" s="2471"/>
      <c r="F2" s="2471"/>
      <c r="G2" s="2471"/>
      <c r="H2" s="2471"/>
      <c r="I2" s="2471"/>
      <c r="J2" s="1422"/>
    </row>
    <row r="3" spans="2:10" s="317" customFormat="1" ht="12.75" customHeight="1" x14ac:dyDescent="0.2">
      <c r="B3" s="2472" t="s">
        <v>1347</v>
      </c>
      <c r="C3" s="2473"/>
      <c r="D3" s="2473"/>
      <c r="E3" s="2473"/>
      <c r="F3" s="2473"/>
      <c r="G3" s="2473"/>
      <c r="H3" s="2473"/>
      <c r="I3" s="2473"/>
      <c r="J3" s="1423"/>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2" t="s">
        <v>1346</v>
      </c>
      <c r="C7" s="2473"/>
      <c r="D7" s="2473"/>
      <c r="E7" s="2473"/>
      <c r="F7" s="2473"/>
      <c r="G7" s="2473"/>
      <c r="H7" s="2473"/>
      <c r="I7" s="247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4" t="s">
        <v>2170</v>
      </c>
      <c r="D11" s="247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5" t="s">
        <v>2171</v>
      </c>
      <c r="E29" s="2475"/>
      <c r="F29" s="2475"/>
      <c r="G29" s="2475"/>
      <c r="H29" s="2475"/>
      <c r="I29" s="2475"/>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76" t="s">
        <v>1851</v>
      </c>
      <c r="D37" s="2477"/>
      <c r="E37" s="2477"/>
      <c r="F37" s="2478"/>
      <c r="G37" s="2476" t="s">
        <v>1674</v>
      </c>
      <c r="H37" s="2477"/>
      <c r="I37" s="2478"/>
    </row>
    <row r="38" spans="2:9" ht="16.5" customHeight="1" x14ac:dyDescent="0.2">
      <c r="B38" s="1444">
        <v>10.555</v>
      </c>
      <c r="C38" s="2464" t="s">
        <v>2172</v>
      </c>
      <c r="D38" s="2465"/>
      <c r="E38" s="2465"/>
      <c r="F38" s="2466"/>
      <c r="G38" s="2479">
        <v>406296</v>
      </c>
      <c r="H38" s="2480"/>
      <c r="I38" s="2481"/>
    </row>
    <row r="39" spans="2:9" ht="16.5" customHeight="1" x14ac:dyDescent="0.2">
      <c r="B39" s="1444">
        <v>10.553000000000001</v>
      </c>
      <c r="C39" s="2464" t="s">
        <v>2120</v>
      </c>
      <c r="D39" s="2465"/>
      <c r="E39" s="2465"/>
      <c r="F39" s="2466"/>
      <c r="G39" s="2467">
        <v>137965</v>
      </c>
      <c r="H39" s="2467"/>
      <c r="I39" s="2467"/>
    </row>
    <row r="40" spans="2:9" ht="16.5" customHeight="1" x14ac:dyDescent="0.2">
      <c r="B40" s="1444">
        <v>10.555999999999999</v>
      </c>
      <c r="C40" s="2464" t="s">
        <v>2122</v>
      </c>
      <c r="D40" s="2465"/>
      <c r="E40" s="2465"/>
      <c r="F40" s="2466"/>
      <c r="G40" s="2467">
        <v>2397</v>
      </c>
      <c r="H40" s="2467"/>
      <c r="I40" s="2467"/>
    </row>
    <row r="41" spans="2:9" ht="16.5" customHeight="1" x14ac:dyDescent="0.2">
      <c r="B41" s="1444">
        <v>84.01</v>
      </c>
      <c r="C41" s="2464" t="s">
        <v>2173</v>
      </c>
      <c r="D41" s="2465"/>
      <c r="E41" s="2465"/>
      <c r="F41" s="2466"/>
      <c r="G41" s="2467">
        <v>384712</v>
      </c>
      <c r="H41" s="2467"/>
      <c r="I41" s="2467"/>
    </row>
    <row r="42" spans="2:9" ht="16.5" customHeight="1" x14ac:dyDescent="0.2">
      <c r="B42" s="1444"/>
      <c r="C42" s="2464"/>
      <c r="D42" s="2465"/>
      <c r="E42" s="2465"/>
      <c r="F42" s="2466"/>
      <c r="G42" s="2467"/>
      <c r="H42" s="2467"/>
      <c r="I42" s="2467"/>
    </row>
    <row r="43" spans="2:9" ht="16.5" customHeight="1" x14ac:dyDescent="0.2">
      <c r="B43" s="1444"/>
      <c r="C43" s="2482" t="s">
        <v>1675</v>
      </c>
      <c r="D43" s="2483"/>
      <c r="E43" s="2483"/>
      <c r="F43" s="2484"/>
      <c r="G43" s="2485">
        <f>SUM(G38:I42)</f>
        <v>931370</v>
      </c>
      <c r="H43" s="2485"/>
      <c r="I43" s="2485"/>
    </row>
    <row r="44" spans="2:9" ht="12.75" customHeight="1" x14ac:dyDescent="0.2"/>
    <row r="45" spans="2:9" ht="12.75" customHeight="1" x14ac:dyDescent="0.2">
      <c r="B45" s="1435" t="s">
        <v>1949</v>
      </c>
      <c r="D45" s="2486">
        <f>+' SEFA (5)'!I27</f>
        <v>1300558</v>
      </c>
      <c r="E45" s="2487"/>
    </row>
    <row r="46" spans="2:9" ht="5.25" customHeight="1" x14ac:dyDescent="0.2">
      <c r="B46" s="1445"/>
      <c r="D46" s="1446"/>
      <c r="E46" s="1447"/>
    </row>
    <row r="47" spans="2:9" ht="12.75" customHeight="1" x14ac:dyDescent="0.2">
      <c r="B47" s="1300" t="s">
        <v>1676</v>
      </c>
      <c r="C47" s="1300"/>
      <c r="D47" s="1448">
        <f>+G43/D45</f>
        <v>0.71613107604582038</v>
      </c>
      <c r="E47" s="1449"/>
      <c r="F47" s="1450"/>
      <c r="I47" s="1451"/>
    </row>
    <row r="48" spans="2:9" ht="9.9499999999999993" customHeight="1" x14ac:dyDescent="0.2"/>
    <row r="49" spans="1:9" x14ac:dyDescent="0.2">
      <c r="B49" s="1368" t="s">
        <v>1335</v>
      </c>
      <c r="C49" s="1282"/>
      <c r="D49" s="1282"/>
      <c r="E49" s="2488">
        <v>750000</v>
      </c>
      <c r="F49" s="2488"/>
      <c r="G49" s="2488"/>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North Mac CUSD 34</v>
      </c>
      <c r="C1" s="2468"/>
      <c r="D1" s="2468"/>
      <c r="E1" s="2468"/>
      <c r="F1" s="2468"/>
      <c r="G1" s="2468"/>
      <c r="H1" s="2468"/>
      <c r="I1" s="2468"/>
      <c r="J1" s="2468"/>
      <c r="K1" s="2468"/>
      <c r="L1" s="1374"/>
      <c r="M1" s="1374"/>
    </row>
    <row r="2" spans="1:13" ht="12" customHeight="1" x14ac:dyDescent="0.2">
      <c r="B2" s="2470">
        <f>'Single Audit Cover'!E7</f>
        <v>40056034026</v>
      </c>
      <c r="C2" s="2470"/>
      <c r="D2" s="2470"/>
      <c r="E2" s="2470"/>
      <c r="F2" s="2470"/>
      <c r="G2" s="2470"/>
      <c r="H2" s="2470"/>
      <c r="I2" s="2470"/>
      <c r="J2" s="2470"/>
      <c r="K2" s="2470"/>
      <c r="L2" s="1375"/>
      <c r="M2" s="1376"/>
    </row>
    <row r="3" spans="1:13" ht="10.35" customHeight="1" x14ac:dyDescent="0.2">
      <c r="B3" s="2491" t="s">
        <v>1347</v>
      </c>
      <c r="C3" s="2491"/>
      <c r="D3" s="2491"/>
      <c r="E3" s="2491"/>
      <c r="F3" s="2491"/>
      <c r="G3" s="2491"/>
      <c r="H3" s="2491"/>
      <c r="I3" s="2491"/>
      <c r="J3" s="2491"/>
      <c r="K3" s="2491"/>
      <c r="L3" s="1377"/>
      <c r="M3" s="1377"/>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2" t="s">
        <v>1363</v>
      </c>
      <c r="C7" s="2492"/>
      <c r="D7" s="2493"/>
      <c r="E7" s="2493"/>
      <c r="F7" s="2493"/>
      <c r="G7" s="2493"/>
      <c r="H7" s="2493"/>
      <c r="I7" s="2493"/>
      <c r="J7" s="2493"/>
      <c r="K7" s="249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0" t="s">
        <v>2174</v>
      </c>
      <c r="C14" s="2490"/>
      <c r="D14" s="2490"/>
      <c r="E14" s="2490"/>
      <c r="F14" s="2490"/>
      <c r="G14" s="2490"/>
      <c r="H14" s="2490"/>
      <c r="I14" s="2490"/>
      <c r="J14" s="2490"/>
      <c r="K14" s="249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0"/>
      <c r="C17" s="2490"/>
      <c r="D17" s="2490"/>
      <c r="E17" s="2490"/>
      <c r="F17" s="2490"/>
      <c r="G17" s="2490"/>
      <c r="H17" s="2490"/>
      <c r="I17" s="2490"/>
      <c r="J17" s="2490"/>
      <c r="K17" s="2490"/>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4"/>
      <c r="C20" s="2494"/>
      <c r="D20" s="2490"/>
      <c r="E20" s="2490"/>
      <c r="F20" s="2490"/>
      <c r="G20" s="2490"/>
      <c r="H20" s="2490"/>
      <c r="I20" s="2490"/>
      <c r="J20" s="2490"/>
      <c r="K20" s="249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0"/>
      <c r="C23" s="2490"/>
      <c r="D23" s="2490"/>
      <c r="E23" s="2490"/>
      <c r="F23" s="2490"/>
      <c r="G23" s="2490"/>
      <c r="H23" s="2490"/>
      <c r="I23" s="2490"/>
      <c r="J23" s="2490"/>
      <c r="K23" s="249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0"/>
      <c r="C26" s="2490"/>
      <c r="D26" s="2490"/>
      <c r="E26" s="2490"/>
      <c r="F26" s="2490"/>
      <c r="G26" s="2490"/>
      <c r="H26" s="2490"/>
      <c r="I26" s="2490"/>
      <c r="J26" s="2490"/>
      <c r="K26" s="249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9"/>
      <c r="C29" s="2489"/>
      <c r="D29" s="2490"/>
      <c r="E29" s="2490"/>
      <c r="F29" s="2490"/>
      <c r="G29" s="2490"/>
      <c r="H29" s="2490"/>
      <c r="I29" s="2490"/>
      <c r="J29" s="2490"/>
      <c r="K29" s="249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89"/>
      <c r="C32" s="2489"/>
      <c r="D32" s="2490"/>
      <c r="E32" s="2490"/>
      <c r="F32" s="2490"/>
      <c r="G32" s="2490"/>
      <c r="H32" s="2490"/>
      <c r="I32" s="2490"/>
      <c r="J32" s="2490"/>
      <c r="K32" s="249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L20" sqref="L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North Mac CUSD 34</v>
      </c>
      <c r="C1" s="2495"/>
      <c r="D1" s="2495"/>
      <c r="E1" s="2495"/>
      <c r="F1" s="2495"/>
      <c r="G1" s="2495"/>
      <c r="H1" s="2495"/>
      <c r="I1" s="2495"/>
      <c r="J1" s="2495"/>
      <c r="K1" s="2495"/>
      <c r="L1" s="1465"/>
    </row>
    <row r="2" spans="1:12" ht="12.75" customHeight="1" x14ac:dyDescent="0.2">
      <c r="B2" s="2496">
        <f>'Single Audit Cover'!E7</f>
        <v>40056034026</v>
      </c>
      <c r="C2" s="2496"/>
      <c r="D2" s="2496"/>
      <c r="E2" s="2496"/>
      <c r="F2" s="2496"/>
      <c r="G2" s="2496"/>
      <c r="H2" s="2496"/>
      <c r="I2" s="2496"/>
      <c r="J2" s="2496"/>
      <c r="K2" s="2496"/>
      <c r="L2" s="1466"/>
    </row>
    <row r="3" spans="1:12" ht="12.75" customHeight="1" x14ac:dyDescent="0.2">
      <c r="B3" s="2491" t="s">
        <v>1347</v>
      </c>
      <c r="C3" s="2491"/>
      <c r="D3" s="2491"/>
      <c r="E3" s="2491"/>
      <c r="F3" s="2491"/>
      <c r="G3" s="2491"/>
      <c r="H3" s="2491"/>
      <c r="I3" s="2491"/>
      <c r="J3" s="2491"/>
      <c r="K3" s="2491"/>
      <c r="L3" s="1377"/>
    </row>
    <row r="4" spans="1:12" ht="12.75" customHeight="1" x14ac:dyDescent="0.2">
      <c r="B4" s="2491" t="str">
        <f>'Single Audit Cover'!A4</f>
        <v>Year Ending June 30, 2018</v>
      </c>
      <c r="C4" s="2491"/>
      <c r="D4" s="2491"/>
      <c r="E4" s="2491"/>
      <c r="F4" s="2491"/>
      <c r="G4" s="2491"/>
      <c r="H4" s="2491"/>
      <c r="I4" s="2491"/>
      <c r="J4" s="2491"/>
      <c r="K4" s="2491"/>
      <c r="L4" s="1377"/>
    </row>
    <row r="5" spans="1:12" ht="5.25" customHeight="1" x14ac:dyDescent="0.2">
      <c r="B5" s="1260" t="s">
        <v>1231</v>
      </c>
      <c r="C5" s="1260"/>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5"/>
      <c r="G12" s="2475"/>
      <c r="H12" s="2475"/>
      <c r="I12" s="2475"/>
      <c r="J12" s="2475"/>
      <c r="K12" s="247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0" t="s">
        <v>2174</v>
      </c>
      <c r="C20" s="2490"/>
      <c r="D20" s="2490"/>
      <c r="E20" s="2490"/>
      <c r="F20" s="2490"/>
      <c r="G20" s="2490"/>
      <c r="H20" s="2490"/>
      <c r="I20" s="2490"/>
      <c r="J20" s="2490"/>
      <c r="K20" s="249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21" sqref="D2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8" t="str">
        <f>'Single Audit Cover'!A7</f>
        <v>North Mac CUSD 34</v>
      </c>
      <c r="C1" s="2468"/>
      <c r="D1" s="2468"/>
      <c r="E1" s="1491"/>
    </row>
    <row r="2" spans="2:5" s="1282" customFormat="1" ht="12.75" customHeight="1" x14ac:dyDescent="0.2">
      <c r="B2" s="2470">
        <f>'Single Audit Cover'!E7</f>
        <v>40056034026</v>
      </c>
      <c r="C2" s="2470"/>
      <c r="D2" s="2470"/>
      <c r="E2" s="1492"/>
    </row>
    <row r="3" spans="2:5" ht="12.75" customHeight="1" x14ac:dyDescent="0.2">
      <c r="B3" s="2491" t="s">
        <v>1866</v>
      </c>
      <c r="C3" s="2491"/>
      <c r="D3" s="2491"/>
      <c r="E3" s="1274"/>
    </row>
    <row r="4" spans="2:5" s="1282" customFormat="1" ht="12.75" customHeight="1" x14ac:dyDescent="0.2">
      <c r="B4" s="2501" t="str">
        <f>'Single Audit Cover'!A4</f>
        <v>Year Ending June 30, 2018</v>
      </c>
      <c r="C4" s="2501"/>
      <c r="D4" s="2501"/>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2175</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127994047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2.8899999999999999E-2</v>
      </c>
      <c r="E10" s="356" t="s">
        <v>1062</v>
      </c>
      <c r="F10" s="355">
        <v>5.8999999999999999E-3</v>
      </c>
      <c r="G10" s="356" t="s">
        <v>1062</v>
      </c>
      <c r="H10" s="355">
        <v>2.3999999999999998E-3</v>
      </c>
      <c r="I10" s="356" t="s">
        <v>1063</v>
      </c>
      <c r="J10" s="1754">
        <f>ROUND(D10+F10+H10,5)</f>
        <v>3.7199999999999997E-2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13661972</v>
      </c>
      <c r="E16" s="356"/>
      <c r="F16" s="1755">
        <f>SUM('Acct Summary 7-8'!C17,'Acct Summary 7-8'!D17,'Acct Summary 7-8'!F17)</f>
        <v>11575687</v>
      </c>
      <c r="G16" s="356"/>
      <c r="H16" s="1755">
        <f>SUM(D16-F16)</f>
        <v>2086285</v>
      </c>
      <c r="I16" s="222"/>
      <c r="J16" s="1755">
        <f>SUM('Acct Summary 7-8'!C81,'Acct Summary 7-8'!D81,'Acct Summary 7-8'!F81,'Acct Summary 7-8'!I81)</f>
        <v>6942283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17663178.486000001</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4613737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B10" sqref="B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 Mac CUSD 34</v>
      </c>
      <c r="E7" s="391"/>
      <c r="G7" s="252"/>
      <c r="H7" s="387"/>
      <c r="I7" s="387"/>
      <c r="J7" s="387"/>
      <c r="K7" s="387"/>
      <c r="L7" s="329"/>
      <c r="M7" s="329"/>
      <c r="N7" s="329"/>
      <c r="O7" s="329"/>
      <c r="P7" s="329"/>
    </row>
    <row r="8" spans="1:18" ht="12.75" x14ac:dyDescent="0.2">
      <c r="A8" s="329"/>
      <c r="B8" s="329"/>
      <c r="C8" s="389" t="s">
        <v>1187</v>
      </c>
      <c r="D8" s="392">
        <f>COVER!A13</f>
        <v>40056034026</v>
      </c>
      <c r="E8" s="393"/>
      <c r="G8" s="329"/>
      <c r="H8" s="329"/>
      <c r="I8" s="329"/>
      <c r="J8" s="329"/>
      <c r="K8" s="329"/>
      <c r="L8" s="329"/>
      <c r="M8" s="329"/>
      <c r="N8" s="329"/>
      <c r="O8" s="329"/>
      <c r="P8" s="329"/>
    </row>
    <row r="9" spans="1:18" ht="12.75" x14ac:dyDescent="0.2">
      <c r="A9" s="329"/>
      <c r="B9" s="329"/>
      <c r="C9" s="389" t="s">
        <v>737</v>
      </c>
      <c r="D9" s="394" t="str">
        <f>COVER!A15</f>
        <v>MACOUPIN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6942283</v>
      </c>
      <c r="I12" s="404"/>
      <c r="J12" s="404"/>
      <c r="K12" s="405">
        <f>TRUNC((H12/H13*100000),5)/100000</f>
        <v>0.50814648130000006</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13661972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11575687</v>
      </c>
      <c r="I17" s="404"/>
      <c r="J17" s="416"/>
      <c r="K17" s="405">
        <f>TRUNC((H17/H18*100000),5)/100000</f>
        <v>0.84729254310000002</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13661972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6942283</v>
      </c>
      <c r="I24" s="422"/>
      <c r="J24" s="422"/>
      <c r="K24" s="423">
        <f>TRUNC(((H24/H25*100000)/100000),2)</f>
        <v>215.9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32154.686109999999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4047171.76614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4613737</v>
      </c>
      <c r="I32" s="420"/>
      <c r="J32" s="420"/>
      <c r="K32" s="423">
        <f>TRUNC(100-((((H32/H33*100))*100)/100),2)</f>
        <v>73.87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17663178.486000001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B10" sqref="B10"/>
      <selection pane="bottomLeft" activeCell="B10" sqref="B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5762844</v>
      </c>
      <c r="D4" s="466">
        <v>79226</v>
      </c>
      <c r="E4" s="466">
        <v>493819</v>
      </c>
      <c r="F4" s="466">
        <v>747439</v>
      </c>
      <c r="G4" s="466">
        <v>305943</v>
      </c>
      <c r="H4" s="466">
        <v>538784</v>
      </c>
      <c r="I4" s="466">
        <v>106621</v>
      </c>
      <c r="J4" s="467">
        <v>281663</v>
      </c>
      <c r="K4" s="466">
        <f>14739+127424</f>
        <v>142163</v>
      </c>
      <c r="L4" s="466">
        <v>193930</v>
      </c>
      <c r="M4" s="468"/>
      <c r="N4" s="469"/>
    </row>
    <row r="5" spans="1:14" x14ac:dyDescent="0.2">
      <c r="A5" s="463" t="s">
        <v>1049</v>
      </c>
      <c r="B5" s="470">
        <v>120</v>
      </c>
      <c r="C5" s="465"/>
      <c r="D5" s="466"/>
      <c r="E5" s="466"/>
      <c r="F5" s="466"/>
      <c r="G5" s="466"/>
      <c r="H5" s="466"/>
      <c r="I5" s="466">
        <v>246153</v>
      </c>
      <c r="J5" s="467"/>
      <c r="K5" s="471">
        <v>127392</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5762844</v>
      </c>
      <c r="D13" s="1759">
        <f t="shared" ref="D13:L13" si="0">SUM(D4:D12)</f>
        <v>79226</v>
      </c>
      <c r="E13" s="1759">
        <f t="shared" si="0"/>
        <v>493819</v>
      </c>
      <c r="F13" s="1759">
        <f t="shared" si="0"/>
        <v>747439</v>
      </c>
      <c r="G13" s="1759">
        <f t="shared" si="0"/>
        <v>305943</v>
      </c>
      <c r="H13" s="1759">
        <f t="shared" si="0"/>
        <v>538784</v>
      </c>
      <c r="I13" s="1759">
        <f t="shared" si="0"/>
        <v>352774</v>
      </c>
      <c r="J13" s="1759">
        <f t="shared" si="0"/>
        <v>281663</v>
      </c>
      <c r="K13" s="1759">
        <f t="shared" si="0"/>
        <v>269555</v>
      </c>
      <c r="L13" s="1759">
        <f t="shared" si="0"/>
        <v>193930</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403128</v>
      </c>
      <c r="N16" s="484"/>
    </row>
    <row r="17" spans="1:14" s="485" customFormat="1" ht="12.75" customHeight="1" x14ac:dyDescent="0.2">
      <c r="A17" s="482" t="s">
        <v>1470</v>
      </c>
      <c r="B17" s="483">
        <v>230</v>
      </c>
      <c r="C17" s="477"/>
      <c r="D17" s="477"/>
      <c r="E17" s="477"/>
      <c r="F17" s="477"/>
      <c r="G17" s="477"/>
      <c r="H17" s="477"/>
      <c r="I17" s="477"/>
      <c r="J17" s="477"/>
      <c r="K17" s="477"/>
      <c r="L17" s="477"/>
      <c r="M17" s="467">
        <f>15319273+582634</f>
        <v>15901907</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3698468+1892172</f>
        <v>5590640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493819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4119918</v>
      </c>
    </row>
    <row r="23" spans="1:14" ht="13.5" customHeight="1" thickBot="1" x14ac:dyDescent="0.25">
      <c r="A23" s="1758" t="s">
        <v>664</v>
      </c>
      <c r="B23" s="1763"/>
      <c r="C23" s="468"/>
      <c r="D23" s="468"/>
      <c r="E23" s="468"/>
      <c r="F23" s="468"/>
      <c r="G23" s="468"/>
      <c r="H23" s="468"/>
      <c r="I23" s="468"/>
      <c r="J23" s="468"/>
      <c r="K23" s="468"/>
      <c r="L23" s="468"/>
      <c r="M23" s="1710">
        <f>SUM(M15:M22)</f>
        <v>21895675</v>
      </c>
      <c r="N23" s="1710">
        <f>SUM(N21:N22)</f>
        <v>4613737</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193930</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193930</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4613737</v>
      </c>
    </row>
    <row r="37" spans="1:14" ht="13.5" thickBot="1" x14ac:dyDescent="0.25">
      <c r="A37" s="1758" t="s">
        <v>674</v>
      </c>
      <c r="B37" s="1763"/>
      <c r="C37" s="477"/>
      <c r="D37" s="477"/>
      <c r="E37" s="477"/>
      <c r="F37" s="477"/>
      <c r="G37" s="477"/>
      <c r="H37" s="477"/>
      <c r="I37" s="477"/>
      <c r="J37" s="477"/>
      <c r="K37" s="477"/>
      <c r="L37" s="480"/>
      <c r="M37" s="468"/>
      <c r="N37" s="1710">
        <f>SUM(N36:N36)</f>
        <v>4613737</v>
      </c>
    </row>
    <row r="38" spans="1:14" s="329" customFormat="1" ht="13.5" customHeight="1" thickTop="1" x14ac:dyDescent="0.2">
      <c r="A38" s="496" t="s">
        <v>440</v>
      </c>
      <c r="B38" s="483">
        <v>714</v>
      </c>
      <c r="C38" s="466"/>
      <c r="D38" s="466"/>
      <c r="E38" s="466">
        <v>493819</v>
      </c>
      <c r="F38" s="466"/>
      <c r="G38" s="466">
        <v>305943</v>
      </c>
      <c r="H38" s="466">
        <v>538784</v>
      </c>
      <c r="I38" s="466"/>
      <c r="J38" s="467">
        <v>281663</v>
      </c>
      <c r="K38" s="466">
        <v>269555</v>
      </c>
      <c r="L38" s="481"/>
      <c r="M38" s="497"/>
      <c r="N38" s="497"/>
    </row>
    <row r="39" spans="1:14" s="329" customFormat="1" ht="13.5" customHeight="1" x14ac:dyDescent="0.2">
      <c r="A39" s="496" t="s">
        <v>360</v>
      </c>
      <c r="B39" s="483">
        <v>730</v>
      </c>
      <c r="C39" s="466">
        <v>5762844</v>
      </c>
      <c r="D39" s="466">
        <v>79226</v>
      </c>
      <c r="E39" s="466"/>
      <c r="F39" s="466">
        <v>747439</v>
      </c>
      <c r="G39" s="466"/>
      <c r="H39" s="466"/>
      <c r="I39" s="466">
        <v>352774</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21895675</v>
      </c>
      <c r="N40" s="497"/>
    </row>
    <row r="41" spans="1:14" ht="13.5" customHeight="1" thickBot="1" x14ac:dyDescent="0.25">
      <c r="A41" s="1758" t="s">
        <v>676</v>
      </c>
      <c r="B41" s="1728"/>
      <c r="C41" s="1710">
        <f>(SUM(C34,C37,C38,C39))</f>
        <v>5762844</v>
      </c>
      <c r="D41" s="1710">
        <f t="shared" ref="D41:L41" si="2">SUM(D34,D37,D38:D39)</f>
        <v>79226</v>
      </c>
      <c r="E41" s="1710">
        <f t="shared" si="2"/>
        <v>493819</v>
      </c>
      <c r="F41" s="1710">
        <f t="shared" si="2"/>
        <v>747439</v>
      </c>
      <c r="G41" s="1710">
        <f t="shared" si="2"/>
        <v>305943</v>
      </c>
      <c r="H41" s="1710">
        <f t="shared" si="2"/>
        <v>538784</v>
      </c>
      <c r="I41" s="1710">
        <f t="shared" si="2"/>
        <v>352774</v>
      </c>
      <c r="J41" s="1710">
        <f t="shared" si="2"/>
        <v>281663</v>
      </c>
      <c r="K41" s="1710">
        <f t="shared" si="2"/>
        <v>269555</v>
      </c>
      <c r="L41" s="1710">
        <f t="shared" si="2"/>
        <v>193930</v>
      </c>
      <c r="M41" s="1710">
        <f>SUM(M40)</f>
        <v>21895675</v>
      </c>
      <c r="N41" s="1710">
        <f>SUM(N37)</f>
        <v>4613737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8" activePane="bottomLeft" state="frozenSplit"/>
      <selection activeCell="B10" sqref="B10"/>
      <selection pane="bottomLeft" activeCell="B10" sqref="B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1954" t="s">
        <v>1579</v>
      </c>
      <c r="B4" s="1955">
        <v>1000</v>
      </c>
      <c r="C4" s="1764">
        <f>'Revenues 9-14'!C109</f>
        <v>3925495</v>
      </c>
      <c r="D4" s="1764">
        <f>'Revenues 9-14'!D109</f>
        <v>816240</v>
      </c>
      <c r="E4" s="1764">
        <f>'Revenues 9-14'!E109</f>
        <v>902149</v>
      </c>
      <c r="F4" s="1764">
        <f>'Revenues 9-14'!F109</f>
        <v>484962</v>
      </c>
      <c r="G4" s="1764">
        <f>'Revenues 9-14'!G109</f>
        <v>570420</v>
      </c>
      <c r="H4" s="1764">
        <f>'Revenues 9-14'!H109</f>
        <v>380502</v>
      </c>
      <c r="I4" s="1764">
        <f>'Revenues 9-14'!I109</f>
        <v>61273</v>
      </c>
      <c r="J4" s="1764">
        <f>'Revenues 9-14'!J109</f>
        <v>568562</v>
      </c>
      <c r="K4" s="1764">
        <f>'Revenues 9-14'!K109</f>
        <v>63470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6218558</v>
      </c>
      <c r="D6" s="1765">
        <f>'Revenues 9-14'!D173</f>
        <v>240000</v>
      </c>
      <c r="E6" s="1765">
        <f>'Revenues 9-14'!E173</f>
        <v>0</v>
      </c>
      <c r="F6" s="1765">
        <f>'Revenues 9-14'!F173</f>
        <v>751636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1163808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11307861</v>
      </c>
      <c r="D8" s="1710">
        <f t="shared" ref="D8:K8" si="0">SUM(D4:D7)</f>
        <v>1056240</v>
      </c>
      <c r="E8" s="1710">
        <f t="shared" si="0"/>
        <v>902149</v>
      </c>
      <c r="F8" s="1710">
        <f t="shared" si="0"/>
        <v>1236598</v>
      </c>
      <c r="G8" s="1710">
        <f t="shared" si="0"/>
        <v>570420</v>
      </c>
      <c r="H8" s="1710">
        <f t="shared" si="0"/>
        <v>380502</v>
      </c>
      <c r="I8" s="1710">
        <f t="shared" si="0"/>
        <v>61273</v>
      </c>
      <c r="J8" s="1710">
        <f t="shared" si="0"/>
        <v>568562</v>
      </c>
      <c r="K8" s="1710">
        <f t="shared" si="0"/>
        <v>63470</v>
      </c>
      <c r="L8" s="347"/>
    </row>
    <row r="9" spans="1:13" ht="15.75" thickTop="1" x14ac:dyDescent="0.2">
      <c r="A9" s="514" t="s">
        <v>1752</v>
      </c>
      <c r="B9" s="515">
        <v>3998</v>
      </c>
      <c r="C9" s="481">
        <v>3723471</v>
      </c>
      <c r="D9" s="516"/>
      <c r="E9" s="481"/>
      <c r="F9" s="481"/>
      <c r="G9" s="517"/>
      <c r="H9" s="481"/>
      <c r="I9" s="509" t="s">
        <v>1231</v>
      </c>
      <c r="J9" s="478"/>
      <c r="K9" s="481"/>
      <c r="L9" s="347"/>
    </row>
    <row r="10" spans="1:13" s="519" customFormat="1" ht="13.5" thickBot="1" x14ac:dyDescent="0.25">
      <c r="A10" s="1758" t="s">
        <v>1235</v>
      </c>
      <c r="B10" s="1731"/>
      <c r="C10" s="1710">
        <f>SUM(C8:C9)</f>
        <v>15031332</v>
      </c>
      <c r="D10" s="1710">
        <f t="shared" ref="D10:K10" si="1">SUM(D8:D9)</f>
        <v>1056240</v>
      </c>
      <c r="E10" s="1710">
        <f t="shared" si="1"/>
        <v>902149</v>
      </c>
      <c r="F10" s="1710">
        <f t="shared" si="1"/>
        <v>1236598</v>
      </c>
      <c r="G10" s="1710">
        <f t="shared" si="1"/>
        <v>570420</v>
      </c>
      <c r="H10" s="1710">
        <f t="shared" si="1"/>
        <v>380502</v>
      </c>
      <c r="I10" s="1710">
        <f t="shared" si="1"/>
        <v>61273</v>
      </c>
      <c r="J10" s="1710">
        <f t="shared" si="1"/>
        <v>568562</v>
      </c>
      <c r="K10" s="1710">
        <f t="shared" si="1"/>
        <v>63470</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5444547</v>
      </c>
      <c r="D12" s="520" t="s">
        <v>1231</v>
      </c>
      <c r="E12" s="468" t="s">
        <v>1231</v>
      </c>
      <c r="F12" s="468" t="s">
        <v>1231</v>
      </c>
      <c r="G12" s="1764">
        <f>'Expenditures 15-22'!K229</f>
        <v>109073</v>
      </c>
      <c r="H12" s="521"/>
      <c r="I12" s="468" t="s">
        <v>1231</v>
      </c>
      <c r="J12" s="468" t="s">
        <v>1231</v>
      </c>
      <c r="K12" s="521" t="s">
        <v>1231</v>
      </c>
      <c r="L12" s="347"/>
    </row>
    <row r="13" spans="1:13" ht="15.75" customHeight="1" x14ac:dyDescent="0.2">
      <c r="A13" s="1598" t="s">
        <v>477</v>
      </c>
      <c r="B13" s="1600">
        <v>2000</v>
      </c>
      <c r="C13" s="1765">
        <f>'Expenditures 15-22'!K74</f>
        <v>2718041</v>
      </c>
      <c r="D13" s="1765">
        <f>'Expenditures 15-22'!K129</f>
        <v>1214879</v>
      </c>
      <c r="E13" s="469" t="s">
        <v>1231</v>
      </c>
      <c r="F13" s="1765">
        <f>'Expenditures 15-22'!K184</f>
        <v>703655</v>
      </c>
      <c r="G13" s="1765">
        <f>'Expenditures 15-22'!K279</f>
        <v>391650</v>
      </c>
      <c r="H13" s="1765">
        <f>'Expenditures 15-22'!K303</f>
        <v>96102</v>
      </c>
      <c r="I13" s="468" t="s">
        <v>1231</v>
      </c>
      <c r="J13" s="1765">
        <f>'Expenditures 15-22'!K330</f>
        <v>738605</v>
      </c>
      <c r="K13" s="1769">
        <f>'Expenditures 15-22'!K352</f>
        <v>1361410</v>
      </c>
      <c r="L13" s="347"/>
    </row>
    <row r="14" spans="1:13" ht="15.75" customHeight="1" x14ac:dyDescent="0.2">
      <c r="A14" s="1598" t="s">
        <v>469</v>
      </c>
      <c r="B14" s="1600">
        <v>3000</v>
      </c>
      <c r="C14" s="1765">
        <f>'Expenditures 15-22'!K75</f>
        <v>29287</v>
      </c>
      <c r="D14" s="1765">
        <f>'Expenditures 15-22'!K130</f>
        <v>0</v>
      </c>
      <c r="E14" s="520" t="s">
        <v>1231</v>
      </c>
      <c r="F14" s="1765">
        <f>'Expenditures 15-22'!K185</f>
        <v>0</v>
      </c>
      <c r="G14" s="1765">
        <f>'Expenditures 15-22'!K280</f>
        <v>2512</v>
      </c>
      <c r="H14" s="512"/>
      <c r="I14" s="468" t="s">
        <v>1231</v>
      </c>
      <c r="J14" s="468" t="s">
        <v>1231</v>
      </c>
      <c r="K14" s="512" t="s">
        <v>1231</v>
      </c>
      <c r="L14" s="347"/>
    </row>
    <row r="15" spans="1:13" ht="15.75" customHeight="1" x14ac:dyDescent="0.2">
      <c r="A15" s="1598" t="s">
        <v>109</v>
      </c>
      <c r="B15" s="1600">
        <v>4000</v>
      </c>
      <c r="C15" s="1765">
        <f>'Expenditures 15-22'!K102</f>
        <v>1376993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519144</v>
      </c>
      <c r="F16" s="1765">
        <f>'Expenditures 15-22'!K208</f>
        <v>88285</v>
      </c>
      <c r="G16" s="1765">
        <f>'Expenditures 15-22'!K293</f>
        <v>0</v>
      </c>
      <c r="H16" s="523"/>
      <c r="I16" s="468" t="s">
        <v>1231</v>
      </c>
      <c r="J16" s="1770">
        <f>'Expenditures 15-22'!K340</f>
        <v>0</v>
      </c>
      <c r="K16" s="1765">
        <f>'Expenditures 15-22'!K365</f>
        <v>125238</v>
      </c>
      <c r="L16" s="347"/>
    </row>
    <row r="17" spans="1:12" ht="13.5" thickBot="1" x14ac:dyDescent="0.25">
      <c r="A17" s="1730" t="s">
        <v>50</v>
      </c>
      <c r="B17" s="1731"/>
      <c r="C17" s="1710">
        <f t="shared" ref="C17:H17" si="2">SUM(C12:C16)</f>
        <v>9568868</v>
      </c>
      <c r="D17" s="1710">
        <f t="shared" si="2"/>
        <v>1214879</v>
      </c>
      <c r="E17" s="1710">
        <f t="shared" si="2"/>
        <v>519144</v>
      </c>
      <c r="F17" s="1710">
        <f t="shared" si="2"/>
        <v>791940</v>
      </c>
      <c r="G17" s="1710">
        <f t="shared" si="2"/>
        <v>503235</v>
      </c>
      <c r="H17" s="1710">
        <f t="shared" si="2"/>
        <v>96102</v>
      </c>
      <c r="I17" s="468"/>
      <c r="J17" s="1710">
        <f>SUM(J12:J16)</f>
        <v>738605</v>
      </c>
      <c r="K17" s="1710">
        <f>SUM(K12:K16)</f>
        <v>1486648</v>
      </c>
      <c r="L17" s="347"/>
    </row>
    <row r="18" spans="1:12" ht="15" customHeight="1" thickTop="1" x14ac:dyDescent="0.2">
      <c r="A18" s="1766" t="s">
        <v>1753</v>
      </c>
      <c r="B18" s="1767">
        <v>4180</v>
      </c>
      <c r="C18" s="1764">
        <f t="shared" ref="C18:H18" si="3">C9</f>
        <v>3723471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13292339</v>
      </c>
      <c r="D19" s="1710">
        <f t="shared" si="4"/>
        <v>1214879</v>
      </c>
      <c r="E19" s="1710">
        <f t="shared" si="4"/>
        <v>519144</v>
      </c>
      <c r="F19" s="1710">
        <f t="shared" si="4"/>
        <v>791940</v>
      </c>
      <c r="G19" s="1710">
        <f t="shared" si="4"/>
        <v>503235</v>
      </c>
      <c r="H19" s="1710">
        <f t="shared" si="4"/>
        <v>96102</v>
      </c>
      <c r="I19" s="468"/>
      <c r="J19" s="1710">
        <f>SUM(J17:J18)</f>
        <v>738605</v>
      </c>
      <c r="K19" s="1710">
        <f>SUM(K17:K18)</f>
        <v>1486648</v>
      </c>
      <c r="L19" s="347"/>
    </row>
    <row r="20" spans="1:12" ht="16.5" thickTop="1" thickBot="1" x14ac:dyDescent="0.25">
      <c r="A20" s="2141" t="s">
        <v>1754</v>
      </c>
      <c r="B20" s="2142"/>
      <c r="C20" s="1768">
        <f>C8-C17</f>
        <v>1738993</v>
      </c>
      <c r="D20" s="1768">
        <f t="shared" ref="D20:K20" si="5">D8-D17</f>
        <v>-158639</v>
      </c>
      <c r="E20" s="1768">
        <f t="shared" si="5"/>
        <v>383005</v>
      </c>
      <c r="F20" s="1768">
        <f t="shared" si="5"/>
        <v>444658</v>
      </c>
      <c r="G20" s="1768">
        <f t="shared" si="5"/>
        <v>67185</v>
      </c>
      <c r="H20" s="1768">
        <f t="shared" si="5"/>
        <v>284400</v>
      </c>
      <c r="I20" s="1768">
        <f t="shared" si="5"/>
        <v>61273</v>
      </c>
      <c r="J20" s="1768">
        <f t="shared" si="5"/>
        <v>-170043</v>
      </c>
      <c r="K20" s="1768">
        <f t="shared" si="5"/>
        <v>-1423178</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5" t="s">
        <v>392</v>
      </c>
      <c r="B44" s="2156"/>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1" t="s">
        <v>460</v>
      </c>
      <c r="B76" s="2132"/>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3" t="s">
        <v>1239</v>
      </c>
      <c r="B77" s="2134"/>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7" t="s">
        <v>618</v>
      </c>
      <c r="B78" s="2138"/>
      <c r="C78" s="1724">
        <f t="shared" ref="C78:K78" si="9">C20+C77</f>
        <v>1738993</v>
      </c>
      <c r="D78" s="1724">
        <f t="shared" si="9"/>
        <v>-158639</v>
      </c>
      <c r="E78" s="1724">
        <f t="shared" si="9"/>
        <v>383005</v>
      </c>
      <c r="F78" s="1724">
        <f t="shared" si="9"/>
        <v>444658</v>
      </c>
      <c r="G78" s="1724">
        <f t="shared" si="9"/>
        <v>67185</v>
      </c>
      <c r="H78" s="1724">
        <f t="shared" si="9"/>
        <v>284400</v>
      </c>
      <c r="I78" s="1724">
        <f t="shared" si="9"/>
        <v>61273</v>
      </c>
      <c r="J78" s="1724">
        <f t="shared" si="9"/>
        <v>-170043</v>
      </c>
      <c r="K78" s="1724">
        <f t="shared" si="9"/>
        <v>-1423178</v>
      </c>
      <c r="L78" s="533"/>
    </row>
    <row r="79" spans="1:12" ht="13.5" thickTop="1" x14ac:dyDescent="0.2">
      <c r="A79" s="1516" t="s">
        <v>2070</v>
      </c>
      <c r="B79" s="534"/>
      <c r="C79" s="478">
        <v>4023851</v>
      </c>
      <c r="D79" s="535">
        <v>237865</v>
      </c>
      <c r="E79" s="535">
        <v>110814</v>
      </c>
      <c r="F79" s="535">
        <v>302781</v>
      </c>
      <c r="G79" s="535">
        <v>238758</v>
      </c>
      <c r="H79" s="535">
        <v>254384</v>
      </c>
      <c r="I79" s="535">
        <v>291501</v>
      </c>
      <c r="J79" s="535">
        <v>451706</v>
      </c>
      <c r="K79" s="535">
        <v>1692733</v>
      </c>
      <c r="L79" s="347"/>
    </row>
    <row r="80" spans="1:12" x14ac:dyDescent="0.2">
      <c r="A80" s="2143" t="s">
        <v>1895</v>
      </c>
      <c r="B80" s="2144"/>
      <c r="C80" s="467"/>
      <c r="D80" s="467"/>
      <c r="E80" s="467"/>
      <c r="F80" s="467"/>
      <c r="G80" s="467"/>
      <c r="H80" s="467"/>
      <c r="I80" s="467"/>
      <c r="J80" s="467"/>
      <c r="K80" s="467"/>
      <c r="L80" s="347"/>
    </row>
    <row r="81" spans="1:12" ht="13.5" thickBot="1" x14ac:dyDescent="0.25">
      <c r="A81" s="2135" t="s">
        <v>2071</v>
      </c>
      <c r="B81" s="2136"/>
      <c r="C81" s="1710">
        <f>(SUM(C78:C80))</f>
        <v>5762844</v>
      </c>
      <c r="D81" s="1710">
        <f>SUM(D78:D80)</f>
        <v>79226</v>
      </c>
      <c r="E81" s="1710">
        <f t="shared" ref="E81:K81" si="10">SUM(E78:E80)</f>
        <v>493819</v>
      </c>
      <c r="F81" s="1710">
        <f t="shared" si="10"/>
        <v>747439</v>
      </c>
      <c r="G81" s="1710">
        <f t="shared" si="10"/>
        <v>305943</v>
      </c>
      <c r="H81" s="1710">
        <f t="shared" si="10"/>
        <v>538784</v>
      </c>
      <c r="I81" s="1710">
        <f t="shared" si="10"/>
        <v>352774</v>
      </c>
      <c r="J81" s="1710">
        <f t="shared" si="10"/>
        <v>281663</v>
      </c>
      <c r="K81" s="1710">
        <f t="shared" si="10"/>
        <v>269555</v>
      </c>
      <c r="L81" s="347"/>
    </row>
    <row r="82" spans="1:12" ht="0.75" customHeight="1" thickTop="1" thickBot="1" x14ac:dyDescent="0.25">
      <c r="A82" s="536" t="s">
        <v>361</v>
      </c>
      <c r="B82" s="537"/>
      <c r="C82" s="538">
        <f>(C81-C79)</f>
        <v>1738993</v>
      </c>
      <c r="D82" s="538">
        <f t="shared" ref="D82:K82" si="11">(D81-D79)</f>
        <v>-158639</v>
      </c>
      <c r="E82" s="538">
        <f t="shared" si="11"/>
        <v>383005</v>
      </c>
      <c r="F82" s="538">
        <f t="shared" si="11"/>
        <v>444658</v>
      </c>
      <c r="G82" s="538">
        <f t="shared" si="11"/>
        <v>67185</v>
      </c>
      <c r="H82" s="538">
        <f t="shared" si="11"/>
        <v>284400</v>
      </c>
      <c r="I82" s="538">
        <f t="shared" si="11"/>
        <v>61273</v>
      </c>
      <c r="J82" s="538">
        <f t="shared" si="11"/>
        <v>-170043</v>
      </c>
      <c r="K82" s="538">
        <f t="shared" si="11"/>
        <v>-1423178</v>
      </c>
    </row>
    <row r="83" spans="1:12" ht="14.25" hidden="1" thickTop="1" thickBot="1" x14ac:dyDescent="0.25">
      <c r="A83" s="539" t="s">
        <v>362</v>
      </c>
      <c r="B83" s="464"/>
      <c r="C83" s="540">
        <f>C82/C81</f>
        <v>0.30175951318480942</v>
      </c>
      <c r="D83" s="540">
        <f t="shared" ref="D83:K83" si="12">D82/D81</f>
        <v>-2.0023603362532501</v>
      </c>
      <c r="E83" s="540">
        <f t="shared" si="12"/>
        <v>0.77559794175598751</v>
      </c>
      <c r="F83" s="540">
        <f t="shared" si="12"/>
        <v>0.59490874840622443</v>
      </c>
      <c r="G83" s="540">
        <f t="shared" si="12"/>
        <v>0.21959972936135164</v>
      </c>
      <c r="H83" s="540">
        <f t="shared" si="12"/>
        <v>0.5278553186434638</v>
      </c>
      <c r="I83" s="540">
        <f t="shared" si="12"/>
        <v>0.17368910407229557</v>
      </c>
      <c r="J83" s="540">
        <f t="shared" si="12"/>
        <v>-0.60371081753726974</v>
      </c>
      <c r="K83" s="540">
        <f t="shared" si="12"/>
        <v>-5.2797314091743797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B10" sqref="B10"/>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1902</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3529248</v>
      </c>
      <c r="D5" s="481">
        <v>720281</v>
      </c>
      <c r="E5" s="466">
        <v>901947</v>
      </c>
      <c r="F5" s="548">
        <v>293023</v>
      </c>
      <c r="G5" s="466">
        <v>323284</v>
      </c>
      <c r="H5" s="466"/>
      <c r="I5" s="466">
        <v>61024</v>
      </c>
      <c r="J5" s="467">
        <v>568334</v>
      </c>
      <c r="K5" s="466">
        <v>61024</v>
      </c>
    </row>
    <row r="6" spans="1:12" ht="15" x14ac:dyDescent="0.2">
      <c r="A6" s="463" t="s">
        <v>1761</v>
      </c>
      <c r="B6" s="470">
        <v>1130</v>
      </c>
      <c r="C6" s="466">
        <v>60575</v>
      </c>
      <c r="D6" s="466"/>
      <c r="E6" s="475"/>
      <c r="F6" s="475"/>
      <c r="G6" s="468"/>
      <c r="H6" s="468"/>
      <c r="I6" s="468"/>
      <c r="J6" s="468"/>
      <c r="K6" s="468"/>
    </row>
    <row r="7" spans="1:12" x14ac:dyDescent="0.2">
      <c r="A7" s="463" t="s">
        <v>112</v>
      </c>
      <c r="B7" s="549">
        <v>1140</v>
      </c>
      <c r="C7" s="466">
        <v>48098</v>
      </c>
      <c r="D7" s="466"/>
      <c r="E7" s="468"/>
      <c r="F7" s="467"/>
      <c r="G7" s="467"/>
      <c r="H7" s="467"/>
      <c r="I7" s="468"/>
      <c r="J7" s="468"/>
      <c r="K7" s="468"/>
    </row>
    <row r="8" spans="1:12" x14ac:dyDescent="0.2">
      <c r="A8" s="463" t="s">
        <v>433</v>
      </c>
      <c r="B8" s="470">
        <v>1150</v>
      </c>
      <c r="C8" s="475"/>
      <c r="D8" s="475"/>
      <c r="E8" s="477"/>
      <c r="F8" s="477"/>
      <c r="G8" s="481">
        <v>230523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3637921</v>
      </c>
      <c r="D12" s="1729">
        <f t="shared" si="0"/>
        <v>720281</v>
      </c>
      <c r="E12" s="1729">
        <f t="shared" si="0"/>
        <v>901947</v>
      </c>
      <c r="F12" s="1729">
        <f t="shared" si="0"/>
        <v>293023</v>
      </c>
      <c r="G12" s="1729">
        <f t="shared" si="0"/>
        <v>553807</v>
      </c>
      <c r="H12" s="1729">
        <f t="shared" si="0"/>
        <v>0</v>
      </c>
      <c r="I12" s="1729">
        <f t="shared" si="0"/>
        <v>61024</v>
      </c>
      <c r="J12" s="1729">
        <f t="shared" si="0"/>
        <v>568334</v>
      </c>
      <c r="K12" s="1710">
        <f t="shared" si="0"/>
        <v>61024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v>156873</v>
      </c>
      <c r="G16" s="466">
        <v>16392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156873</v>
      </c>
      <c r="G18" s="1732">
        <f t="shared" si="1"/>
        <v>16392</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5341</v>
      </c>
      <c r="D65" s="466">
        <v>281</v>
      </c>
      <c r="E65" s="466">
        <v>202</v>
      </c>
      <c r="F65" s="467">
        <v>128</v>
      </c>
      <c r="G65" s="466">
        <v>221</v>
      </c>
      <c r="H65" s="466"/>
      <c r="I65" s="466">
        <v>249</v>
      </c>
      <c r="J65" s="467">
        <v>228</v>
      </c>
      <c r="K65" s="466">
        <v>2446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5341</v>
      </c>
      <c r="D67" s="1710">
        <f t="shared" ref="D67:K67" si="2">SUM(D65:D66)</f>
        <v>281</v>
      </c>
      <c r="E67" s="1710">
        <f t="shared" si="2"/>
        <v>202</v>
      </c>
      <c r="F67" s="1710">
        <f t="shared" si="2"/>
        <v>128</v>
      </c>
      <c r="G67" s="1710">
        <f t="shared" si="2"/>
        <v>221</v>
      </c>
      <c r="H67" s="1710">
        <f t="shared" si="2"/>
        <v>0</v>
      </c>
      <c r="I67" s="1710">
        <f t="shared" si="2"/>
        <v>249</v>
      </c>
      <c r="J67" s="1710">
        <f t="shared" si="2"/>
        <v>228</v>
      </c>
      <c r="K67" s="1710">
        <f t="shared" si="2"/>
        <v>2446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4697</v>
      </c>
      <c r="D69" s="468"/>
      <c r="E69" s="468"/>
      <c r="F69" s="468"/>
      <c r="G69" s="468"/>
      <c r="H69" s="468"/>
      <c r="I69" s="468"/>
      <c r="J69" s="468"/>
      <c r="K69" s="468"/>
    </row>
    <row r="70" spans="1:11" ht="12.75" customHeight="1" x14ac:dyDescent="0.2">
      <c r="A70" s="463" t="s">
        <v>1054</v>
      </c>
      <c r="B70" s="470">
        <v>1612</v>
      </c>
      <c r="C70" s="551">
        <v>3372</v>
      </c>
      <c r="D70" s="468"/>
      <c r="E70" s="468"/>
      <c r="F70" s="468"/>
      <c r="G70" s="468"/>
      <c r="H70" s="468"/>
      <c r="I70" s="468"/>
      <c r="J70" s="468"/>
      <c r="K70" s="468"/>
    </row>
    <row r="71" spans="1:11" ht="12.75" customHeight="1" x14ac:dyDescent="0.2">
      <c r="A71" s="463" t="s">
        <v>291</v>
      </c>
      <c r="B71" s="470">
        <v>1613</v>
      </c>
      <c r="C71" s="551">
        <v>7513</v>
      </c>
      <c r="D71" s="468"/>
      <c r="E71" s="468"/>
      <c r="F71" s="468"/>
      <c r="G71" s="468"/>
      <c r="H71" s="468"/>
      <c r="I71" s="468"/>
      <c r="J71" s="468"/>
      <c r="K71" s="468"/>
    </row>
    <row r="72" spans="1:11" ht="12.75" customHeight="1" x14ac:dyDescent="0.2">
      <c r="A72" s="463" t="s">
        <v>24</v>
      </c>
      <c r="B72" s="470">
        <v>1614</v>
      </c>
      <c r="C72" s="551">
        <v>8561</v>
      </c>
      <c r="D72" s="468"/>
      <c r="E72" s="468"/>
      <c r="F72" s="468"/>
      <c r="G72" s="468"/>
      <c r="H72" s="468"/>
      <c r="I72" s="468"/>
      <c r="J72" s="468"/>
      <c r="K72" s="468"/>
    </row>
    <row r="73" spans="1:11" ht="12.75" customHeight="1" x14ac:dyDescent="0.2">
      <c r="A73" s="463" t="s">
        <v>1055</v>
      </c>
      <c r="B73" s="470">
        <v>1620</v>
      </c>
      <c r="C73" s="551">
        <v>12667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36810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60987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v>3972</v>
      </c>
      <c r="D80" s="466"/>
      <c r="E80" s="468"/>
      <c r="F80" s="468"/>
      <c r="G80" s="468"/>
      <c r="H80" s="468"/>
      <c r="I80" s="468"/>
      <c r="J80" s="468"/>
      <c r="K80" s="468"/>
    </row>
    <row r="81" spans="1:11" ht="12.75" customHeight="1" x14ac:dyDescent="0.2">
      <c r="A81" s="463" t="s">
        <v>26</v>
      </c>
      <c r="B81" s="470">
        <v>1790</v>
      </c>
      <c r="C81" s="551">
        <v>85</v>
      </c>
      <c r="D81" s="466"/>
      <c r="E81" s="468"/>
      <c r="F81" s="468"/>
      <c r="G81" s="468"/>
      <c r="H81" s="468"/>
      <c r="I81" s="468"/>
      <c r="J81" s="468"/>
      <c r="K81" s="468"/>
    </row>
    <row r="82" spans="1:11" ht="12.75" customHeight="1" thickBot="1" x14ac:dyDescent="0.25">
      <c r="A82" s="1730" t="s">
        <v>259</v>
      </c>
      <c r="B82" s="1731"/>
      <c r="C82" s="1729">
        <f>SUM(C77:C81)</f>
        <v>65044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109020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109020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10094</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380502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63406-2141</f>
        <v>61265</v>
      </c>
      <c r="D107" s="466">
        <v>95678</v>
      </c>
      <c r="E107" s="466"/>
      <c r="F107" s="466">
        <v>34938</v>
      </c>
      <c r="G107" s="466"/>
      <c r="H107" s="466"/>
      <c r="I107" s="466"/>
      <c r="J107" s="467"/>
      <c r="K107" s="466"/>
    </row>
    <row r="108" spans="1:12" ht="12.75" customHeight="1" thickBot="1" x14ac:dyDescent="0.25">
      <c r="A108" s="1730" t="s">
        <v>508</v>
      </c>
      <c r="B108" s="1734"/>
      <c r="C108" s="1729">
        <f>SUM(C95:C107)</f>
        <v>71359</v>
      </c>
      <c r="D108" s="1729">
        <f t="shared" ref="D108:K108" si="3">SUM(D95:D107)</f>
        <v>95678</v>
      </c>
      <c r="E108" s="1729">
        <f t="shared" si="3"/>
        <v>0</v>
      </c>
      <c r="F108" s="1729">
        <f t="shared" si="3"/>
        <v>34938</v>
      </c>
      <c r="G108" s="1729">
        <f t="shared" si="3"/>
        <v>0</v>
      </c>
      <c r="H108" s="1729">
        <f t="shared" si="3"/>
        <v>380502</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3925495</v>
      </c>
      <c r="D109" s="1737">
        <f t="shared" si="4"/>
        <v>816240</v>
      </c>
      <c r="E109" s="1737">
        <f t="shared" si="4"/>
        <v>902149</v>
      </c>
      <c r="F109" s="1737">
        <f t="shared" si="4"/>
        <v>484962</v>
      </c>
      <c r="G109" s="1737">
        <f t="shared" si="4"/>
        <v>570420</v>
      </c>
      <c r="H109" s="1737">
        <f t="shared" si="4"/>
        <v>380502</v>
      </c>
      <c r="I109" s="1737">
        <f t="shared" si="4"/>
        <v>61273</v>
      </c>
      <c r="J109" s="1737">
        <f t="shared" si="4"/>
        <v>568562</v>
      </c>
      <c r="K109" s="1724">
        <f t="shared" si="4"/>
        <v>63470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5285397</v>
      </c>
      <c r="D117" s="481">
        <v>240000</v>
      </c>
      <c r="E117" s="466"/>
      <c r="F117" s="481">
        <v>200000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5285397</v>
      </c>
      <c r="D121" s="1729">
        <f t="shared" si="5"/>
        <v>240000</v>
      </c>
      <c r="E121" s="1729">
        <f t="shared" si="5"/>
        <v>0</v>
      </c>
      <c r="F121" s="1729">
        <f t="shared" si="5"/>
        <v>200000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243440</v>
      </c>
      <c r="D124" s="561"/>
      <c r="E124" s="468"/>
      <c r="F124" s="548"/>
      <c r="G124" s="468"/>
      <c r="H124" s="468"/>
      <c r="I124" s="468"/>
      <c r="J124" s="468"/>
      <c r="K124" s="468"/>
    </row>
    <row r="125" spans="1:11" ht="12.75" customHeight="1" x14ac:dyDescent="0.2">
      <c r="A125" s="463" t="s">
        <v>1521</v>
      </c>
      <c r="B125" s="562">
        <v>3105</v>
      </c>
      <c r="C125" s="466">
        <v>93088</v>
      </c>
      <c r="D125" s="561"/>
      <c r="E125" s="468"/>
      <c r="F125" s="466"/>
      <c r="G125" s="468"/>
      <c r="H125" s="468"/>
      <c r="I125" s="468"/>
      <c r="J125" s="468"/>
      <c r="K125" s="468"/>
    </row>
    <row r="126" spans="1:11" ht="12.75" customHeight="1" x14ac:dyDescent="0.2">
      <c r="A126" s="463" t="s">
        <v>922</v>
      </c>
      <c r="B126" s="562">
        <v>3110</v>
      </c>
      <c r="C126" s="551">
        <v>4123</v>
      </c>
      <c r="D126" s="466"/>
      <c r="E126" s="468"/>
      <c r="F126" s="466"/>
      <c r="G126" s="468"/>
      <c r="H126" s="468"/>
      <c r="I126" s="468"/>
      <c r="J126" s="468"/>
      <c r="K126" s="468"/>
    </row>
    <row r="127" spans="1:11" ht="12.75" customHeight="1" x14ac:dyDescent="0.2">
      <c r="A127" s="463" t="s">
        <v>107</v>
      </c>
      <c r="B127" s="562">
        <v>3120</v>
      </c>
      <c r="C127" s="466">
        <v>102777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4308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447736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3283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3283</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f>7132+1283</f>
        <v>8415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20530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423711</v>
      </c>
      <c r="G151" s="467"/>
      <c r="H151" s="468"/>
      <c r="I151" s="468"/>
      <c r="J151" s="468"/>
      <c r="K151" s="468"/>
    </row>
    <row r="152" spans="1:11" ht="12.75" customHeight="1" x14ac:dyDescent="0.2">
      <c r="A152" s="463" t="s">
        <v>1117</v>
      </c>
      <c r="B152" s="562">
        <v>3510</v>
      </c>
      <c r="C152" s="551"/>
      <c r="D152" s="466"/>
      <c r="E152" s="561"/>
      <c r="F152" s="466">
        <v>127925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551636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f>410426+40917</f>
        <v>451343</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1854</v>
      </c>
      <c r="D171" s="580"/>
      <c r="E171" s="580"/>
      <c r="F171" s="580"/>
      <c r="G171" s="581"/>
      <c r="H171" s="582"/>
      <c r="I171" s="581"/>
      <c r="J171" s="581"/>
      <c r="K171" s="582"/>
    </row>
    <row r="172" spans="1:11" ht="12.75" customHeight="1" thickTop="1" thickBot="1" x14ac:dyDescent="0.25">
      <c r="A172" s="2159" t="s">
        <v>418</v>
      </c>
      <c r="B172" s="2160"/>
      <c r="C172" s="1744">
        <f t="shared" ref="C172:K172" si="6">SUM(C131,C140,C144,C145:C149,C154,C155:C170,C171)</f>
        <v>933161</v>
      </c>
      <c r="D172" s="1744">
        <f t="shared" si="6"/>
        <v>0</v>
      </c>
      <c r="E172" s="1744">
        <f t="shared" si="6"/>
        <v>0</v>
      </c>
      <c r="F172" s="1744">
        <f t="shared" si="6"/>
        <v>551636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6218558</v>
      </c>
      <c r="D173" s="1737">
        <f>SUM(D121,D172)</f>
        <v>240000</v>
      </c>
      <c r="E173" s="1737">
        <f>SUM(E121,E172)</f>
        <v>0</v>
      </c>
      <c r="F173" s="1737">
        <f t="shared" ref="F173:K173" si="7">SUM(F121,F172)</f>
        <v>751636</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1" t="s">
        <v>1572</v>
      </c>
      <c r="B175" s="216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5" t="s">
        <v>1764</v>
      </c>
      <c r="B178" s="216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69" t="s">
        <v>1763</v>
      </c>
      <c r="B179" s="217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7" t="s">
        <v>818</v>
      </c>
      <c r="B184" s="216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3" t="s">
        <v>1903</v>
      </c>
      <c r="B185" s="216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406295</v>
      </c>
      <c r="D194" s="468"/>
      <c r="E194" s="561"/>
      <c r="F194" s="468"/>
      <c r="G194" s="585"/>
      <c r="H194" s="468"/>
      <c r="I194" s="468"/>
      <c r="J194" s="468"/>
      <c r="K194" s="468"/>
    </row>
    <row r="195" spans="1:11" ht="12.75" customHeight="1" x14ac:dyDescent="0.2">
      <c r="A195" s="463" t="s">
        <v>1107</v>
      </c>
      <c r="B195" s="470">
        <v>4215</v>
      </c>
      <c r="C195" s="551">
        <v>2397</v>
      </c>
      <c r="D195" s="468"/>
      <c r="E195" s="561"/>
      <c r="F195" s="468"/>
      <c r="G195" s="585"/>
      <c r="H195" s="468"/>
      <c r="I195" s="468"/>
      <c r="J195" s="468"/>
      <c r="K195" s="468"/>
    </row>
    <row r="196" spans="1:11" ht="12.75" customHeight="1" x14ac:dyDescent="0.2">
      <c r="A196" s="463" t="s">
        <v>1119</v>
      </c>
      <c r="B196" s="470">
        <v>4220</v>
      </c>
      <c r="C196" s="551">
        <v>137965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546657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f>141265+115919</f>
        <v>257184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257184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2000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2000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34341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212384</v>
      </c>
      <c r="D220" s="466"/>
      <c r="E220" s="468"/>
      <c r="F220" s="466"/>
      <c r="G220" s="466"/>
      <c r="H220" s="468"/>
      <c r="I220" s="468"/>
      <c r="J220" s="468"/>
      <c r="K220" s="468"/>
    </row>
    <row r="221" spans="1:11" ht="12.75" customHeight="1" x14ac:dyDescent="0.2">
      <c r="A221" s="463" t="s">
        <v>1114</v>
      </c>
      <c r="B221" s="470">
        <v>4625</v>
      </c>
      <c r="C221" s="551">
        <v>14958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261683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f>5885+15222</f>
        <v>21107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14092</v>
      </c>
      <c r="D270" s="576"/>
      <c r="E270" s="468"/>
      <c r="F270" s="576"/>
      <c r="G270" s="576"/>
      <c r="H270" s="468"/>
      <c r="I270" s="468"/>
      <c r="J270" s="468"/>
      <c r="K270" s="468"/>
    </row>
    <row r="271" spans="1:11" ht="12.75" customHeight="1" thickTop="1" thickBot="1" x14ac:dyDescent="0.25">
      <c r="A271" s="463" t="s">
        <v>395</v>
      </c>
      <c r="B271" s="470">
        <v>4992</v>
      </c>
      <c r="C271" s="575">
        <v>61085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1163808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1163808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11307861</v>
      </c>
      <c r="D275" s="1737">
        <f t="shared" si="12"/>
        <v>1056240</v>
      </c>
      <c r="E275" s="1737">
        <f t="shared" si="12"/>
        <v>902149</v>
      </c>
      <c r="F275" s="1737">
        <f t="shared" si="12"/>
        <v>1236598</v>
      </c>
      <c r="G275" s="1737">
        <f t="shared" si="12"/>
        <v>570420</v>
      </c>
      <c r="H275" s="1737">
        <f t="shared" si="12"/>
        <v>380502</v>
      </c>
      <c r="I275" s="1737">
        <f t="shared" si="12"/>
        <v>61273</v>
      </c>
      <c r="J275" s="1737">
        <f t="shared" si="12"/>
        <v>568562</v>
      </c>
      <c r="K275" s="1724">
        <f t="shared" si="12"/>
        <v>63470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5" activePane="bottomLeft" state="frozen"/>
      <selection activeCell="B10" sqref="B10"/>
      <selection pane="bottomLeft" activeCell="B10" sqref="B1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758286+400+29535+42870+47899+2887+1620910+4978+32664+574+961333+16145+183+14063+33114+1675+32652+528-6</f>
        <v>3600690</v>
      </c>
      <c r="D5" s="466">
        <f>80172+2112+15330+456+71+103925+19227+173950+27+32421+925+207497+103041+1567+19283+1730+144450</f>
        <v>906184</v>
      </c>
      <c r="E5" s="466">
        <f>2000+2813</f>
        <v>4813</v>
      </c>
      <c r="F5" s="466">
        <f>4565+1255+55+5696+420+4921+202+40+233+2222+3745+1366+80+1309+117+5619+136+450+344+122+2748+297+3370+2311+2621+236+173+1416+2561+10143</f>
        <v>58773</v>
      </c>
      <c r="G5" s="466">
        <v>742</v>
      </c>
      <c r="H5" s="466"/>
      <c r="I5" s="467"/>
      <c r="J5" s="467"/>
      <c r="K5" s="1693">
        <f>SUM(C5:J5)</f>
        <v>4571202</v>
      </c>
      <c r="L5" s="466">
        <v>4824299</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f>2591+128060+51742+2499+445+23138+7993</f>
        <v>216468</v>
      </c>
      <c r="D7" s="467">
        <f>16180+2438+377+2983+12+66+66+14+14+18888+17894+3601+4551</f>
        <v>67084</v>
      </c>
      <c r="E7" s="467">
        <f>440+1914</f>
        <v>2354</v>
      </c>
      <c r="F7" s="467">
        <f>7648+21227+30+6989</f>
        <v>35894</v>
      </c>
      <c r="G7" s="467">
        <v>27039</v>
      </c>
      <c r="H7" s="467"/>
      <c r="I7" s="467"/>
      <c r="J7" s="467"/>
      <c r="K7" s="1693">
        <f t="shared" ref="K7:K32" si="0">SUM(C7:J7)</f>
        <v>348839</v>
      </c>
      <c r="L7" s="466">
        <v>389118</v>
      </c>
    </row>
    <row r="8" spans="1:14" x14ac:dyDescent="0.2">
      <c r="A8" s="1526" t="s">
        <v>166</v>
      </c>
      <c r="B8" s="615">
        <v>1200</v>
      </c>
      <c r="C8" s="466"/>
      <c r="D8" s="466"/>
      <c r="E8" s="466"/>
      <c r="F8" s="466"/>
      <c r="G8" s="466"/>
      <c r="H8" s="466"/>
      <c r="I8" s="467"/>
      <c r="J8" s="467"/>
      <c r="K8" s="1693">
        <f t="shared" si="0"/>
        <v>0</v>
      </c>
      <c r="L8" s="466">
        <v>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f>59893+39354+7919+19415+5361</f>
        <v>131942</v>
      </c>
      <c r="D10" s="466">
        <f>8268+2815+373+767+119+9+9+9+5+20943+4585+2280+2280+10</f>
        <v>42472</v>
      </c>
      <c r="E10" s="466">
        <f>15450+400+3181-98</f>
        <v>18933</v>
      </c>
      <c r="F10" s="466">
        <f>108971+9988+34</f>
        <v>118993</v>
      </c>
      <c r="G10" s="466">
        <f>8643+1060</f>
        <v>9703</v>
      </c>
      <c r="H10" s="466"/>
      <c r="I10" s="467"/>
      <c r="J10" s="467"/>
      <c r="K10" s="1693">
        <f t="shared" si="0"/>
        <v>322043</v>
      </c>
      <c r="L10" s="466">
        <v>233600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f>127223+5700</f>
        <v>132923</v>
      </c>
      <c r="D14" s="466">
        <f>8779+590+52+1561</f>
        <v>10982</v>
      </c>
      <c r="E14" s="466">
        <f>23270+2116</f>
        <v>25386</v>
      </c>
      <c r="F14" s="466">
        <f>2792+7367+139+3856+1075+270+330+3432+92+136+431+83+109+115+227+296+155+10256</f>
        <v>31161</v>
      </c>
      <c r="G14" s="466">
        <v>2011</v>
      </c>
      <c r="H14" s="466"/>
      <c r="I14" s="467"/>
      <c r="J14" s="467"/>
      <c r="K14" s="1693">
        <f t="shared" si="0"/>
        <v>202463</v>
      </c>
      <c r="L14" s="466">
        <v>219800</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4082023</v>
      </c>
      <c r="D33" s="1692">
        <f t="shared" ref="D33:L33" si="1">SUM(D5:D32)</f>
        <v>1026722</v>
      </c>
      <c r="E33" s="1692">
        <f t="shared" si="1"/>
        <v>51486</v>
      </c>
      <c r="F33" s="1692">
        <f t="shared" si="1"/>
        <v>244821</v>
      </c>
      <c r="G33" s="1692">
        <f t="shared" si="1"/>
        <v>39495</v>
      </c>
      <c r="H33" s="1692">
        <f t="shared" si="1"/>
        <v>0</v>
      </c>
      <c r="I33" s="1692">
        <f t="shared" si="1"/>
        <v>0</v>
      </c>
      <c r="J33" s="1692">
        <f t="shared" si="1"/>
        <v>0</v>
      </c>
      <c r="K33" s="1692">
        <f t="shared" si="1"/>
        <v>5444547</v>
      </c>
      <c r="L33" s="1692">
        <f t="shared" si="1"/>
        <v>5666817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v>178055</v>
      </c>
      <c r="D37" s="466">
        <f>18831+3460+88+21268</f>
        <v>43647</v>
      </c>
      <c r="E37" s="466">
        <v>338</v>
      </c>
      <c r="F37" s="466">
        <f>1112+184</f>
        <v>1296</v>
      </c>
      <c r="G37" s="466"/>
      <c r="H37" s="466"/>
      <c r="I37" s="467"/>
      <c r="J37" s="467"/>
      <c r="K37" s="1693">
        <f t="shared" si="2"/>
        <v>223336</v>
      </c>
      <c r="L37" s="466">
        <v>227055</v>
      </c>
    </row>
    <row r="38" spans="1:14" x14ac:dyDescent="0.2">
      <c r="A38" s="1526" t="s">
        <v>207</v>
      </c>
      <c r="B38" s="615">
        <v>2130</v>
      </c>
      <c r="C38" s="466">
        <v>66860</v>
      </c>
      <c r="D38" s="466">
        <f>3129+54+8016</f>
        <v>11199</v>
      </c>
      <c r="E38" s="466">
        <f>50+140</f>
        <v>190</v>
      </c>
      <c r="F38" s="466">
        <f>25+1122</f>
        <v>1147</v>
      </c>
      <c r="G38" s="466"/>
      <c r="H38" s="466"/>
      <c r="I38" s="467"/>
      <c r="J38" s="467"/>
      <c r="K38" s="1693">
        <f t="shared" si="2"/>
        <v>79396</v>
      </c>
      <c r="L38" s="466">
        <v>94746</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244915</v>
      </c>
      <c r="D42" s="1692">
        <f t="shared" ref="D42:L42" si="3">SUM(D36:D41)</f>
        <v>54846</v>
      </c>
      <c r="E42" s="1692">
        <f t="shared" si="3"/>
        <v>528</v>
      </c>
      <c r="F42" s="1692">
        <f t="shared" si="3"/>
        <v>2443</v>
      </c>
      <c r="G42" s="1692">
        <f t="shared" si="3"/>
        <v>0</v>
      </c>
      <c r="H42" s="1692">
        <f t="shared" si="3"/>
        <v>0</v>
      </c>
      <c r="I42" s="1692">
        <f t="shared" si="3"/>
        <v>0</v>
      </c>
      <c r="J42" s="1692">
        <f t="shared" si="3"/>
        <v>0</v>
      </c>
      <c r="K42" s="1692">
        <f t="shared" si="3"/>
        <v>302732</v>
      </c>
      <c r="L42" s="1692">
        <f t="shared" si="3"/>
        <v>321801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3100</v>
      </c>
      <c r="D44" s="481">
        <f>588+9+56</f>
        <v>653</v>
      </c>
      <c r="E44" s="481">
        <f>200+2310+231+320+300+6375+11644</f>
        <v>21380</v>
      </c>
      <c r="F44" s="481">
        <f>1528+565+436+244+530</f>
        <v>3303</v>
      </c>
      <c r="G44" s="481">
        <v>5991</v>
      </c>
      <c r="H44" s="481">
        <f>200+360</f>
        <v>560</v>
      </c>
      <c r="I44" s="467"/>
      <c r="J44" s="467"/>
      <c r="K44" s="1694">
        <f>SUM(C44:J44)</f>
        <v>34987</v>
      </c>
      <c r="L44" s="481">
        <v>47600</v>
      </c>
    </row>
    <row r="45" spans="1:14" x14ac:dyDescent="0.2">
      <c r="A45" s="1526" t="s">
        <v>869</v>
      </c>
      <c r="B45" s="615">
        <v>2220</v>
      </c>
      <c r="C45" s="466">
        <f>134474+3461+51170</f>
        <v>189105</v>
      </c>
      <c r="D45" s="466">
        <f>18832+163+1183+2277+91+23298</f>
        <v>45844</v>
      </c>
      <c r="E45" s="466">
        <f>46346+64383+42653</f>
        <v>153382</v>
      </c>
      <c r="F45" s="466">
        <f>19720+356+23570+13521+1264+1232</f>
        <v>59663</v>
      </c>
      <c r="G45" s="466">
        <v>14051</v>
      </c>
      <c r="H45" s="466"/>
      <c r="I45" s="467"/>
      <c r="J45" s="467"/>
      <c r="K45" s="1694">
        <f>SUM(C45:J45)</f>
        <v>462045</v>
      </c>
      <c r="L45" s="466">
        <v>419401</v>
      </c>
    </row>
    <row r="46" spans="1:14" x14ac:dyDescent="0.2">
      <c r="A46" s="1526" t="s">
        <v>870</v>
      </c>
      <c r="B46" s="615">
        <v>2230</v>
      </c>
      <c r="C46" s="466"/>
      <c r="D46" s="466"/>
      <c r="E46" s="466">
        <v>1950</v>
      </c>
      <c r="F46" s="466"/>
      <c r="G46" s="466"/>
      <c r="H46" s="466"/>
      <c r="I46" s="467"/>
      <c r="J46" s="467"/>
      <c r="K46" s="1694">
        <f>SUM(C46:J46)</f>
        <v>1950</v>
      </c>
      <c r="L46" s="466">
        <v>0</v>
      </c>
    </row>
    <row r="47" spans="1:14" ht="12.75" customHeight="1" thickBot="1" x14ac:dyDescent="0.25">
      <c r="A47" s="1690" t="s">
        <v>582</v>
      </c>
      <c r="B47" s="1691" t="s">
        <v>32</v>
      </c>
      <c r="C47" s="1692">
        <f>SUM(C44:C46)</f>
        <v>192205</v>
      </c>
      <c r="D47" s="1692">
        <f t="shared" ref="D47:K47" si="4">SUM(D44:D46)</f>
        <v>46497</v>
      </c>
      <c r="E47" s="1692">
        <f t="shared" si="4"/>
        <v>176712</v>
      </c>
      <c r="F47" s="1692">
        <f t="shared" si="4"/>
        <v>62966</v>
      </c>
      <c r="G47" s="1692">
        <f t="shared" si="4"/>
        <v>20042</v>
      </c>
      <c r="H47" s="1692">
        <f t="shared" si="4"/>
        <v>560</v>
      </c>
      <c r="I47" s="1692">
        <f t="shared" si="4"/>
        <v>0</v>
      </c>
      <c r="J47" s="1692">
        <f t="shared" si="4"/>
        <v>0</v>
      </c>
      <c r="K47" s="1692">
        <f t="shared" si="4"/>
        <v>498982</v>
      </c>
      <c r="L47" s="1692">
        <f>SUM(L44:L46)</f>
        <v>467001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660</v>
      </c>
      <c r="D49" s="481">
        <v>31</v>
      </c>
      <c r="E49" s="481">
        <f>1020+3025+10772+2017</f>
        <v>16834</v>
      </c>
      <c r="F49" s="481"/>
      <c r="G49" s="481"/>
      <c r="H49" s="481">
        <f>5046+21928</f>
        <v>26974</v>
      </c>
      <c r="I49" s="467"/>
      <c r="J49" s="467"/>
      <c r="K49" s="1694">
        <f>SUM(C49:J49)</f>
        <v>44499</v>
      </c>
      <c r="L49" s="481">
        <v>50240</v>
      </c>
    </row>
    <row r="50" spans="1:14" x14ac:dyDescent="0.2">
      <c r="A50" s="1526" t="s">
        <v>872</v>
      </c>
      <c r="B50" s="615">
        <v>2320</v>
      </c>
      <c r="C50" s="466">
        <f>233260+35174</f>
        <v>268434</v>
      </c>
      <c r="D50" s="466">
        <f>17162+1657+1573+34+27+1599+2395</f>
        <v>24447</v>
      </c>
      <c r="E50" s="466">
        <f>2768+56</f>
        <v>2824</v>
      </c>
      <c r="F50" s="466"/>
      <c r="G50" s="466">
        <v>1143</v>
      </c>
      <c r="H50" s="466"/>
      <c r="I50" s="467"/>
      <c r="J50" s="467"/>
      <c r="K50" s="1694">
        <f>SUM(C50:J50)</f>
        <v>296848</v>
      </c>
      <c r="L50" s="466">
        <v>221130</v>
      </c>
    </row>
    <row r="51" spans="1:14" x14ac:dyDescent="0.2">
      <c r="A51" s="1526" t="s">
        <v>44</v>
      </c>
      <c r="B51" s="615">
        <v>2330</v>
      </c>
      <c r="C51" s="466">
        <v>12306</v>
      </c>
      <c r="D51" s="466">
        <f>179+401+15</f>
        <v>595</v>
      </c>
      <c r="E51" s="466">
        <v>515</v>
      </c>
      <c r="F51" s="466">
        <v>630</v>
      </c>
      <c r="G51" s="466">
        <f>1600+3658</f>
        <v>5258</v>
      </c>
      <c r="H51" s="466"/>
      <c r="I51" s="467"/>
      <c r="J51" s="467"/>
      <c r="K51" s="1694">
        <f>SUM(C51:J51)</f>
        <v>19304</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281400</v>
      </c>
      <c r="D53" s="1692">
        <f t="shared" ref="D53:L53" si="5">SUM(D49:D52)</f>
        <v>25073</v>
      </c>
      <c r="E53" s="1692">
        <f t="shared" si="5"/>
        <v>20173</v>
      </c>
      <c r="F53" s="1692">
        <f t="shared" si="5"/>
        <v>630</v>
      </c>
      <c r="G53" s="1692">
        <f t="shared" si="5"/>
        <v>6401</v>
      </c>
      <c r="H53" s="1692">
        <f t="shared" si="5"/>
        <v>26974</v>
      </c>
      <c r="I53" s="1692">
        <f t="shared" si="5"/>
        <v>0</v>
      </c>
      <c r="J53" s="1692">
        <f t="shared" si="5"/>
        <v>0</v>
      </c>
      <c r="K53" s="1692">
        <f t="shared" si="5"/>
        <v>360651</v>
      </c>
      <c r="L53" s="1692">
        <f t="shared" si="5"/>
        <v>271370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412947+157299+4769</f>
        <v>575015</v>
      </c>
      <c r="D55" s="481">
        <f>43462+7147+7985+167+132+86856+26824</f>
        <v>172573</v>
      </c>
      <c r="E55" s="481">
        <v>191</v>
      </c>
      <c r="F55" s="481">
        <f>1760+426+1517+1692+1684+750</f>
        <v>7829</v>
      </c>
      <c r="G55" s="481"/>
      <c r="H55" s="481"/>
      <c r="I55" s="467"/>
      <c r="J55" s="467"/>
      <c r="K55" s="1694">
        <f>SUM(C55:J55)</f>
        <v>755608</v>
      </c>
      <c r="L55" s="481">
        <v>749741</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575015</v>
      </c>
      <c r="D57" s="1696">
        <f t="shared" ref="D57:K57" si="6">SUM(D55:D56)</f>
        <v>172573</v>
      </c>
      <c r="E57" s="1696">
        <f t="shared" si="6"/>
        <v>191</v>
      </c>
      <c r="F57" s="1696">
        <f t="shared" si="6"/>
        <v>7829</v>
      </c>
      <c r="G57" s="1696">
        <f t="shared" si="6"/>
        <v>0</v>
      </c>
      <c r="H57" s="1696">
        <f t="shared" si="6"/>
        <v>0</v>
      </c>
      <c r="I57" s="1696">
        <f t="shared" si="6"/>
        <v>0</v>
      </c>
      <c r="J57" s="1696">
        <f t="shared" si="6"/>
        <v>0</v>
      </c>
      <c r="K57" s="1696">
        <f t="shared" si="6"/>
        <v>755608</v>
      </c>
      <c r="L57" s="1692">
        <f>SUM(L55:L56)</f>
        <v>749741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62397</v>
      </c>
      <c r="D60" s="466">
        <f>2940+59+7132</f>
        <v>10131</v>
      </c>
      <c r="E60" s="466">
        <f>6995+2069</f>
        <v>9064</v>
      </c>
      <c r="F60" s="466">
        <f>3182+5325</f>
        <v>8507</v>
      </c>
      <c r="G60" s="466"/>
      <c r="H60" s="466"/>
      <c r="I60" s="467"/>
      <c r="J60" s="467"/>
      <c r="K60" s="1694">
        <f t="shared" si="7"/>
        <v>90099</v>
      </c>
      <c r="L60" s="466">
        <v>111270</v>
      </c>
      <c r="M60" s="610"/>
      <c r="N60" s="610"/>
    </row>
    <row r="61" spans="1:14" s="343" customFormat="1" x14ac:dyDescent="0.2">
      <c r="A61" s="1526" t="s">
        <v>206</v>
      </c>
      <c r="B61" s="615">
        <v>2540</v>
      </c>
      <c r="C61" s="466"/>
      <c r="D61" s="466"/>
      <c r="E61" s="466"/>
      <c r="F61" s="466">
        <v>1302</v>
      </c>
      <c r="G61" s="466"/>
      <c r="H61" s="466"/>
      <c r="I61" s="467"/>
      <c r="J61" s="467"/>
      <c r="K61" s="1694">
        <f t="shared" si="7"/>
        <v>1302</v>
      </c>
      <c r="L61" s="466">
        <v>46557</v>
      </c>
      <c r="M61" s="610"/>
      <c r="N61" s="610"/>
    </row>
    <row r="62" spans="1:14" s="343" customFormat="1" x14ac:dyDescent="0.2">
      <c r="A62" s="1526" t="s">
        <v>1010</v>
      </c>
      <c r="B62" s="615">
        <v>2550</v>
      </c>
      <c r="C62" s="466"/>
      <c r="D62" s="466"/>
      <c r="E62" s="466">
        <v>22388</v>
      </c>
      <c r="F62" s="466">
        <v>338</v>
      </c>
      <c r="G62" s="466"/>
      <c r="H62" s="466"/>
      <c r="I62" s="467"/>
      <c r="J62" s="467"/>
      <c r="K62" s="1694">
        <f t="shared" si="7"/>
        <v>22726</v>
      </c>
      <c r="L62" s="466">
        <v>27993</v>
      </c>
      <c r="M62" s="610"/>
      <c r="N62" s="610"/>
    </row>
    <row r="63" spans="1:14" s="610" customFormat="1" x14ac:dyDescent="0.2">
      <c r="A63" s="1526" t="s">
        <v>102</v>
      </c>
      <c r="B63" s="615">
        <v>2560</v>
      </c>
      <c r="C63" s="466">
        <f>233629+10793</f>
        <v>244422</v>
      </c>
      <c r="D63" s="466">
        <f>10475+252+27+28929</f>
        <v>39683</v>
      </c>
      <c r="E63" s="466">
        <f>1966+115</f>
        <v>2081</v>
      </c>
      <c r="F63" s="466">
        <f>388719+3836+3822+433+330</f>
        <v>397140</v>
      </c>
      <c r="G63" s="466">
        <v>1822</v>
      </c>
      <c r="H63" s="466"/>
      <c r="I63" s="467"/>
      <c r="J63" s="467"/>
      <c r="K63" s="1694">
        <f t="shared" si="7"/>
        <v>685148</v>
      </c>
      <c r="L63" s="466">
        <v>691839</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306819</v>
      </c>
      <c r="D65" s="1692">
        <f t="shared" ref="D65:L65" si="8">SUM(D59:D64)</f>
        <v>49814</v>
      </c>
      <c r="E65" s="1692">
        <f t="shared" si="8"/>
        <v>33533</v>
      </c>
      <c r="F65" s="1692">
        <f t="shared" si="8"/>
        <v>407287</v>
      </c>
      <c r="G65" s="1692">
        <f t="shared" si="8"/>
        <v>1822</v>
      </c>
      <c r="H65" s="1692">
        <f t="shared" si="8"/>
        <v>0</v>
      </c>
      <c r="I65" s="1692">
        <f t="shared" si="8"/>
        <v>0</v>
      </c>
      <c r="J65" s="1692">
        <f t="shared" si="8"/>
        <v>0</v>
      </c>
      <c r="K65" s="1692">
        <f t="shared" si="8"/>
        <v>799275</v>
      </c>
      <c r="L65" s="1692">
        <f t="shared" si="8"/>
        <v>877659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793</v>
      </c>
      <c r="G73" s="573"/>
      <c r="H73" s="573"/>
      <c r="I73" s="531"/>
      <c r="J73" s="531"/>
      <c r="K73" s="1692">
        <f>SUM(C73:J73)</f>
        <v>793</v>
      </c>
      <c r="L73" s="576">
        <v>1850</v>
      </c>
      <c r="M73" s="610"/>
      <c r="N73" s="610"/>
    </row>
    <row r="74" spans="1:14" ht="12.75" customHeight="1" thickTop="1" thickBot="1" x14ac:dyDescent="0.25">
      <c r="A74" s="1690" t="s">
        <v>865</v>
      </c>
      <c r="B74" s="1698">
        <v>2000</v>
      </c>
      <c r="C74" s="1699">
        <f>SUM(C42,C47,C53,C57,C65,C72,C73)</f>
        <v>1600354</v>
      </c>
      <c r="D74" s="1699">
        <f t="shared" ref="D74:K74" si="10">SUM(D42,D47,D53,D57,D65,D72,D73)</f>
        <v>348803</v>
      </c>
      <c r="E74" s="1699">
        <f t="shared" si="10"/>
        <v>231137</v>
      </c>
      <c r="F74" s="1699">
        <f t="shared" si="10"/>
        <v>481948</v>
      </c>
      <c r="G74" s="1699">
        <f t="shared" si="10"/>
        <v>28265</v>
      </c>
      <c r="H74" s="1699">
        <f t="shared" si="10"/>
        <v>27534</v>
      </c>
      <c r="I74" s="1699">
        <f t="shared" si="10"/>
        <v>0</v>
      </c>
      <c r="J74" s="1699">
        <f t="shared" si="10"/>
        <v>0</v>
      </c>
      <c r="K74" s="1699">
        <f t="shared" si="10"/>
        <v>2718041</v>
      </c>
      <c r="L74" s="1699">
        <f>SUM(L42,L47,L53,L57,L65,L72,L73)</f>
        <v>2689422</v>
      </c>
    </row>
    <row r="75" spans="1:14" s="259" customFormat="1" ht="15.75" customHeight="1" thickTop="1" thickBot="1" x14ac:dyDescent="0.25">
      <c r="A75" s="1632" t="s">
        <v>49</v>
      </c>
      <c r="B75" s="1633" t="s">
        <v>596</v>
      </c>
      <c r="C75" s="573">
        <f>13914+5859</f>
        <v>19773</v>
      </c>
      <c r="D75" s="573">
        <v>2758</v>
      </c>
      <c r="E75" s="573">
        <v>1687</v>
      </c>
      <c r="F75" s="573">
        <f>1423+1121+1950+575</f>
        <v>5069</v>
      </c>
      <c r="G75" s="573"/>
      <c r="H75" s="573"/>
      <c r="I75" s="531"/>
      <c r="J75" s="531"/>
      <c r="K75" s="1692">
        <f>SUM(C75:J75)</f>
        <v>29287</v>
      </c>
      <c r="L75" s="576">
        <v>48700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c r="F79" s="617"/>
      <c r="G79" s="617"/>
      <c r="H79" s="466">
        <v>1325693</v>
      </c>
      <c r="I79" s="477"/>
      <c r="J79" s="477"/>
      <c r="K79" s="1693">
        <f t="shared" si="11"/>
        <v>1325693</v>
      </c>
      <c r="L79" s="466">
        <v>1625000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1325693</v>
      </c>
      <c r="I84" s="477"/>
      <c r="J84" s="477"/>
      <c r="K84" s="1692">
        <f>SUM(K78:K83)</f>
        <v>1325693</v>
      </c>
      <c r="L84" s="1692">
        <f>SUM(L78:L83)</f>
        <v>1625000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v>51300</v>
      </c>
      <c r="I88" s="477"/>
      <c r="J88" s="477"/>
      <c r="K88" s="1699">
        <f t="shared" si="12"/>
        <v>51300</v>
      </c>
      <c r="L88" s="530">
        <v>60000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51300</v>
      </c>
      <c r="I92" s="477"/>
      <c r="J92" s="477"/>
      <c r="K92" s="1699">
        <f t="shared" si="12"/>
        <v>51300</v>
      </c>
      <c r="L92" s="1692">
        <f>SUM(L85:L91)</f>
        <v>60000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1376993</v>
      </c>
      <c r="I102" s="477"/>
      <c r="J102" s="477"/>
      <c r="K102" s="1699">
        <f>SUM(K84,K92,K100,K101)</f>
        <v>1376993</v>
      </c>
      <c r="L102" s="1699">
        <f>SUM(L84,L92,L100,L101)</f>
        <v>1685000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5702150</v>
      </c>
      <c r="D114" s="1692">
        <f t="shared" ref="D114:K114" si="13">SUM(D33,D74,D75,D102,D112,D113)</f>
        <v>1378283</v>
      </c>
      <c r="E114" s="1692">
        <f t="shared" si="13"/>
        <v>284310</v>
      </c>
      <c r="F114" s="1692">
        <f t="shared" si="13"/>
        <v>731838</v>
      </c>
      <c r="G114" s="1692">
        <f t="shared" si="13"/>
        <v>67760</v>
      </c>
      <c r="H114" s="1692">
        <f>SUM(H33,H74,H75,H102,H112,H113)</f>
        <v>1404527</v>
      </c>
      <c r="I114" s="1692">
        <f t="shared" si="13"/>
        <v>0</v>
      </c>
      <c r="J114" s="1692">
        <f t="shared" si="13"/>
        <v>0</v>
      </c>
      <c r="K114" s="1692">
        <f t="shared" si="13"/>
        <v>9568868</v>
      </c>
      <c r="L114" s="1692">
        <f>SUM(L33,L74,L75,L102,L112,L113)</f>
        <v>10089939</v>
      </c>
    </row>
    <row r="115" spans="1:14" ht="13.5" thickTop="1" x14ac:dyDescent="0.2">
      <c r="A115" s="2171" t="s">
        <v>1053</v>
      </c>
      <c r="B115" s="2172"/>
      <c r="C115" s="619"/>
      <c r="D115" s="619"/>
      <c r="E115" s="619"/>
      <c r="F115" s="619"/>
      <c r="G115" s="619"/>
      <c r="H115" s="619"/>
      <c r="I115" s="619"/>
      <c r="J115" s="619"/>
      <c r="K115" s="1706">
        <f>'Revenues 9-14'!C275-'Expenditures 15-22'!K114</f>
        <v>1738993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447462</v>
      </c>
      <c r="D124" s="466">
        <v>102246</v>
      </c>
      <c r="E124" s="466">
        <v>249273</v>
      </c>
      <c r="F124" s="466">
        <v>411697</v>
      </c>
      <c r="G124" s="466">
        <v>4201</v>
      </c>
      <c r="H124" s="466"/>
      <c r="I124" s="467"/>
      <c r="J124" s="467"/>
      <c r="K124" s="1692">
        <f>SUM(C124:J124)</f>
        <v>1214879</v>
      </c>
      <c r="L124" s="466">
        <v>1157175</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447462</v>
      </c>
      <c r="D127" s="1692">
        <f t="shared" ref="D127:L127" si="14">SUM(D122:D126)</f>
        <v>102246</v>
      </c>
      <c r="E127" s="1692">
        <f t="shared" si="14"/>
        <v>249273</v>
      </c>
      <c r="F127" s="1692">
        <f t="shared" si="14"/>
        <v>411697</v>
      </c>
      <c r="G127" s="1692">
        <f t="shared" si="14"/>
        <v>4201</v>
      </c>
      <c r="H127" s="1692">
        <f t="shared" si="14"/>
        <v>0</v>
      </c>
      <c r="I127" s="1692">
        <f t="shared" si="14"/>
        <v>0</v>
      </c>
      <c r="J127" s="1692">
        <f t="shared" si="14"/>
        <v>0</v>
      </c>
      <c r="K127" s="1692">
        <f t="shared" si="14"/>
        <v>1214879</v>
      </c>
      <c r="L127" s="1692">
        <f t="shared" si="14"/>
        <v>1157175</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447462</v>
      </c>
      <c r="D129" s="1699">
        <f t="shared" ref="D129:L129" si="15">SUM(D120,D127,D128)</f>
        <v>102246</v>
      </c>
      <c r="E129" s="1699">
        <f t="shared" si="15"/>
        <v>249273</v>
      </c>
      <c r="F129" s="1699">
        <f t="shared" si="15"/>
        <v>411697</v>
      </c>
      <c r="G129" s="1699">
        <f t="shared" si="15"/>
        <v>4201</v>
      </c>
      <c r="H129" s="1699">
        <f t="shared" si="15"/>
        <v>0</v>
      </c>
      <c r="I129" s="1699">
        <f t="shared" si="15"/>
        <v>0</v>
      </c>
      <c r="J129" s="1699">
        <f t="shared" si="15"/>
        <v>0</v>
      </c>
      <c r="K129" s="1699">
        <f t="shared" si="15"/>
        <v>1214879</v>
      </c>
      <c r="L129" s="1699">
        <f t="shared" si="15"/>
        <v>1157175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8" t="s">
        <v>641</v>
      </c>
      <c r="B151" s="2168"/>
      <c r="C151" s="1692">
        <f>SUM(C129,C130,C139,C149,C150)</f>
        <v>447462</v>
      </c>
      <c r="D151" s="1692">
        <f t="shared" ref="D151:K151" si="16">SUM(D129,D130,D139,D149,D150)</f>
        <v>102246</v>
      </c>
      <c r="E151" s="1692">
        <f t="shared" si="16"/>
        <v>249273</v>
      </c>
      <c r="F151" s="1692">
        <f t="shared" si="16"/>
        <v>411697</v>
      </c>
      <c r="G151" s="1692">
        <f t="shared" si="16"/>
        <v>4201</v>
      </c>
      <c r="H151" s="1692">
        <f t="shared" si="16"/>
        <v>0</v>
      </c>
      <c r="I151" s="1692">
        <f t="shared" si="16"/>
        <v>0</v>
      </c>
      <c r="J151" s="1692">
        <f t="shared" si="16"/>
        <v>0</v>
      </c>
      <c r="K151" s="1692">
        <f t="shared" si="16"/>
        <v>1214879</v>
      </c>
      <c r="L151" s="1692">
        <f>SUM(L129,L130,L139,L149,L150)</f>
        <v>1157175</v>
      </c>
    </row>
    <row r="152" spans="1:14" ht="12.75" customHeight="1" thickTop="1" x14ac:dyDescent="0.2">
      <c r="A152" s="2191" t="s">
        <v>1240</v>
      </c>
      <c r="B152" s="2192"/>
      <c r="C152" s="619"/>
      <c r="D152" s="619"/>
      <c r="E152" s="619"/>
      <c r="F152" s="619"/>
      <c r="G152" s="619"/>
      <c r="H152" s="619"/>
      <c r="I152" s="619"/>
      <c r="J152" s="617"/>
      <c r="K152" s="1706">
        <f>'Revenues 9-14'!D275-'Expenditures 15-22'!K151</f>
        <v>-158639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v>0</v>
      </c>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173644</v>
      </c>
      <c r="I169" s="617"/>
      <c r="J169" s="617"/>
      <c r="K169" s="1693">
        <f>SUM(C169:H169)</f>
        <v>173644</v>
      </c>
      <c r="L169" s="657">
        <v>178891</v>
      </c>
    </row>
    <row r="170" spans="1:14" ht="33.75" customHeight="1" x14ac:dyDescent="0.2">
      <c r="A170" s="670" t="s">
        <v>1769</v>
      </c>
      <c r="B170" s="672" t="s">
        <v>31</v>
      </c>
      <c r="C170" s="617"/>
      <c r="D170" s="617"/>
      <c r="E170" s="617"/>
      <c r="F170" s="617"/>
      <c r="G170" s="617"/>
      <c r="H170" s="569">
        <v>345000</v>
      </c>
      <c r="I170" s="617"/>
      <c r="J170" s="617"/>
      <c r="K170" s="1693">
        <f>SUM(C170:J170)</f>
        <v>345000</v>
      </c>
      <c r="L170" s="569">
        <v>465000</v>
      </c>
    </row>
    <row r="171" spans="1:14" ht="15.75" customHeight="1" x14ac:dyDescent="0.2">
      <c r="A171" s="622" t="s">
        <v>790</v>
      </c>
      <c r="B171" s="673" t="s">
        <v>86</v>
      </c>
      <c r="C171" s="617"/>
      <c r="D171" s="617"/>
      <c r="E171" s="466"/>
      <c r="F171" s="617"/>
      <c r="G171" s="617"/>
      <c r="H171" s="569">
        <v>500</v>
      </c>
      <c r="I171" s="477"/>
      <c r="J171" s="617"/>
      <c r="K171" s="1693">
        <f>SUM(C171:J171)</f>
        <v>500</v>
      </c>
      <c r="L171" s="569">
        <v>875</v>
      </c>
    </row>
    <row r="172" spans="1:14" ht="12.75" customHeight="1" thickBot="1" x14ac:dyDescent="0.25">
      <c r="A172" s="1690" t="s">
        <v>659</v>
      </c>
      <c r="B172" s="1691" t="s">
        <v>513</v>
      </c>
      <c r="C172" s="617"/>
      <c r="D172" s="617"/>
      <c r="E172" s="1699">
        <f>SUM(E168,E169,E170,E171)</f>
        <v>0</v>
      </c>
      <c r="F172" s="617"/>
      <c r="G172" s="617"/>
      <c r="H172" s="1699">
        <f>SUM(H168,H169,H170,H171)</f>
        <v>519144</v>
      </c>
      <c r="I172" s="639"/>
      <c r="J172" s="617"/>
      <c r="K172" s="1699">
        <f>SUM(K168,K169,K170,K171)</f>
        <v>519144</v>
      </c>
      <c r="L172" s="1699">
        <f>SUM(L168,L169,L170,L171)</f>
        <v>644766</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519144</v>
      </c>
      <c r="I174" s="639"/>
      <c r="J174" s="617"/>
      <c r="K174" s="1699">
        <f>SUM(K160,K172,K173)</f>
        <v>519144</v>
      </c>
      <c r="L174" s="1699">
        <f>SUM(L160,L172,L173)</f>
        <v>644766</v>
      </c>
    </row>
    <row r="175" spans="1:14" ht="13.5" thickTop="1" x14ac:dyDescent="0.2">
      <c r="A175" s="2171" t="s">
        <v>1053</v>
      </c>
      <c r="B175" s="2172"/>
      <c r="C175" s="617"/>
      <c r="D175" s="617"/>
      <c r="E175" s="617"/>
      <c r="F175" s="617"/>
      <c r="G175" s="617"/>
      <c r="H175" s="619"/>
      <c r="I175" s="617"/>
      <c r="J175" s="617"/>
      <c r="K175" s="1706">
        <f>'Revenues 9-14'!E275-'Expenditures 15-22'!K174</f>
        <v>383005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499718</v>
      </c>
      <c r="D182" s="466">
        <v>66973</v>
      </c>
      <c r="E182" s="466">
        <v>28690</v>
      </c>
      <c r="F182" s="466">
        <v>106877</v>
      </c>
      <c r="G182" s="466">
        <v>1397</v>
      </c>
      <c r="H182" s="466"/>
      <c r="I182" s="467"/>
      <c r="J182" s="467"/>
      <c r="K182" s="1693">
        <f>SUM(C182:J182)</f>
        <v>703655</v>
      </c>
      <c r="L182" s="466">
        <v>753843</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499718</v>
      </c>
      <c r="D184" s="1699">
        <f t="shared" ref="D184:J184" si="17">SUM(D180,D182,D183)</f>
        <v>66973</v>
      </c>
      <c r="E184" s="1699">
        <f t="shared" si="17"/>
        <v>28690</v>
      </c>
      <c r="F184" s="1699">
        <f t="shared" si="17"/>
        <v>106877</v>
      </c>
      <c r="G184" s="1699">
        <f t="shared" si="17"/>
        <v>1397</v>
      </c>
      <c r="H184" s="1699">
        <f t="shared" si="17"/>
        <v>0</v>
      </c>
      <c r="I184" s="1699">
        <f t="shared" si="17"/>
        <v>0</v>
      </c>
      <c r="J184" s="1699">
        <f t="shared" si="17"/>
        <v>0</v>
      </c>
      <c r="K184" s="1699">
        <f>SUM(K180,K182,K183)</f>
        <v>703655</v>
      </c>
      <c r="L184" s="1699">
        <f>SUM(L180, L182:L183)</f>
        <v>753843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3773</v>
      </c>
      <c r="I205" s="617"/>
      <c r="J205" s="617"/>
      <c r="K205" s="1707">
        <f>SUM(H205)</f>
        <v>3773</v>
      </c>
      <c r="L205" s="535">
        <v>50000</v>
      </c>
    </row>
    <row r="206" spans="1:14" ht="30" customHeight="1" x14ac:dyDescent="0.2">
      <c r="A206" s="682" t="s">
        <v>1770</v>
      </c>
      <c r="B206" s="673" t="s">
        <v>31</v>
      </c>
      <c r="C206" s="617"/>
      <c r="D206" s="617"/>
      <c r="E206" s="617"/>
      <c r="F206" s="617"/>
      <c r="G206" s="617"/>
      <c r="H206" s="466">
        <v>84512</v>
      </c>
      <c r="I206" s="617"/>
      <c r="J206" s="617"/>
      <c r="K206" s="1693">
        <f>SUM(H206)</f>
        <v>84512</v>
      </c>
      <c r="L206" s="466">
        <v>1200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88285</v>
      </c>
      <c r="I208" s="617"/>
      <c r="J208" s="617"/>
      <c r="K208" s="1699">
        <f>SUM(K204,K205,K206,K207)</f>
        <v>88285</v>
      </c>
      <c r="L208" s="1699">
        <f>SUM(L204,L205,L206,L207)</f>
        <v>51200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499718</v>
      </c>
      <c r="D210" s="1692">
        <f>SUM(D184,D185)</f>
        <v>66973</v>
      </c>
      <c r="E210" s="1692">
        <f>SUM(E184,E185,E196)</f>
        <v>28690</v>
      </c>
      <c r="F210" s="1692">
        <f>SUM(F184,F185)</f>
        <v>106877</v>
      </c>
      <c r="G210" s="1692">
        <f>SUM(G184,G185)</f>
        <v>1397</v>
      </c>
      <c r="H210" s="1692">
        <f>SUM(H184,H185,H196,H208,H209)</f>
        <v>88285</v>
      </c>
      <c r="I210" s="1692">
        <f>SUM(I184,I185)</f>
        <v>0</v>
      </c>
      <c r="J210" s="1692">
        <f>SUM(J184,J185)</f>
        <v>0</v>
      </c>
      <c r="K210" s="1693">
        <f>SUM(K184,K185,K196,K208,K209)</f>
        <v>791940</v>
      </c>
      <c r="L210" s="1692">
        <f>SUM(L184,L185,L196,L208,L209)</f>
        <v>805043</v>
      </c>
    </row>
    <row r="211" spans="1:14" ht="13.5" thickTop="1" x14ac:dyDescent="0.2">
      <c r="A211" s="2171" t="s">
        <v>1053</v>
      </c>
      <c r="B211" s="2172"/>
      <c r="C211" s="619"/>
      <c r="D211" s="619"/>
      <c r="E211" s="619"/>
      <c r="F211" s="619"/>
      <c r="G211" s="619"/>
      <c r="H211" s="619"/>
      <c r="I211" s="617"/>
      <c r="J211" s="617"/>
      <c r="K211" s="1706">
        <f>'Revenues 9-14'!F275-'Expenditures 15-22'!K210</f>
        <v>444658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7513+1395+25+2685+11004+6+628+8+88+40+49+22193+72+452+5452+108+2156+118+33+4+13439+249+8+3+189-2</f>
        <v>67915</v>
      </c>
      <c r="E215" s="617"/>
      <c r="F215" s="617"/>
      <c r="G215" s="617"/>
      <c r="H215" s="617"/>
      <c r="I215" s="617"/>
      <c r="J215" s="617"/>
      <c r="K215" s="1693">
        <f>D215</f>
        <v>67915</v>
      </c>
      <c r="L215" s="466">
        <v>67781</v>
      </c>
    </row>
    <row r="216" spans="1:14" x14ac:dyDescent="0.2">
      <c r="A216" s="1526" t="s">
        <v>165</v>
      </c>
      <c r="B216" s="615" t="s">
        <v>1024</v>
      </c>
      <c r="C216" s="617"/>
      <c r="D216" s="467">
        <f>8662+1354+222+3071+155+493+217+1474+718+36+324+5+115</f>
        <v>16846</v>
      </c>
      <c r="E216" s="617"/>
      <c r="F216" s="617"/>
      <c r="G216" s="617"/>
      <c r="H216" s="617"/>
      <c r="I216" s="617"/>
      <c r="J216" s="617"/>
      <c r="K216" s="1693">
        <f t="shared" ref="K216:K228" si="19">D216</f>
        <v>16846</v>
      </c>
      <c r="L216" s="466">
        <v>20975</v>
      </c>
    </row>
    <row r="217" spans="1:14" x14ac:dyDescent="0.2">
      <c r="A217" s="1526" t="s">
        <v>166</v>
      </c>
      <c r="B217" s="615">
        <v>1200</v>
      </c>
      <c r="C217" s="617"/>
      <c r="D217" s="466"/>
      <c r="E217" s="617"/>
      <c r="F217" s="617"/>
      <c r="G217" s="617"/>
      <c r="H217" s="617"/>
      <c r="I217" s="617"/>
      <c r="J217" s="617"/>
      <c r="K217" s="1693">
        <f t="shared" si="19"/>
        <v>0</v>
      </c>
      <c r="L217" s="466">
        <v>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f>9984+1342+3588+480+767+509+112+256+78</f>
        <v>17116</v>
      </c>
      <c r="E219" s="617"/>
      <c r="F219" s="617"/>
      <c r="G219" s="617"/>
      <c r="H219" s="617"/>
      <c r="I219" s="617"/>
      <c r="J219" s="617"/>
      <c r="K219" s="1693">
        <f t="shared" si="19"/>
        <v>17116</v>
      </c>
      <c r="L219" s="466">
        <v>14385</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f>2089+3164+1943</f>
        <v>7196</v>
      </c>
      <c r="E223" s="617"/>
      <c r="F223" s="617"/>
      <c r="G223" s="617"/>
      <c r="H223" s="617"/>
      <c r="I223" s="617"/>
      <c r="J223" s="617"/>
      <c r="K223" s="1693">
        <f t="shared" si="19"/>
        <v>7196</v>
      </c>
      <c r="L223" s="466">
        <v>4100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109073</v>
      </c>
      <c r="E229" s="617"/>
      <c r="F229" s="617"/>
      <c r="G229" s="617"/>
      <c r="H229" s="617"/>
      <c r="I229" s="617"/>
      <c r="J229" s="617"/>
      <c r="K229" s="1692">
        <f>SUM(K215:K228)</f>
        <v>109073</v>
      </c>
      <c r="L229" s="1692">
        <f>SUM(L215:L228)</f>
        <v>107241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v>2304</v>
      </c>
      <c r="E233" s="617"/>
      <c r="F233" s="617"/>
      <c r="G233" s="617"/>
      <c r="H233" s="617"/>
      <c r="I233" s="617"/>
      <c r="J233" s="617"/>
      <c r="K233" s="1693">
        <f t="shared" si="20"/>
        <v>2304</v>
      </c>
      <c r="L233" s="466">
        <v>2450</v>
      </c>
    </row>
    <row r="234" spans="1:12" x14ac:dyDescent="0.2">
      <c r="A234" s="1526" t="s">
        <v>207</v>
      </c>
      <c r="B234" s="615">
        <v>2130</v>
      </c>
      <c r="C234" s="617"/>
      <c r="D234" s="466">
        <f>11127+3937+813</f>
        <v>15877</v>
      </c>
      <c r="E234" s="617"/>
      <c r="F234" s="617"/>
      <c r="G234" s="617"/>
      <c r="H234" s="617"/>
      <c r="I234" s="617"/>
      <c r="J234" s="617"/>
      <c r="K234" s="1693">
        <f t="shared" si="20"/>
        <v>15877</v>
      </c>
      <c r="L234" s="466">
        <v>17932</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18181</v>
      </c>
      <c r="E238" s="617"/>
      <c r="F238" s="617"/>
      <c r="G238" s="617"/>
      <c r="H238" s="617"/>
      <c r="I238" s="617"/>
      <c r="J238" s="617"/>
      <c r="K238" s="1692">
        <f>SUM(K232:K237)</f>
        <v>18181</v>
      </c>
      <c r="L238" s="1692">
        <f>SUM(L232:L237)</f>
        <v>20382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33+15+40</f>
        <v>88</v>
      </c>
      <c r="E240" s="617"/>
      <c r="F240" s="617"/>
      <c r="G240" s="617"/>
      <c r="H240" s="617"/>
      <c r="I240" s="617"/>
      <c r="J240" s="617"/>
      <c r="K240" s="1694">
        <f>D240</f>
        <v>88</v>
      </c>
      <c r="L240" s="481">
        <v>10</v>
      </c>
    </row>
    <row r="241" spans="1:12" x14ac:dyDescent="0.2">
      <c r="A241" s="1526" t="s">
        <v>869</v>
      </c>
      <c r="B241" s="615">
        <v>2220</v>
      </c>
      <c r="C241" s="617"/>
      <c r="D241" s="466">
        <f>574+218+2629</f>
        <v>3421</v>
      </c>
      <c r="E241" s="617"/>
      <c r="F241" s="617"/>
      <c r="G241" s="617"/>
      <c r="H241" s="617"/>
      <c r="I241" s="617"/>
      <c r="J241" s="617"/>
      <c r="K241" s="1694">
        <f>D241</f>
        <v>3421</v>
      </c>
      <c r="L241" s="466">
        <v>2250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3509</v>
      </c>
      <c r="E243" s="617"/>
      <c r="F243" s="617"/>
      <c r="G243" s="617"/>
      <c r="H243" s="617"/>
      <c r="I243" s="617"/>
      <c r="J243" s="617"/>
      <c r="K243" s="1692">
        <f>SUM(K240:K242)</f>
        <v>3509</v>
      </c>
      <c r="L243" s="1692">
        <f>SUM(L240:L242)</f>
        <v>2260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111+43+9</f>
        <v>163</v>
      </c>
      <c r="E245" s="617"/>
      <c r="F245" s="617"/>
      <c r="G245" s="617"/>
      <c r="H245" s="617"/>
      <c r="I245" s="617"/>
      <c r="J245" s="617"/>
      <c r="K245" s="1694">
        <f>D245</f>
        <v>163</v>
      </c>
      <c r="L245" s="481">
        <v>245</v>
      </c>
    </row>
    <row r="246" spans="1:12" x14ac:dyDescent="0.2">
      <c r="A246" s="1526" t="s">
        <v>872</v>
      </c>
      <c r="B246" s="615">
        <v>2320</v>
      </c>
      <c r="C246" s="617"/>
      <c r="D246" s="466">
        <f>5896+2259+3375+453</f>
        <v>11983</v>
      </c>
      <c r="E246" s="617"/>
      <c r="F246" s="617"/>
      <c r="G246" s="617"/>
      <c r="H246" s="617"/>
      <c r="I246" s="617"/>
      <c r="J246" s="617"/>
      <c r="K246" s="1694">
        <f t="shared" ref="K246:K256" si="21">D246</f>
        <v>11983</v>
      </c>
      <c r="L246" s="466">
        <v>11430</v>
      </c>
    </row>
    <row r="247" spans="1:12" x14ac:dyDescent="0.2">
      <c r="A247" s="1526" t="s">
        <v>873</v>
      </c>
      <c r="B247" s="615">
        <v>2330</v>
      </c>
      <c r="C247" s="617"/>
      <c r="D247" s="466">
        <f>112+1960+54+754+176</f>
        <v>3056</v>
      </c>
      <c r="E247" s="617"/>
      <c r="F247" s="617"/>
      <c r="G247" s="617"/>
      <c r="H247" s="617"/>
      <c r="I247" s="617"/>
      <c r="J247" s="617"/>
      <c r="K247" s="1694">
        <f t="shared" si="21"/>
        <v>3056</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1905</v>
      </c>
      <c r="B249" s="684" t="s">
        <v>300</v>
      </c>
      <c r="C249" s="617"/>
      <c r="D249" s="474"/>
      <c r="E249" s="617"/>
      <c r="F249" s="617"/>
      <c r="G249" s="617"/>
      <c r="H249" s="617"/>
      <c r="I249" s="617"/>
      <c r="J249" s="617"/>
      <c r="K249" s="1694">
        <f t="shared" si="21"/>
        <v>0</v>
      </c>
      <c r="L249" s="466">
        <v>0</v>
      </c>
    </row>
    <row r="250" spans="1:12" x14ac:dyDescent="0.2">
      <c r="A250" s="1527" t="s">
        <v>1906</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f>11278+4817+1023</f>
        <v>17118</v>
      </c>
      <c r="E254" s="617"/>
      <c r="F254" s="617"/>
      <c r="G254" s="617"/>
      <c r="H254" s="617"/>
      <c r="I254" s="617"/>
      <c r="J254" s="617"/>
      <c r="K254" s="1694">
        <f t="shared" si="21"/>
        <v>17118</v>
      </c>
      <c r="L254" s="466">
        <v>1675</v>
      </c>
    </row>
    <row r="255" spans="1:12" x14ac:dyDescent="0.2">
      <c r="A255" s="1527" t="s">
        <v>1088</v>
      </c>
      <c r="B255" s="603" t="s">
        <v>306</v>
      </c>
      <c r="C255" s="617"/>
      <c r="D255" s="474" t="s">
        <v>2095</v>
      </c>
      <c r="E255" s="617"/>
      <c r="F255" s="617"/>
      <c r="G255" s="617"/>
      <c r="H255" s="617"/>
      <c r="I255" s="617"/>
      <c r="J255" s="617"/>
      <c r="K255" s="1694" t="str">
        <f t="shared" si="21"/>
        <v>.</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32320</v>
      </c>
      <c r="E257" s="617"/>
      <c r="F257" s="617"/>
      <c r="G257" s="617"/>
      <c r="H257" s="617"/>
      <c r="I257" s="617"/>
      <c r="J257" s="617"/>
      <c r="K257" s="1692">
        <f>SUM(K245:K256)</f>
        <v>32320</v>
      </c>
      <c r="L257" s="1692">
        <f>SUM(L245:L256)</f>
        <v>13350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25420+10003+281+5939+2133+66</f>
        <v>43842</v>
      </c>
      <c r="E259" s="617"/>
      <c r="F259" s="617"/>
      <c r="G259" s="617"/>
      <c r="H259" s="617"/>
      <c r="I259" s="617"/>
      <c r="J259" s="617"/>
      <c r="K259" s="1694">
        <f>D259</f>
        <v>43842</v>
      </c>
      <c r="L259" s="481">
        <v>46115</v>
      </c>
    </row>
    <row r="260" spans="1:14" s="598" customFormat="1" x14ac:dyDescent="0.2">
      <c r="A260" s="1544" t="s">
        <v>1904</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43842</v>
      </c>
      <c r="E261" s="617"/>
      <c r="F261" s="617"/>
      <c r="G261" s="617"/>
      <c r="H261" s="617"/>
      <c r="I261" s="617"/>
      <c r="J261" s="617"/>
      <c r="K261" s="1692">
        <f>SUM(K259:K260)</f>
        <v>43842</v>
      </c>
      <c r="L261" s="1692">
        <f>SUM(L259:L260)</f>
        <v>46115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f>10465+4000+842</f>
        <v>15307</v>
      </c>
      <c r="E264" s="617"/>
      <c r="F264" s="617"/>
      <c r="G264" s="617"/>
      <c r="H264" s="617"/>
      <c r="I264" s="617"/>
      <c r="J264" s="617"/>
      <c r="K264" s="1694">
        <f t="shared" ref="K264:K269" si="22">D264</f>
        <v>15307</v>
      </c>
      <c r="L264" s="466">
        <v>16625</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f>53650+16089+22446+188+6030+4525+44+1410</f>
        <v>104382</v>
      </c>
      <c r="E266" s="617"/>
      <c r="F266" s="617"/>
      <c r="G266" s="617"/>
      <c r="H266" s="617"/>
      <c r="I266" s="617"/>
      <c r="J266" s="617"/>
      <c r="K266" s="1694">
        <f t="shared" si="22"/>
        <v>104382</v>
      </c>
      <c r="L266" s="466">
        <v>111900</v>
      </c>
    </row>
    <row r="267" spans="1:14" x14ac:dyDescent="0.2">
      <c r="A267" s="1526" t="s">
        <v>1010</v>
      </c>
      <c r="B267" s="615">
        <v>2550</v>
      </c>
      <c r="C267" s="617"/>
      <c r="D267" s="466">
        <f>11086+43621+2608+14379+3210+3399+5940+17201+1014+5473+1528+1244+633+4023+237+1280+357+291</f>
        <v>117524</v>
      </c>
      <c r="E267" s="617"/>
      <c r="F267" s="617"/>
      <c r="G267" s="617"/>
      <c r="H267" s="617"/>
      <c r="I267" s="617"/>
      <c r="J267" s="617"/>
      <c r="K267" s="1694">
        <f t="shared" si="22"/>
        <v>117524</v>
      </c>
      <c r="L267" s="466">
        <v>147950</v>
      </c>
    </row>
    <row r="268" spans="1:14" x14ac:dyDescent="0.2">
      <c r="A268" s="1526" t="s">
        <v>102</v>
      </c>
      <c r="B268" s="615">
        <v>2560</v>
      </c>
      <c r="C268" s="617"/>
      <c r="D268" s="466">
        <f>35954+1295+15375+621+3195+145</f>
        <v>56585</v>
      </c>
      <c r="E268" s="617"/>
      <c r="F268" s="617"/>
      <c r="G268" s="617"/>
      <c r="H268" s="617"/>
      <c r="I268" s="617"/>
      <c r="J268" s="617"/>
      <c r="K268" s="1694">
        <f t="shared" si="22"/>
        <v>56585</v>
      </c>
      <c r="L268" s="466">
        <v>54129</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293798</v>
      </c>
      <c r="E270" s="617"/>
      <c r="F270" s="617"/>
      <c r="G270" s="617"/>
      <c r="H270" s="617"/>
      <c r="I270" s="617"/>
      <c r="J270" s="617"/>
      <c r="K270" s="1692">
        <f>SUM(K263:K269)</f>
        <v>293798</v>
      </c>
      <c r="L270" s="1692">
        <f>SUM(L263:L269)</f>
        <v>330604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391650</v>
      </c>
      <c r="E279" s="617"/>
      <c r="F279" s="617"/>
      <c r="G279" s="617"/>
      <c r="H279" s="617"/>
      <c r="I279" s="617"/>
      <c r="J279" s="617"/>
      <c r="K279" s="1699">
        <f>SUM(K238,K243,K257,K261,K270,K277,K278)</f>
        <v>391650</v>
      </c>
      <c r="L279" s="1699">
        <f>SUM(L238,L243,L257,L261,L270,L277,L278)</f>
        <v>412711</v>
      </c>
    </row>
    <row r="280" spans="1:12" ht="15.75" customHeight="1" thickTop="1" thickBot="1" x14ac:dyDescent="0.25">
      <c r="A280" s="1646" t="s">
        <v>930</v>
      </c>
      <c r="B280" s="1635">
        <v>3000</v>
      </c>
      <c r="C280" s="617"/>
      <c r="D280" s="576">
        <v>2512</v>
      </c>
      <c r="E280" s="617"/>
      <c r="F280" s="617"/>
      <c r="G280" s="617"/>
      <c r="H280" s="617"/>
      <c r="I280" s="617"/>
      <c r="J280" s="617"/>
      <c r="K280" s="1701">
        <f>D280</f>
        <v>2512</v>
      </c>
      <c r="L280" s="576">
        <v>500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9" t="s">
        <v>526</v>
      </c>
      <c r="B295" s="2190"/>
      <c r="C295" s="617"/>
      <c r="D295" s="1692">
        <f>SUM(D229,D279,D280,D285)</f>
        <v>503235</v>
      </c>
      <c r="E295" s="617"/>
      <c r="F295" s="617"/>
      <c r="G295" s="617"/>
      <c r="H295" s="1692">
        <f>H293</f>
        <v>0</v>
      </c>
      <c r="I295" s="617"/>
      <c r="J295" s="617"/>
      <c r="K295" s="1692">
        <f>SUM(K229,K279,K280,K285,K293,K294)</f>
        <v>503235</v>
      </c>
      <c r="L295" s="1692">
        <f>SUM(L229,L279,L280,L285,L293,L294)</f>
        <v>520452</v>
      </c>
    </row>
    <row r="296" spans="1:14" ht="13.5" thickTop="1" x14ac:dyDescent="0.2">
      <c r="A296" s="2171" t="s">
        <v>1053</v>
      </c>
      <c r="B296" s="2172"/>
      <c r="C296" s="617"/>
      <c r="D296" s="619"/>
      <c r="E296" s="617"/>
      <c r="F296" s="617"/>
      <c r="G296" s="617"/>
      <c r="H296" s="688"/>
      <c r="I296" s="617"/>
      <c r="J296" s="617"/>
      <c r="K296" s="1706">
        <f>'Revenues 9-14'!G275-'Expenditures 15-22'!K295</f>
        <v>67185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96102</v>
      </c>
      <c r="H301" s="466"/>
      <c r="I301" s="467"/>
      <c r="J301" s="467"/>
      <c r="K301" s="1693">
        <f>SUM(C301:J301)</f>
        <v>96102</v>
      </c>
      <c r="L301" s="467">
        <v>100000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96102</v>
      </c>
      <c r="H303" s="1699">
        <f t="shared" si="23"/>
        <v>0</v>
      </c>
      <c r="I303" s="1699">
        <f t="shared" si="23"/>
        <v>0</v>
      </c>
      <c r="J303" s="1699">
        <f t="shared" si="23"/>
        <v>0</v>
      </c>
      <c r="K303" s="1699">
        <f t="shared" si="23"/>
        <v>96102</v>
      </c>
      <c r="L303" s="1699">
        <f t="shared" si="23"/>
        <v>100000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96102</v>
      </c>
      <c r="H312" s="1692">
        <f>SUM(H303,H310)</f>
        <v>0</v>
      </c>
      <c r="I312" s="1692">
        <f>SUM(I303)</f>
        <v>0</v>
      </c>
      <c r="J312" s="1692">
        <f>SUM(J303)</f>
        <v>0</v>
      </c>
      <c r="K312" s="1692">
        <f>SUM(K303,K310,K311)</f>
        <v>96102</v>
      </c>
      <c r="L312" s="1692">
        <f>SUM(L303,L310,L311)</f>
        <v>100000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284400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1905</v>
      </c>
      <c r="B320" s="699" t="s">
        <v>300</v>
      </c>
      <c r="C320" s="467"/>
      <c r="D320" s="467"/>
      <c r="E320" s="467">
        <v>254019</v>
      </c>
      <c r="F320" s="467"/>
      <c r="G320" s="467"/>
      <c r="H320" s="467"/>
      <c r="I320" s="467"/>
      <c r="J320" s="467"/>
      <c r="K320" s="1693">
        <f t="shared" ref="K320:K327" si="24">SUM(C320:J320)</f>
        <v>254019</v>
      </c>
      <c r="L320" s="467">
        <v>169000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1000</v>
      </c>
      <c r="M321" s="666"/>
      <c r="N321" s="666"/>
    </row>
    <row r="322" spans="1:14" s="675" customFormat="1" x14ac:dyDescent="0.2">
      <c r="A322" s="1541" t="s">
        <v>256</v>
      </c>
      <c r="B322" s="698" t="s">
        <v>302</v>
      </c>
      <c r="C322" s="467"/>
      <c r="D322" s="467"/>
      <c r="E322" s="467">
        <f>294155+10909-1</f>
        <v>305063</v>
      </c>
      <c r="F322" s="467"/>
      <c r="G322" s="467"/>
      <c r="H322" s="467"/>
      <c r="I322" s="467"/>
      <c r="J322" s="467"/>
      <c r="K322" s="1693">
        <f t="shared" si="24"/>
        <v>305063</v>
      </c>
      <c r="L322" s="467">
        <v>147500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500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74473</v>
      </c>
      <c r="D325" s="467">
        <v>13216</v>
      </c>
      <c r="E325" s="467">
        <f>2090+2453+3135+5785+2870+5723</f>
        <v>22056</v>
      </c>
      <c r="F325" s="467">
        <v>23853</v>
      </c>
      <c r="G325" s="467"/>
      <c r="H325" s="467">
        <v>14580</v>
      </c>
      <c r="I325" s="467"/>
      <c r="J325" s="467"/>
      <c r="K325" s="1693">
        <f t="shared" si="24"/>
        <v>148178</v>
      </c>
      <c r="L325" s="467">
        <v>85770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31345</v>
      </c>
      <c r="F327" s="467"/>
      <c r="G327" s="467"/>
      <c r="H327" s="467"/>
      <c r="I327" s="467"/>
      <c r="J327" s="467"/>
      <c r="K327" s="1693">
        <f t="shared" si="24"/>
        <v>31345</v>
      </c>
      <c r="L327" s="467">
        <v>58500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74473</v>
      </c>
      <c r="D330" s="1692">
        <f t="shared" ref="D330:J330" si="25">SUM(D319:D329)</f>
        <v>13216</v>
      </c>
      <c r="E330" s="1692">
        <f t="shared" si="25"/>
        <v>612483</v>
      </c>
      <c r="F330" s="1692">
        <f t="shared" si="25"/>
        <v>23853</v>
      </c>
      <c r="G330" s="1692">
        <f t="shared" si="25"/>
        <v>0</v>
      </c>
      <c r="H330" s="1692">
        <f t="shared" si="25"/>
        <v>14580</v>
      </c>
      <c r="I330" s="1692">
        <f t="shared" si="25"/>
        <v>0</v>
      </c>
      <c r="J330" s="1692">
        <f t="shared" si="25"/>
        <v>0</v>
      </c>
      <c r="K330" s="1692">
        <f>SUM(K319:K329)</f>
        <v>738605</v>
      </c>
      <c r="L330" s="1692">
        <f>SUM(L319:L329)</f>
        <v>462270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74473</v>
      </c>
      <c r="D342" s="1692">
        <f>SUM(D330)</f>
        <v>13216</v>
      </c>
      <c r="E342" s="1692">
        <f>SUM(E330)</f>
        <v>612483</v>
      </c>
      <c r="F342" s="1692">
        <f>SUM(F330)</f>
        <v>23853</v>
      </c>
      <c r="G342" s="1692">
        <f>SUM(G330)</f>
        <v>0</v>
      </c>
      <c r="H342" s="1692">
        <f>SUM(H330,H334,H340)</f>
        <v>14580</v>
      </c>
      <c r="I342" s="1692">
        <f>SUM(I330)</f>
        <v>0</v>
      </c>
      <c r="J342" s="1692">
        <f>SUM(J330)</f>
        <v>0</v>
      </c>
      <c r="K342" s="1692">
        <f>SUM(K330,K334,K340)</f>
        <v>738605</v>
      </c>
      <c r="L342" s="1699">
        <f>SUM(L330,L340,L341)</f>
        <v>462270</v>
      </c>
    </row>
    <row r="343" spans="1:14" ht="12.75" customHeight="1" thickTop="1" x14ac:dyDescent="0.2">
      <c r="A343" s="2184" t="s">
        <v>1053</v>
      </c>
      <c r="B343" s="2185"/>
      <c r="C343" s="617"/>
      <c r="D343" s="617"/>
      <c r="E343" s="617"/>
      <c r="F343" s="617"/>
      <c r="G343" s="617"/>
      <c r="H343" s="617"/>
      <c r="I343" s="617"/>
      <c r="J343" s="617"/>
      <c r="K343" s="1706">
        <f>'Revenues 9-14'!J275-'Expenditures 15-22'!K342</f>
        <v>-170043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1351673</v>
      </c>
      <c r="F348" s="466">
        <v>9737</v>
      </c>
      <c r="G348" s="466"/>
      <c r="H348" s="466"/>
      <c r="I348" s="467"/>
      <c r="J348" s="467"/>
      <c r="K348" s="1693">
        <f>SUM(C348:J348)</f>
        <v>1361410</v>
      </c>
      <c r="L348" s="466">
        <v>860000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1351673</v>
      </c>
      <c r="F350" s="1692">
        <f t="shared" si="26"/>
        <v>9737</v>
      </c>
      <c r="G350" s="1692">
        <f t="shared" si="26"/>
        <v>0</v>
      </c>
      <c r="H350" s="1692">
        <f t="shared" si="26"/>
        <v>0</v>
      </c>
      <c r="I350" s="1692">
        <f t="shared" si="26"/>
        <v>0</v>
      </c>
      <c r="J350" s="1692">
        <f t="shared" si="26"/>
        <v>0</v>
      </c>
      <c r="K350" s="1692">
        <f t="shared" si="26"/>
        <v>1361410</v>
      </c>
      <c r="L350" s="1692">
        <f t="shared" si="26"/>
        <v>860000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1351673</v>
      </c>
      <c r="F352" s="1692">
        <f t="shared" si="27"/>
        <v>9737</v>
      </c>
      <c r="G352" s="1692">
        <f t="shared" si="27"/>
        <v>0</v>
      </c>
      <c r="H352" s="1692">
        <f t="shared" si="27"/>
        <v>0</v>
      </c>
      <c r="I352" s="1692">
        <f t="shared" si="27"/>
        <v>0</v>
      </c>
      <c r="J352" s="1692">
        <f t="shared" si="27"/>
        <v>0</v>
      </c>
      <c r="K352" s="1692">
        <f t="shared" si="27"/>
        <v>1361410</v>
      </c>
      <c r="L352" s="1692">
        <f t="shared" si="27"/>
        <v>860000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v>0</v>
      </c>
    </row>
    <row r="355" spans="1:14" ht="12.75" customHeight="1" x14ac:dyDescent="0.2">
      <c r="A355" s="1535" t="s">
        <v>1963</v>
      </c>
      <c r="B355" s="691" t="s">
        <v>1956</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5238</v>
      </c>
      <c r="I363" s="639"/>
      <c r="J363" s="639"/>
      <c r="K363" s="1721">
        <f>SUM(C363:J363)</f>
        <v>5238</v>
      </c>
      <c r="L363" s="479">
        <v>0</v>
      </c>
      <c r="M363" s="666"/>
      <c r="N363" s="666"/>
    </row>
    <row r="364" spans="1:14" s="709" customFormat="1" ht="29.25" customHeight="1" x14ac:dyDescent="0.2">
      <c r="A364" s="703" t="s">
        <v>1771</v>
      </c>
      <c r="B364" s="704">
        <v>5300</v>
      </c>
      <c r="C364" s="705"/>
      <c r="D364" s="706"/>
      <c r="E364" s="706"/>
      <c r="F364" s="705"/>
      <c r="G364" s="706"/>
      <c r="H364" s="707">
        <v>120000</v>
      </c>
      <c r="I364" s="706"/>
      <c r="J364" s="706"/>
      <c r="K364" s="1693">
        <f>SUM(C364:J364)</f>
        <v>120000</v>
      </c>
      <c r="L364" s="708">
        <v>0</v>
      </c>
    </row>
    <row r="365" spans="1:14" s="675" customFormat="1" ht="12.75" customHeight="1" thickBot="1" x14ac:dyDescent="0.25">
      <c r="A365" s="1543" t="s">
        <v>611</v>
      </c>
      <c r="B365" s="660" t="s">
        <v>513</v>
      </c>
      <c r="C365" s="639"/>
      <c r="D365" s="639"/>
      <c r="E365" s="639"/>
      <c r="F365" s="639"/>
      <c r="G365" s="639"/>
      <c r="H365" s="1725">
        <f>SUM(H362,H363,H364)</f>
        <v>125238</v>
      </c>
      <c r="I365" s="639"/>
      <c r="J365" s="639"/>
      <c r="K365" s="1725">
        <f>SUM(K362,K363,K364)</f>
        <v>125238</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1351673</v>
      </c>
      <c r="F367" s="1692">
        <f t="shared" si="28"/>
        <v>9737</v>
      </c>
      <c r="G367" s="1692">
        <f t="shared" si="28"/>
        <v>0</v>
      </c>
      <c r="H367" s="1692">
        <f t="shared" si="28"/>
        <v>125238</v>
      </c>
      <c r="I367" s="1692">
        <f t="shared" si="28"/>
        <v>0</v>
      </c>
      <c r="J367" s="1692">
        <f t="shared" si="28"/>
        <v>0</v>
      </c>
      <c r="K367" s="1692">
        <f t="shared" si="28"/>
        <v>1486648</v>
      </c>
      <c r="L367" s="1692">
        <f t="shared" si="28"/>
        <v>860000</v>
      </c>
    </row>
    <row r="368" spans="1:14" ht="13.5" thickTop="1" x14ac:dyDescent="0.2">
      <c r="A368" s="2171" t="s">
        <v>1053</v>
      </c>
      <c r="B368" s="2172"/>
      <c r="C368" s="655"/>
      <c r="D368" s="655"/>
      <c r="E368" s="627"/>
      <c r="F368" s="627"/>
      <c r="G368" s="627"/>
      <c r="H368" s="627"/>
      <c r="I368" s="627"/>
      <c r="J368" s="624"/>
      <c r="K368" s="1693">
        <f>'Revenues 9-14'!K275-'Expenditures 15-22'!K367</f>
        <v>-1423178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14F8B6-F742-48D8-9F13-1076A7DC5E6F}">
  <ds:schemaRefs>
    <ds:schemaRef ds:uri="http://purl.org/dc/elements/1.1/"/>
    <ds:schemaRef ds:uri="6ce3111e-7420-4802-b50a-75d4e9a0b980"/>
    <ds:schemaRef ds:uri="http://schemas.microsoft.com/sharepoint/v3"/>
    <ds:schemaRef ds:uri="http://www.w3.org/XML/1998/namespace"/>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 SEFA (5)</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2018-10-02T16:31:07Z</cp:lastPrinted>
  <dcterms:created xsi:type="dcterms:W3CDTF">2003-10-29T19:06:34Z</dcterms:created>
  <dcterms:modified xsi:type="dcterms:W3CDTF">2018-11-14T17:02:06Z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