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0490" windowHeight="7545" tabRatio="836"/>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86" r:id="rId29"/>
    <sheet name=" SEFA (2)" sheetId="183" r:id="rId30"/>
    <sheet name=" SEFA (3)" sheetId="184" r:id="rId31"/>
    <sheet name=" SEFA (4)" sheetId="185" r:id="rId32"/>
    <sheet name=" SEFA (5)" sheetId="179" r:id="rId33"/>
    <sheet name="SF&amp;QC Sec-1" sheetId="174" r:id="rId34"/>
    <sheet name="SF&amp;QC Sec-2" sheetId="175" r:id="rId35"/>
    <sheet name="SF&amp;QC Sec-3" sheetId="176" r:id="rId36"/>
    <sheet name="SSPAF" sheetId="177" r:id="rId37"/>
  </sheets>
  <definedNames>
    <definedName name="_xlnm.Print_Area" localSheetId="28">' SEFA'!$B$1:$M$46</definedName>
    <definedName name="_xlnm.Print_Area" localSheetId="29">' SEFA (2)'!$B$1:$M$46</definedName>
    <definedName name="_xlnm.Print_Area" localSheetId="30">' SEFA (3)'!$B$1:$M$46</definedName>
    <definedName name="_xlnm.Print_Area" localSheetId="31">' SEFA (4)'!$B$1:$M$46</definedName>
    <definedName name="_xlnm.Print_Area" localSheetId="32">' SEFA (5)'!$B$1:$M$46</definedName>
    <definedName name="_xlnm.Print_Area" localSheetId="27">'SEFA NOTES'!$A$1:$F$52</definedName>
    <definedName name="_xlnm.Print_Area" localSheetId="26">'SEFA Reconcile'!$A$1:$E$49</definedName>
    <definedName name="_xlnm.Print_Area" localSheetId="33">'SF&amp;QC Sec-1'!$A$1:$J$63</definedName>
    <definedName name="_xlnm.Print_Area" localSheetId="35">'SF&amp;QC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30">#REF!</definedName>
    <definedName name="SCHADDRS" localSheetId="31">#REF!</definedName>
    <definedName name="SCHADDRS" localSheetId="32">#REF!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3">#REF!</definedName>
    <definedName name="SCHADDRS" localSheetId="34">#REF!</definedName>
    <definedName name="SCHADDRS" localSheetId="35">#REF!</definedName>
    <definedName name="SCHADDRS" localSheetId="25">#REF!</definedName>
    <definedName name="SCHADDRS" localSheetId="24">#REF!</definedName>
    <definedName name="SCHADDRS" localSheetId="36">#REF!</definedName>
    <definedName name="SCHADDRS">#REF!</definedName>
    <definedName name="SCHCTY" localSheetId="28">#REF!</definedName>
    <definedName name="SCHCTY" localSheetId="29">#REF!</definedName>
    <definedName name="SCHCTY" localSheetId="30">#REF!</definedName>
    <definedName name="SCHCTY" localSheetId="31">#REF!</definedName>
    <definedName name="SCHCTY" localSheetId="32">#REF!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3">#REF!</definedName>
    <definedName name="SCHCTY" localSheetId="34">#REF!</definedName>
    <definedName name="SCHCTY" localSheetId="35">#REF!</definedName>
    <definedName name="SCHCTY" localSheetId="25">#REF!</definedName>
    <definedName name="SCHCTY" localSheetId="24">#REF!</definedName>
    <definedName name="SCHCTY" localSheetId="36">#REF!</definedName>
    <definedName name="SCHCTY">#REF!</definedName>
    <definedName name="SCHNMBR" localSheetId="28">#REF!</definedName>
    <definedName name="SCHNMBR" localSheetId="29">#REF!</definedName>
    <definedName name="SCHNMBR" localSheetId="30">#REF!</definedName>
    <definedName name="SCHNMBR" localSheetId="31">#REF!</definedName>
    <definedName name="SCHNMBR" localSheetId="32">#REF!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3">#REF!</definedName>
    <definedName name="SCHNMBR" localSheetId="34">#REF!</definedName>
    <definedName name="SCHNMBR" localSheetId="35">#REF!</definedName>
    <definedName name="SCHNMBR" localSheetId="25">#REF!</definedName>
    <definedName name="SCHNMBR" localSheetId="24">#REF!</definedName>
    <definedName name="SCHNMBR" localSheetId="36">#REF!</definedName>
    <definedName name="SCHNMBR">#REF!</definedName>
    <definedName name="SCHNME" localSheetId="28">#REF!</definedName>
    <definedName name="SCHNME" localSheetId="29">#REF!</definedName>
    <definedName name="SCHNME" localSheetId="30">#REF!</definedName>
    <definedName name="SCHNME" localSheetId="31">#REF!</definedName>
    <definedName name="SCHNME" localSheetId="32">#REF!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3">#REF!</definedName>
    <definedName name="SCHNME" localSheetId="34">#REF!</definedName>
    <definedName name="SCHNME" localSheetId="35">#REF!</definedName>
    <definedName name="SCHNME" localSheetId="25">#REF!</definedName>
    <definedName name="SCHNME" localSheetId="24">#REF!</definedName>
    <definedName name="SCHNME" localSheetId="36">#REF!</definedName>
    <definedName name="SCHNME">#REF!</definedName>
    <definedName name="SUPT" localSheetId="28">#REF!</definedName>
    <definedName name="SUPT" localSheetId="29">#REF!</definedName>
    <definedName name="SUPT" localSheetId="30">#REF!</definedName>
    <definedName name="SUPT" localSheetId="31">#REF!</definedName>
    <definedName name="SUPT" localSheetId="32">#REF!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3">#REF!</definedName>
    <definedName name="SUPT" localSheetId="34">#REF!</definedName>
    <definedName name="SUPT" localSheetId="35">#REF!</definedName>
    <definedName name="SUPT" localSheetId="25">#REF!</definedName>
    <definedName name="SUPT" localSheetId="24">#REF!</definedName>
    <definedName name="SUPT" localSheetId="36">#REF!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2" i="8" l="1"/>
  <c r="F151" i="5" l="1"/>
  <c r="D45" i="174" l="1"/>
  <c r="C271" i="5"/>
  <c r="C270" i="5"/>
  <c r="D35" i="171"/>
  <c r="K27" i="179"/>
  <c r="J27" i="179"/>
  <c r="I27" i="179"/>
  <c r="H27" i="179"/>
  <c r="G27" i="179"/>
  <c r="F27" i="179"/>
  <c r="E27" i="179"/>
  <c r="K20" i="185"/>
  <c r="J20" i="185"/>
  <c r="I20" i="185"/>
  <c r="H20" i="185"/>
  <c r="G20" i="185"/>
  <c r="F20" i="185"/>
  <c r="E20" i="185"/>
  <c r="K16" i="185"/>
  <c r="J16" i="185"/>
  <c r="I16" i="185"/>
  <c r="H16" i="185"/>
  <c r="G16" i="185"/>
  <c r="F16" i="185"/>
  <c r="E16" i="185"/>
  <c r="K15" i="179"/>
  <c r="J15" i="179"/>
  <c r="I15" i="179"/>
  <c r="H15" i="179"/>
  <c r="G15" i="179"/>
  <c r="F15" i="179"/>
  <c r="K13" i="179"/>
  <c r="J13" i="179"/>
  <c r="I13" i="179"/>
  <c r="H13" i="179"/>
  <c r="G13" i="179"/>
  <c r="F13" i="179"/>
  <c r="E15" i="179"/>
  <c r="E13" i="179"/>
  <c r="K27" i="185"/>
  <c r="K17" i="179" s="1"/>
  <c r="H27" i="185"/>
  <c r="H17" i="179" s="1"/>
  <c r="G27" i="185"/>
  <c r="G17" i="179" s="1"/>
  <c r="E27" i="185"/>
  <c r="E17" i="179" s="1"/>
  <c r="K27" i="184"/>
  <c r="J27" i="184"/>
  <c r="I27" i="184"/>
  <c r="L27" i="184" s="1"/>
  <c r="H27" i="184"/>
  <c r="G27" i="184"/>
  <c r="F27" i="184"/>
  <c r="E27" i="184"/>
  <c r="K27" i="183"/>
  <c r="J27" i="183"/>
  <c r="I27" i="183"/>
  <c r="H27" i="183"/>
  <c r="G27" i="183"/>
  <c r="F27" i="183"/>
  <c r="E27" i="183"/>
  <c r="K27" i="186"/>
  <c r="J27" i="186"/>
  <c r="I27" i="186"/>
  <c r="L27" i="186" s="1"/>
  <c r="H27" i="186"/>
  <c r="G27" i="186"/>
  <c r="F27" i="186"/>
  <c r="E27" i="186"/>
  <c r="L26" i="186"/>
  <c r="L25" i="186"/>
  <c r="L24" i="186"/>
  <c r="L23" i="186"/>
  <c r="L22" i="186"/>
  <c r="L21" i="186"/>
  <c r="L20" i="186"/>
  <c r="L19" i="186"/>
  <c r="L18" i="186"/>
  <c r="L17" i="186"/>
  <c r="L16" i="186"/>
  <c r="L15" i="186"/>
  <c r="L14" i="186"/>
  <c r="L13" i="186"/>
  <c r="L12" i="186"/>
  <c r="L11" i="186"/>
  <c r="B4" i="186"/>
  <c r="L26" i="185"/>
  <c r="L25" i="185"/>
  <c r="L24" i="185"/>
  <c r="L23" i="185"/>
  <c r="L22" i="185"/>
  <c r="L21" i="185"/>
  <c r="L20" i="185"/>
  <c r="L19" i="185"/>
  <c r="L18" i="185"/>
  <c r="L17" i="185"/>
  <c r="L15" i="185"/>
  <c r="L14" i="185"/>
  <c r="L13" i="185"/>
  <c r="L12" i="185"/>
  <c r="L11" i="185"/>
  <c r="B4" i="185"/>
  <c r="L26" i="184"/>
  <c r="L25" i="184"/>
  <c r="L24" i="184"/>
  <c r="L23" i="184"/>
  <c r="L22" i="184"/>
  <c r="L21" i="184"/>
  <c r="L20" i="184"/>
  <c r="L19" i="184"/>
  <c r="L18" i="184"/>
  <c r="L17" i="184"/>
  <c r="L16" i="184"/>
  <c r="L15" i="184"/>
  <c r="L14" i="184"/>
  <c r="L13" i="184"/>
  <c r="L12" i="184"/>
  <c r="L11" i="184"/>
  <c r="B4" i="184"/>
  <c r="L26" i="183"/>
  <c r="L25" i="183"/>
  <c r="L24" i="183"/>
  <c r="L23" i="183"/>
  <c r="L22" i="183"/>
  <c r="L21" i="183"/>
  <c r="L20" i="183"/>
  <c r="L19" i="183"/>
  <c r="L18" i="183"/>
  <c r="L17" i="183"/>
  <c r="L16" i="183"/>
  <c r="L15" i="183"/>
  <c r="L14" i="183"/>
  <c r="L13" i="183"/>
  <c r="L12" i="183"/>
  <c r="L11" i="183"/>
  <c r="B4" i="183"/>
  <c r="I27" i="185" l="1"/>
  <c r="L27" i="185" s="1"/>
  <c r="F27" i="185"/>
  <c r="F17" i="179" s="1"/>
  <c r="J27" i="185"/>
  <c r="J17" i="179" s="1"/>
  <c r="I17" i="179"/>
  <c r="L16" i="185"/>
  <c r="L27" i="183"/>
  <c r="M19" i="3" l="1"/>
  <c r="E10" i="108"/>
  <c r="E4" i="7" l="1"/>
  <c r="E16" i="7"/>
  <c r="E14" i="7"/>
  <c r="E12" i="7"/>
  <c r="E11" i="7"/>
  <c r="E10" i="7"/>
  <c r="E8" i="7"/>
  <c r="E7" i="7"/>
  <c r="E6" i="7"/>
  <c r="E5" i="7"/>
  <c r="J65" i="5"/>
  <c r="E321" i="29"/>
  <c r="I65" i="5"/>
  <c r="G301" i="29"/>
  <c r="D264" i="29"/>
  <c r="D280" i="29"/>
  <c r="D268" i="29"/>
  <c r="D267" i="29"/>
  <c r="D266" i="29"/>
  <c r="D259" i="29"/>
  <c r="D246" i="29"/>
  <c r="D245" i="29"/>
  <c r="D241" i="29"/>
  <c r="D240" i="29"/>
  <c r="D234" i="29"/>
  <c r="D223" i="29"/>
  <c r="D219" i="29"/>
  <c r="D217" i="29"/>
  <c r="D215" i="29"/>
  <c r="D216" i="29"/>
  <c r="C182" i="29"/>
  <c r="F182" i="29"/>
  <c r="D182" i="29"/>
  <c r="E182" i="29"/>
  <c r="E65" i="5"/>
  <c r="D65" i="5"/>
  <c r="G124" i="29"/>
  <c r="F124" i="29"/>
  <c r="E124" i="29"/>
  <c r="D124" i="29"/>
  <c r="C124" i="29"/>
  <c r="C65" i="5"/>
  <c r="E79" i="29"/>
  <c r="F75" i="29"/>
  <c r="E75" i="29"/>
  <c r="D75" i="29"/>
  <c r="C75" i="29"/>
  <c r="G63" i="29"/>
  <c r="F63" i="29"/>
  <c r="E63" i="29"/>
  <c r="D63" i="29"/>
  <c r="C63" i="29"/>
  <c r="H60" i="29"/>
  <c r="F60" i="29"/>
  <c r="E60" i="29"/>
  <c r="D60" i="29"/>
  <c r="E55" i="29"/>
  <c r="D55" i="29"/>
  <c r="F50" i="29"/>
  <c r="D50" i="29"/>
  <c r="E49" i="29"/>
  <c r="C49" i="29"/>
  <c r="E44" i="29"/>
  <c r="C44" i="29"/>
  <c r="E38" i="29"/>
  <c r="D37" i="29"/>
  <c r="F14" i="29"/>
  <c r="H14" i="29"/>
  <c r="E14" i="29"/>
  <c r="D14" i="29"/>
  <c r="C14" i="29"/>
  <c r="F13" i="29"/>
  <c r="E13" i="29"/>
  <c r="D13" i="29"/>
  <c r="D10" i="29"/>
  <c r="D8" i="29"/>
  <c r="C8" i="29"/>
  <c r="F5" i="29"/>
  <c r="H5" i="29"/>
  <c r="E5" i="29"/>
  <c r="D5" i="29"/>
  <c r="C5" i="29"/>
  <c r="D7" i="29"/>
  <c r="C7" i="29"/>
  <c r="C79" i="5"/>
  <c r="L10" i="37"/>
  <c r="H10" i="37"/>
  <c r="F10" i="37"/>
  <c r="D10" i="37"/>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5" l="1"/>
  <c r="B1" i="184"/>
  <c r="B1" i="186"/>
  <c r="B1" i="183"/>
  <c r="B2" i="179"/>
  <c r="B2" i="184"/>
  <c r="B2" i="186"/>
  <c r="B2" i="185"/>
  <c r="B2" i="183"/>
  <c r="A2" i="170"/>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B7764" i="106"/>
  <c r="J85" i="28"/>
  <c r="B7758" i="106" s="1"/>
  <c r="D7758" i="106" s="1"/>
  <c r="J88" i="28"/>
  <c r="K6" i="29"/>
  <c r="B7763" i="106" s="1"/>
  <c r="B7762" i="106"/>
  <c r="K12" i="12"/>
  <c r="K23" i="12"/>
  <c r="K24" i="12" s="1"/>
  <c r="J12" i="12"/>
  <c r="B7718" i="106" s="1"/>
  <c r="D7718" i="106" s="1"/>
  <c r="J21" i="12"/>
  <c r="J23" i="12" s="1"/>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K185" i="29"/>
  <c r="K122" i="29"/>
  <c r="F15" i="145" s="1"/>
  <c r="F19" i="145" s="1"/>
  <c r="K67" i="29"/>
  <c r="K64" i="29"/>
  <c r="K59" i="29"/>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K93" i="29"/>
  <c r="K94" i="29"/>
  <c r="K95" i="29"/>
  <c r="B7001" i="106" s="1"/>
  <c r="D7001" i="106" s="1"/>
  <c r="K96" i="29"/>
  <c r="K97" i="29"/>
  <c r="K98" i="29"/>
  <c r="K99" i="29"/>
  <c r="K101" i="29"/>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K191" i="29"/>
  <c r="B3010" i="106" s="1"/>
  <c r="D3010" i="106" s="1"/>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B7084" i="106" s="1"/>
  <c r="D7084" i="106" s="1"/>
  <c r="K250" i="29"/>
  <c r="K251" i="29"/>
  <c r="K252" i="29"/>
  <c r="K253" i="29"/>
  <c r="B7092" i="106" s="1"/>
  <c r="D7092" i="106" s="1"/>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H44"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G352" i="29"/>
  <c r="D3651" i="106"/>
  <c r="B3652" i="106"/>
  <c r="D3652" i="106" s="1"/>
  <c r="B3653" i="106"/>
  <c r="D3653" i="106" s="1"/>
  <c r="H350" i="29"/>
  <c r="B3654" i="106" s="1"/>
  <c r="D3654" i="106" s="1"/>
  <c r="B3655" i="106"/>
  <c r="D3655" i="106" s="1"/>
  <c r="B3657" i="106"/>
  <c r="D3657" i="106" s="1"/>
  <c r="H362" i="29"/>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c r="B5100" i="106"/>
  <c r="D5100" i="106" s="1"/>
  <c r="B5101" i="106"/>
  <c r="D5101" i="106" s="1"/>
  <c r="B5103" i="106"/>
  <c r="D5103" i="106" s="1"/>
  <c r="B5104" i="106"/>
  <c r="D5104" i="106"/>
  <c r="B5105" i="106"/>
  <c r="D5105" i="106" s="1"/>
  <c r="B5106" i="106"/>
  <c r="D5106" i="106" s="1"/>
  <c r="B5107" i="106"/>
  <c r="D5107" i="106" s="1"/>
  <c r="B5108" i="106"/>
  <c r="D5108" i="106"/>
  <c r="B5109" i="106"/>
  <c r="D5109" i="106" s="1"/>
  <c r="B5110" i="106"/>
  <c r="D5110" i="106" s="1"/>
  <c r="B5111" i="106"/>
  <c r="D5111" i="106" s="1"/>
  <c r="B5113" i="106"/>
  <c r="D5113" i="106" s="1"/>
  <c r="B5114" i="106"/>
  <c r="D5114" i="106" s="1"/>
  <c r="B5115" i="106"/>
  <c r="D5115" i="106"/>
  <c r="B5116" i="106"/>
  <c r="D5116" i="106" s="1"/>
  <c r="B5117" i="106"/>
  <c r="D5117" i="106" s="1"/>
  <c r="B5118" i="106"/>
  <c r="D5118" i="106" s="1"/>
  <c r="B5119" i="106"/>
  <c r="D5119" i="106"/>
  <c r="B5122" i="106"/>
  <c r="D5122" i="106" s="1"/>
  <c r="B5123" i="106"/>
  <c r="D5123" i="106" s="1"/>
  <c r="B5124" i="106"/>
  <c r="D5124" i="106" s="1"/>
  <c r="B5126" i="106"/>
  <c r="D5126" i="106"/>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c r="B5243" i="106"/>
  <c r="D5243" i="106" s="1"/>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7" i="106"/>
  <c r="D6287"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c r="B6303" i="106"/>
  <c r="D6303" i="106" s="1"/>
  <c r="B6304" i="106"/>
  <c r="D6304" i="106" s="1"/>
  <c r="B6305" i="106"/>
  <c r="D6305" i="106" s="1"/>
  <c r="B6307" i="106"/>
  <c r="D6307" i="106"/>
  <c r="B6308" i="106"/>
  <c r="D6308" i="106" s="1"/>
  <c r="B6309" i="106"/>
  <c r="D6309" i="106" s="1"/>
  <c r="B6310" i="106"/>
  <c r="D6310" i="106" s="1"/>
  <c r="B6311" i="106"/>
  <c r="D6311" i="106"/>
  <c r="B6312" i="106"/>
  <c r="D6312" i="106" s="1"/>
  <c r="B6313" i="106"/>
  <c r="D6313" i="106" s="1"/>
  <c r="B6314" i="106"/>
  <c r="D6314" i="106" s="1"/>
  <c r="B6315" i="106"/>
  <c r="D6315" i="106"/>
  <c r="B6316" i="106"/>
  <c r="D6316" i="106" s="1"/>
  <c r="B6317" i="106"/>
  <c r="D6317" i="106" s="1"/>
  <c r="B6319" i="106"/>
  <c r="D6319" i="106" s="1"/>
  <c r="B6320" i="106"/>
  <c r="D6320" i="106"/>
  <c r="B6321" i="106"/>
  <c r="D6321" i="106" s="1"/>
  <c r="B6322" i="106"/>
  <c r="D6322" i="106" s="1"/>
  <c r="B6323" i="106"/>
  <c r="D6323" i="106" s="1"/>
  <c r="B6324" i="106"/>
  <c r="D6324" i="106"/>
  <c r="B6325" i="106"/>
  <c r="D6325" i="106" s="1"/>
  <c r="B6326" i="106"/>
  <c r="D6326" i="106" s="1"/>
  <c r="B6327" i="106"/>
  <c r="D6327" i="106" s="1"/>
  <c r="B6328" i="106"/>
  <c r="D6328" i="106"/>
  <c r="B6329" i="106"/>
  <c r="D6329" i="106" s="1"/>
  <c r="B6330" i="106"/>
  <c r="D6330" i="106" s="1"/>
  <c r="B6331" i="106"/>
  <c r="D6331" i="106" s="1"/>
  <c r="B6332" i="106"/>
  <c r="D6332" i="106"/>
  <c r="B6333" i="106"/>
  <c r="D6333" i="106" s="1"/>
  <c r="B6334" i="106"/>
  <c r="D6334" i="106" s="1"/>
  <c r="B6335" i="106"/>
  <c r="D6335" i="106" s="1"/>
  <c r="B6336" i="106"/>
  <c r="D6336" i="106"/>
  <c r="B6337" i="106"/>
  <c r="D6337" i="106" s="1"/>
  <c r="B6338" i="106"/>
  <c r="D6338" i="106" s="1"/>
  <c r="B6339" i="106"/>
  <c r="D6339" i="106" s="1"/>
  <c r="B6340" i="106"/>
  <c r="D6340" i="106"/>
  <c r="B6341" i="106"/>
  <c r="D6341" i="106" s="1"/>
  <c r="B6342" i="106"/>
  <c r="D6342" i="106" s="1"/>
  <c r="B6343" i="106"/>
  <c r="D6343" i="106" s="1"/>
  <c r="B6344" i="106"/>
  <c r="D6344" i="106" s="1"/>
  <c r="B6345" i="106"/>
  <c r="D6345" i="106" s="1"/>
  <c r="B6346" i="106"/>
  <c r="D6346" i="106"/>
  <c r="B6347" i="106"/>
  <c r="D6347" i="106" s="1"/>
  <c r="B6348" i="106"/>
  <c r="D6348" i="106" s="1"/>
  <c r="B6349" i="106"/>
  <c r="D6349" i="106" s="1"/>
  <c r="B6350" i="106"/>
  <c r="D6350" i="106" s="1"/>
  <c r="B6353" i="106"/>
  <c r="D6353" i="106" s="1"/>
  <c r="B6354" i="106"/>
  <c r="D6354" i="106" s="1"/>
  <c r="B6355" i="106"/>
  <c r="D6355" i="106" s="1"/>
  <c r="B6356" i="106"/>
  <c r="D6356" i="106"/>
  <c r="B6358" i="106"/>
  <c r="D6358" i="106" s="1"/>
  <c r="B6359" i="106"/>
  <c r="D6359" i="106" s="1"/>
  <c r="B6360" i="106"/>
  <c r="D6360" i="106" s="1"/>
  <c r="B6361" i="106"/>
  <c r="D6361" i="106" s="1"/>
  <c r="B6362" i="106"/>
  <c r="D6362" i="106" s="1"/>
  <c r="B6363" i="106"/>
  <c r="D6363" i="106" s="1"/>
  <c r="B6364" i="106"/>
  <c r="D6364" i="106" s="1"/>
  <c r="B6365" i="106"/>
  <c r="D6365" i="106"/>
  <c r="B6366" i="106"/>
  <c r="D6366" i="106" s="1"/>
  <c r="B6367" i="106"/>
  <c r="D6367" i="106" s="1"/>
  <c r="B6368" i="106"/>
  <c r="D6368" i="106" s="1"/>
  <c r="B6369" i="106"/>
  <c r="D6369" i="106" s="1"/>
  <c r="B6370" i="106"/>
  <c r="D6370" i="106" s="1"/>
  <c r="B6371" i="106"/>
  <c r="D6371" i="106" s="1"/>
  <c r="B6372" i="106"/>
  <c r="D6372" i="106" s="1"/>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2" i="106"/>
  <c r="D7082" i="106" s="1"/>
  <c r="B7083" i="106"/>
  <c r="D7083" i="106" s="1"/>
  <c r="B7085" i="106"/>
  <c r="D7085" i="106" s="1"/>
  <c r="B7086" i="106"/>
  <c r="D7086" i="106" s="1"/>
  <c r="B7087" i="106"/>
  <c r="D7087" i="106" s="1"/>
  <c r="B7088" i="106"/>
  <c r="D7088" i="106" s="1"/>
  <c r="B7089" i="106"/>
  <c r="D7089" i="106" s="1"/>
  <c r="B7090" i="106"/>
  <c r="D7090" i="106" s="1"/>
  <c r="B7091" i="106"/>
  <c r="D7091"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E26" i="108"/>
  <c r="F26" i="108"/>
  <c r="G26" i="108"/>
  <c r="E27" i="108"/>
  <c r="G27" i="108"/>
  <c r="F31" i="108"/>
  <c r="F36" i="108"/>
  <c r="F37" i="108"/>
  <c r="G28" i="108"/>
  <c r="E29" i="108"/>
  <c r="G30" i="108"/>
  <c r="D31" i="108"/>
  <c r="D36" i="108"/>
  <c r="D37" i="108"/>
  <c r="E31" i="108"/>
  <c r="G31" i="108"/>
  <c r="E33" i="108"/>
  <c r="G33" i="108"/>
  <c r="E34" i="108"/>
  <c r="G34" i="108"/>
  <c r="E35" i="108"/>
  <c r="G35"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C37" i="34"/>
  <c r="D37" i="34"/>
  <c r="F37" i="34"/>
  <c r="C38" i="34"/>
  <c r="D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C63" i="34"/>
  <c r="D63" i="34"/>
  <c r="C64" i="34"/>
  <c r="F64" i="34"/>
  <c r="F66" i="34"/>
  <c r="C67" i="34"/>
  <c r="D67" i="34"/>
  <c r="F67" i="34"/>
  <c r="C68" i="34"/>
  <c r="D68" i="34"/>
  <c r="F68" i="34"/>
  <c r="C69" i="34"/>
  <c r="D69" i="34"/>
  <c r="F69" i="34"/>
  <c r="C70" i="34"/>
  <c r="D70" i="34"/>
  <c r="F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E109" i="5"/>
  <c r="E4" i="4" s="1"/>
  <c r="B2630" i="106" s="1"/>
  <c r="D26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c r="D5748" i="106" s="1"/>
  <c r="H121" i="5"/>
  <c r="B5893" i="106" s="1"/>
  <c r="D5893" i="106" s="1"/>
  <c r="J121" i="5"/>
  <c r="B6357" i="106" s="1"/>
  <c r="D6357" i="106" s="1"/>
  <c r="K121" i="5"/>
  <c r="B6006" i="106" s="1"/>
  <c r="D6006" i="106" s="1"/>
  <c r="C131" i="5"/>
  <c r="B5147" i="106" s="1"/>
  <c r="D5147" i="106" s="1"/>
  <c r="D131" i="5"/>
  <c r="B5369" i="106" s="1"/>
  <c r="D5369" i="106" s="1"/>
  <c r="C140" i="5"/>
  <c r="D140" i="5"/>
  <c r="B5383" i="106" s="1"/>
  <c r="D5383" i="106" s="1"/>
  <c r="G140" i="5"/>
  <c r="B5752" i="106" s="1"/>
  <c r="D5752" i="106"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c r="D5232" i="106" s="1"/>
  <c r="D184" i="5"/>
  <c r="B5425" i="106" s="1"/>
  <c r="D5425" i="106" s="1"/>
  <c r="F184" i="5"/>
  <c r="B5658" i="106" s="1"/>
  <c r="D5658" i="106" s="1"/>
  <c r="G184" i="5"/>
  <c r="B5784" i="106" s="1"/>
  <c r="D5784" i="106" s="1"/>
  <c r="H184" i="5"/>
  <c r="B5908" i="106"/>
  <c r="D5908" i="106" s="1"/>
  <c r="K184" i="5"/>
  <c r="B6016" i="106" s="1"/>
  <c r="D6016" i="106" s="1"/>
  <c r="B4395" i="106"/>
  <c r="D4395" i="106" s="1"/>
  <c r="D191" i="5"/>
  <c r="B4396" i="106"/>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D5" i="4"/>
  <c r="B3406" i="106" s="1"/>
  <c r="D3406" i="106" s="1"/>
  <c r="G15" i="4"/>
  <c r="B6032" i="106" s="1"/>
  <c r="D6032" i="106" s="1"/>
  <c r="C14" i="4"/>
  <c r="B2558" i="106" s="1"/>
  <c r="D2558" i="106" s="1"/>
  <c r="D14" i="4"/>
  <c r="B2570" i="106" s="1"/>
  <c r="D2570" i="106" s="1"/>
  <c r="B2633" i="106"/>
  <c r="D2633" i="106" s="1"/>
  <c r="D7" i="118"/>
  <c r="D8" i="118"/>
  <c r="D9" i="118"/>
  <c r="H14" i="118"/>
  <c r="H19" i="118"/>
  <c r="H24" i="118"/>
  <c r="H28" i="118"/>
  <c r="H29" i="118"/>
  <c r="K28" i="118" s="1"/>
  <c r="O27" i="118" s="1"/>
  <c r="O29" i="118" s="1"/>
  <c r="D22" i="37"/>
  <c r="J22" i="37"/>
  <c r="L22" i="37"/>
  <c r="D24" i="37"/>
  <c r="B4270" i="106" s="1"/>
  <c r="D4270" i="106" s="1"/>
  <c r="L5" i="11"/>
  <c r="B2056" i="106" s="1"/>
  <c r="D2056" i="106" s="1"/>
  <c r="F111" i="34"/>
  <c r="B5847" i="106"/>
  <c r="D5847" i="106" s="1"/>
  <c r="D109" i="5"/>
  <c r="B5356" i="106" s="1"/>
  <c r="D5356" i="106" s="1"/>
  <c r="B1746" i="106"/>
  <c r="D1746" i="106" s="1"/>
  <c r="D12" i="7"/>
  <c r="B1769" i="106" s="1"/>
  <c r="D1769" i="106" s="1"/>
  <c r="K274" i="5" l="1"/>
  <c r="D13" i="7"/>
  <c r="B3726" i="106" s="1"/>
  <c r="D3726" i="106" s="1"/>
  <c r="F106" i="34"/>
  <c r="B3723" i="106"/>
  <c r="D3723" i="106" s="1"/>
  <c r="B2724" i="106"/>
  <c r="D2724" i="106" s="1"/>
  <c r="F136" i="34"/>
  <c r="F127" i="34"/>
  <c r="L367" i="29"/>
  <c r="C342" i="29"/>
  <c r="B7216" i="106" s="1"/>
  <c r="D7216" i="106" s="1"/>
  <c r="D15" i="7"/>
  <c r="B1772" i="106" s="1"/>
  <c r="D1772" i="106" s="1"/>
  <c r="H173" i="5"/>
  <c r="B5906" i="106" s="1"/>
  <c r="D5906" i="106" s="1"/>
  <c r="F130" i="34"/>
  <c r="I274" i="5"/>
  <c r="F128" i="34"/>
  <c r="B5161" i="106"/>
  <c r="D5161" i="106" s="1"/>
  <c r="J352" i="29"/>
  <c r="J41" i="3"/>
  <c r="D54" i="36"/>
  <c r="L13" i="11"/>
  <c r="B2060" i="106" s="1"/>
  <c r="D2060" i="106" s="1"/>
  <c r="N22" i="3"/>
  <c r="B283" i="106" s="1"/>
  <c r="D283" i="106" s="1"/>
  <c r="K350" i="29"/>
  <c r="G14" i="4"/>
  <c r="B2609" i="106" s="1"/>
  <c r="D2609" i="106" s="1"/>
  <c r="F72" i="34"/>
  <c r="K184" i="29"/>
  <c r="F13" i="4" s="1"/>
  <c r="B2596" i="106" s="1"/>
  <c r="D2596" i="106" s="1"/>
  <c r="E30" i="108"/>
  <c r="F28" i="108"/>
  <c r="E28" i="108"/>
  <c r="F27" i="108"/>
  <c r="D11" i="7"/>
  <c r="B1768" i="106" s="1"/>
  <c r="D1768" i="106" s="1"/>
  <c r="D9" i="7"/>
  <c r="B1767" i="106" s="1"/>
  <c r="D1767" i="106" s="1"/>
  <c r="G109" i="5"/>
  <c r="B6024" i="106" s="1"/>
  <c r="D6024" i="106" s="1"/>
  <c r="B5096" i="106"/>
  <c r="D5096" i="106" s="1"/>
  <c r="D4" i="7"/>
  <c r="B1760" i="106" s="1"/>
  <c r="D1760" i="106" s="1"/>
  <c r="H33" i="118"/>
  <c r="B4268" i="106"/>
  <c r="D4268" i="106" s="1"/>
  <c r="D11" i="37"/>
  <c r="D4" i="4"/>
  <c r="B2564" i="106" s="1"/>
  <c r="D2564" i="106" s="1"/>
  <c r="F21" i="8"/>
  <c r="B3689" i="106"/>
  <c r="D3689" i="106" s="1"/>
  <c r="B1107" i="106"/>
  <c r="D1107" i="106" s="1"/>
  <c r="F38" i="34"/>
  <c r="B1308" i="106"/>
  <c r="D1308" i="106" s="1"/>
  <c r="E174" i="29"/>
  <c r="B1309" i="106" s="1"/>
  <c r="D1309" i="106" s="1"/>
  <c r="B3488" i="106"/>
  <c r="D3488" i="106" s="1"/>
  <c r="G29" i="108"/>
  <c r="E15" i="145"/>
  <c r="G15" i="145" s="1"/>
  <c r="B1126" i="106"/>
  <c r="D1126" i="106" s="1"/>
  <c r="B2836" i="106"/>
  <c r="D2836" i="106" s="1"/>
  <c r="F62" i="34"/>
  <c r="G39" i="108"/>
  <c r="B7733" i="106"/>
  <c r="D7733" i="106" s="1"/>
  <c r="K26" i="12"/>
  <c r="B7743" i="106" s="1"/>
  <c r="D7743" i="106" s="1"/>
  <c r="H6" i="4"/>
  <c r="B2656" i="106" s="1"/>
  <c r="D2656" i="106" s="1"/>
  <c r="D7" i="7"/>
  <c r="B1763" i="106" s="1"/>
  <c r="D1763" i="106" s="1"/>
  <c r="C172" i="5"/>
  <c r="D5" i="7"/>
  <c r="B1761" i="106" s="1"/>
  <c r="D1761" i="106" s="1"/>
  <c r="F14" i="4"/>
  <c r="B2597" i="106" s="1"/>
  <c r="D2597" i="106" s="1"/>
  <c r="K173" i="5"/>
  <c r="K6" i="4" s="1"/>
  <c r="B3570" i="106" s="1"/>
  <c r="D3570" i="106" s="1"/>
  <c r="G172" i="5"/>
  <c r="F172" i="5"/>
  <c r="B5644" i="106" s="1"/>
  <c r="D5644" i="106" s="1"/>
  <c r="C109" i="5"/>
  <c r="B5121" i="106" s="1"/>
  <c r="D5121" i="106" s="1"/>
  <c r="H342" i="29"/>
  <c r="B7221" i="106" s="1"/>
  <c r="D7221" i="106" s="1"/>
  <c r="B6848" i="106"/>
  <c r="D6848" i="106" s="1"/>
  <c r="F34" i="34"/>
  <c r="C352" i="29"/>
  <c r="B3619" i="106"/>
  <c r="D3619" i="106" s="1"/>
  <c r="B3170" i="106"/>
  <c r="D3170" i="106" s="1"/>
  <c r="H76" i="4"/>
  <c r="B3298" i="106" s="1"/>
  <c r="D3298" i="106" s="1"/>
  <c r="I24" i="12"/>
  <c r="B1995" i="106"/>
  <c r="D1995" i="106" s="1"/>
  <c r="B6858" i="106"/>
  <c r="D6858" i="106" s="1"/>
  <c r="F36" i="34"/>
  <c r="H109" i="5"/>
  <c r="G4" i="4"/>
  <c r="B2603" i="106" s="1"/>
  <c r="D2603" i="106" s="1"/>
  <c r="F131" i="34"/>
  <c r="G5" i="4"/>
  <c r="B3409" i="106" s="1"/>
  <c r="D3409" i="106" s="1"/>
  <c r="B3658" i="106"/>
  <c r="D3658" i="106" s="1"/>
  <c r="H365" i="29"/>
  <c r="D17" i="7"/>
  <c r="B4104" i="106" s="1"/>
  <c r="D4104" i="106" s="1"/>
  <c r="J274" i="5"/>
  <c r="B7054" i="106" s="1"/>
  <c r="D7054" i="106" s="1"/>
  <c r="F19" i="7"/>
  <c r="B1807" i="106" s="1"/>
  <c r="D1807" i="106" s="1"/>
  <c r="D26" i="108"/>
  <c r="J367" i="29"/>
  <c r="B7245" i="106" s="1"/>
  <c r="D7245" i="106" s="1"/>
  <c r="B7235" i="106"/>
  <c r="D7235" i="106" s="1"/>
  <c r="B6238" i="106"/>
  <c r="D6238" i="106" s="1"/>
  <c r="J77" i="4"/>
  <c r="B6262" i="106" s="1"/>
  <c r="D6262" i="106" s="1"/>
  <c r="L312" i="29"/>
  <c r="B3670" i="106"/>
  <c r="D3670" i="106" s="1"/>
  <c r="K352" i="29"/>
  <c r="K13" i="4" s="1"/>
  <c r="B3572" i="106" s="1"/>
  <c r="D3572" i="106" s="1"/>
  <c r="B3565" i="106"/>
  <c r="D3565" i="106" s="1"/>
  <c r="K41" i="3"/>
  <c r="B1410" i="106"/>
  <c r="D1410" i="106" s="1"/>
  <c r="L342" i="29"/>
  <c r="B3649" i="106"/>
  <c r="D3649" i="106" s="1"/>
  <c r="G367" i="29"/>
  <c r="B3650" i="106" s="1"/>
  <c r="D3650" i="106" s="1"/>
  <c r="B1329" i="106"/>
  <c r="D1329" i="106" s="1"/>
  <c r="F61" i="34"/>
  <c r="L15" i="11"/>
  <c r="B3459" i="106" s="1"/>
  <c r="D3459" i="106" s="1"/>
  <c r="G210" i="29"/>
  <c r="D6103" i="106"/>
  <c r="K76" i="4"/>
  <c r="B3586" i="106" s="1"/>
  <c r="D3586"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B6022" i="106"/>
  <c r="D6022" i="106" s="1"/>
  <c r="D44" i="36"/>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3" i="106"/>
  <c r="B7214" i="106"/>
  <c r="D7214" i="106" s="1"/>
  <c r="B7201" i="106"/>
  <c r="D7201" i="106" s="1"/>
  <c r="E342" i="29"/>
  <c r="B7218" i="106" s="1"/>
  <c r="D7218" i="106" s="1"/>
  <c r="B6917" i="106"/>
  <c r="D6917" i="106" s="1"/>
  <c r="J74" i="29"/>
  <c r="D273"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72" i="106"/>
  <c r="D3672" i="106" s="1"/>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5914" i="106"/>
  <c r="D5914" i="106" s="1"/>
  <c r="J7" i="4"/>
  <c r="B7270" i="106"/>
  <c r="D7255" i="106" l="1"/>
  <c r="D7251" i="106"/>
  <c r="D7252" i="106"/>
  <c r="L114" i="29"/>
  <c r="K367" i="29"/>
  <c r="F41" i="108"/>
  <c r="G43" i="108" s="1"/>
  <c r="C114" i="29"/>
  <c r="B757" i="106" s="1"/>
  <c r="D757" i="106" s="1"/>
  <c r="C4" i="4"/>
  <c r="B2551" i="106" s="1"/>
  <c r="D2551" i="106" s="1"/>
  <c r="B1365" i="106"/>
  <c r="D1365" i="106" s="1"/>
  <c r="F65" i="34"/>
  <c r="D19" i="7"/>
  <c r="B1775" i="106" s="1"/>
  <c r="D1775" i="106" s="1"/>
  <c r="H275" i="5"/>
  <c r="B5915" i="106" s="1"/>
  <c r="D5915" i="106" s="1"/>
  <c r="L16" i="11"/>
  <c r="B2061" i="106" s="1"/>
  <c r="D2061" i="106" s="1"/>
  <c r="K342" i="29"/>
  <c r="F13" i="34" s="1"/>
  <c r="F173" i="5"/>
  <c r="B3568" i="106"/>
  <c r="D3568" i="106" s="1"/>
  <c r="D52" i="36"/>
  <c r="G173" i="5"/>
  <c r="B5770" i="106"/>
  <c r="D5770" i="106" s="1"/>
  <c r="B5214" i="106"/>
  <c r="D5214" i="106" s="1"/>
  <c r="C173" i="5"/>
  <c r="H367" i="29"/>
  <c r="B3660" i="106" s="1"/>
  <c r="D3660" i="106" s="1"/>
  <c r="B7242" i="106"/>
  <c r="D7242" i="106" s="1"/>
  <c r="B1879" i="106"/>
  <c r="D1879" i="106" s="1"/>
  <c r="H22" i="37"/>
  <c r="D274" i="5"/>
  <c r="B3628" i="106"/>
  <c r="D3628" i="106" s="1"/>
  <c r="B6025" i="106"/>
  <c r="D6025" i="106" s="1"/>
  <c r="H4" i="4"/>
  <c r="B1996" i="106"/>
  <c r="D1996" i="106" s="1"/>
  <c r="I26" i="12"/>
  <c r="B7741" i="106" s="1"/>
  <c r="D7741" i="106" s="1"/>
  <c r="B3621" i="106"/>
  <c r="D3621" i="106" s="1"/>
  <c r="C367" i="29"/>
  <c r="B3622" i="106" s="1"/>
  <c r="D3622"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6222" i="106"/>
  <c r="D6222" i="106" s="1"/>
  <c r="D7" i="4"/>
  <c r="B5507" i="106"/>
  <c r="D5507" i="106" s="1"/>
  <c r="B7298" i="106"/>
  <c r="B7299" i="106"/>
  <c r="G41" i="108" l="1"/>
  <c r="B5653" i="106"/>
  <c r="D5653" i="106" s="1"/>
  <c r="F275" i="5"/>
  <c r="B5720" i="106" s="1"/>
  <c r="D5720" i="106" s="1"/>
  <c r="F6" i="4"/>
  <c r="B5778" i="106"/>
  <c r="D5778" i="106" s="1"/>
  <c r="G6" i="4"/>
  <c r="B2604" i="106" s="1"/>
  <c r="D2604" i="106" s="1"/>
  <c r="J8" i="4"/>
  <c r="B6223" i="106" s="1"/>
  <c r="D6223" i="106" s="1"/>
  <c r="E41" i="108"/>
  <c r="E44" i="108" s="1"/>
  <c r="E45" i="108" s="1"/>
  <c r="B7224" i="106"/>
  <c r="D7224" i="106" s="1"/>
  <c r="J17" i="4"/>
  <c r="B6227" i="106" s="1"/>
  <c r="D6227" i="106" s="1"/>
  <c r="B2655" i="106"/>
  <c r="D2655" i="106" s="1"/>
  <c r="H8" i="4"/>
  <c r="B5223" i="106"/>
  <c r="D5223"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G44" i="108"/>
  <c r="G45" i="108"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5508" i="106"/>
  <c r="D5508" i="106" s="1"/>
  <c r="D8" i="4"/>
  <c r="B2567" i="106"/>
  <c r="D2567" i="106" s="1"/>
  <c r="J20" i="4" l="1"/>
  <c r="B6230" i="106" s="1"/>
  <c r="D6230" i="106" s="1"/>
  <c r="D10" i="171"/>
  <c r="D19" i="171" s="1"/>
  <c r="D32" i="171" s="1"/>
  <c r="D49" i="171" s="1"/>
  <c r="B2658" i="106"/>
  <c r="D2658" i="106" s="1"/>
  <c r="H10" i="4"/>
  <c r="B4127" i="106" s="1"/>
  <c r="D4127" i="106" s="1"/>
  <c r="B2593" i="106"/>
  <c r="D2593" i="106" s="1"/>
  <c r="F8" i="4"/>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J78" i="4"/>
  <c r="C8" i="146"/>
  <c r="D10" i="4"/>
  <c r="B4123" i="106" s="1"/>
  <c r="D4123" i="106" s="1"/>
  <c r="B2568" i="106"/>
  <c r="D2568" i="106" s="1"/>
  <c r="D8" i="146" l="1"/>
  <c r="F10" i="4"/>
  <c r="B4125" i="106" s="1"/>
  <c r="D4125" i="106" s="1"/>
  <c r="B2595" i="106"/>
  <c r="D2595" i="106" s="1"/>
  <c r="F14" i="34"/>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D10" i="146" l="1"/>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<sst xmlns="http://schemas.openxmlformats.org/spreadsheetml/2006/main" count="5315" uniqueCount="2161">
  <si>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</si>
  <si>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</si>
  <si>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</si>
  <si>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</si>
  <si>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</si>
  <si>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</si>
  <si>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</si>
  <si>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</si>
  <si>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</si>
  <si>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</si>
  <si>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</si>
  <si>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</si>
  <si>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</si>
  <si>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</si>
  <si>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</si>
  <si>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</si>
  <si>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</si>
  <si>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</si>
  <si>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</si>
  <si>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</si>
  <si>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</si>
  <si>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</si>
  <si>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</si>
  <si>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</si>
  <si>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</si>
  <si>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</si>
  <si>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</si>
  <si>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</si>
  <si>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</si>
  <si>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</si>
  <si>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</si>
  <si>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</si>
  <si>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</si>
  <si>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</si>
  <si>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</si>
  <si>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</si>
  <si>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</si>
  <si>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</si>
  <si>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</si>
  <si>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</si>
  <si>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</si>
  <si>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</si>
  <si>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</si>
  <si>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</si>
  <si>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</si>
  <si>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</si>
  <si>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</si>
  <si>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</si>
  <si>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</si>
  <si>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</si>
  <si>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</si>
  <si>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</si>
  <si>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</si>
  <si>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</si>
  <si>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</si>
  <si>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</si>
  <si>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</si>
  <si>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</si>
  <si>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</si>
  <si>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</si>
  <si>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</si>
  <si>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</si>
  <si>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</si>
  <si>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</si>
  <si>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</si>
  <si>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</si>
  <si>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</si>
  <si>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</si>
  <si>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</si>
  <si>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</si>
  <si>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</si>
  <si>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</si>
  <si>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</si>
  <si>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</si>
  <si>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</si>
  <si>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</si>
  <si>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</si>
  <si>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</si>
  <si>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</si>
  <si>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</si>
  <si>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</si>
  <si>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</si>
  <si>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</si>
  <si>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</si>
  <si>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</si>
  <si>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</si>
  <si>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</si>
  <si>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</si>
  <si>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</si>
  <si>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</si>
  <si>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</si>
  <si>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</si>
  <si>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</si>
  <si>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</si>
  <si>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</si>
  <si>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</si>
  <si>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</si>
  <si>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</si>
  <si>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</si>
  <si>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</si>
  <si>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</si>
  <si>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</si>
  <si>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</si>
  <si>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</si>
  <si>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</si>
  <si>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</si>
  <si>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</si>
  <si>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</si>
  <si>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</si>
  <si>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</si>
  <si>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</si>
  <si>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</si>
  <si>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</si>
  <si>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</si>
  <si>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</si>
  <si>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</si>
  <si>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</si>
  <si>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</si>
  <si>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</si>
  <si>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</si>
  <si>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</si>
  <si>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</si>
  <si>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</si>
  <si>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</si>
  <si>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</si>
  <si>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</si>
  <si>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</si>
  <si>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</si>
  <si>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</si>
  <si>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</si>
  <si>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</si>
  <si>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</si>
  <si>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</si>
  <si>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</si>
  <si>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</si>
  <si>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</si>
  <si>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</si>
  <si>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</si>
  <si>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</si>
  <si>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</si>
  <si>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</si>
  <si>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</si>
  <si>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</si>
  <si>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</si>
  <si>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</si>
  <si>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</si>
  <si>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</si>
  <si>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</si>
  <si>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</si>
  <si>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</si>
  <si>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</si>
  <si>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</si>
  <si>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</si>
  <si>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</si>
  <si>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</si>
  <si>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</si>
  <si>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</si>
  <si>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</si>
  <si>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</si>
  <si>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</si>
  <si>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</si>
  <si>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</si>
  <si>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</si>
  <si>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</si>
  <si>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</si>
  <si>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</si>
  <si>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</si>
  <si>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</si>
  <si>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</si>
  <si>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</si>
  <si>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</si>
  <si>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</si>
  <si>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</si>
  <si>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</si>
  <si>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</si>
  <si>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</si>
  <si>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</si>
  <si>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</si>
  <si>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</si>
  <si>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</si>
  <si>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</si>
  <si>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</si>
  <si>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</si>
  <si>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</si>
  <si>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</si>
  <si>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</si>
  <si>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</si>
  <si>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</si>
  <si>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</si>
  <si>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</si>
  <si>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</si>
  <si>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</si>
  <si>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</si>
  <si>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</si>
  <si>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</si>
  <si>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</si>
  <si>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</si>
  <si>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</si>
  <si>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</si>
  <si>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</si>
  <si>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</si>
  <si>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</si>
  <si>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</si>
  <si>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</si>
  <si>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</si>
  <si>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</si>
  <si>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</si>
  <si>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</si>
  <si>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</si>
  <si>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</si>
  <si>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</si>
  <si>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</si>
  <si>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</si>
  <si>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</si>
  <si>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</si>
  <si>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</si>
  <si>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</si>
  <si>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</si>
  <si>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</si>
  <si>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</si>
  <si>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</si>
  <si>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</si>
  <si>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</si>
  <si>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</si>
  <si>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</si>
  <si>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</si>
  <si>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</si>
  <si>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</si>
  <si>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</si>
  <si>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</si>
  <si>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</si>
  <si>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</si>
  <si>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</si>
  <si>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</si>
  <si>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</si>
  <si>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</si>
  <si>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</si>
  <si>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</si>
  <si>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</si>
  <si>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</si>
  <si>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</si>
  <si>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</si>
  <si>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</si>
  <si>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</si>
  <si>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</si>
  <si>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</si>
  <si>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</si>
  <si>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</si>
  <si>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</si>
  <si>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</si>
  <si>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</si>
  <si>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</si>
  <si>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</si>
  <si>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</si>
  <si>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</si>
  <si>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</si>
  <si>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</si>
  <si>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</si>
  <si>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</si>
  <si>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</si>
  <si>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</si>
  <si>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</si>
  <si>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</si>
  <si>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</si>
  <si>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</si>
  <si>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</si>
  <si>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</si>
  <si>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</si>
  <si>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</si>
  <si>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</si>
  <si>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</si>
  <si>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</si>
  <si>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</si>
  <si>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</si>
  <si>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</si>
  <si>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</si>
  <si>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</si>
  <si>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</si>
  <si>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</si>
  <si>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</si>
  <si>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</si>
  <si>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</si>
  <si>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</si>
  <si>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</si>
  <si>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</si>
  <si>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</si>
  <si>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</si>
  <si>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</si>
  <si>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</si>
  <si>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</si>
  <si>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</si>
  <si>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</si>
  <si>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</si>
  <si>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</si>
  <si>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</si>
  <si>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</si>
  <si>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</si>
  <si>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</si>
  <si>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</si>
  <si>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</si>
  <si>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</si>
  <si>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</si>
  <si>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</si>
  <si>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</si>
  <si>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</si>
  <si>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</si>
  <si>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</si>
  <si>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</si>
  <si>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</si>
  <si>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</si>
  <si>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</si>
  <si>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</si>
  <si>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</si>
  <si>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</si>
  <si>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</si>
  <si>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</si>
  <si>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</si>
  <si>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</si>
  <si>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</si>
  <si>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</si>
  <si>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</si>
  <si>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</si>
  <si>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</si>
  <si>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</si>
  <si>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</si>
  <si>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</si>
  <si>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</si>
  <si>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</si>
  <si>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</si>
  <si>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</si>
  <si>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</si>
  <si>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</si>
  <si>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</si>
  <si>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</si>
  <si>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</si>
  <si>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</si>
  <si>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</si>
  <si>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</si>
  <si>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</si>
  <si>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</si>
  <si>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</si>
  <si>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</si>
  <si>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</si>
  <si>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</si>
  <si>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</si>
  <si>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</si>
  <si>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</si>
  <si>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</si>
  <si>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</si>
  <si>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</si>
  <si>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</si>
  <si>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</si>
  <si>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</si>
  <si>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</si>
  <si>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</si>
  <si>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</si>
  <si>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</si>
  <si>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</si>
  <si>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</si>
  <si>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</si>
  <si>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</si>
  <si>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</si>
  <si>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</si>
  <si>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</si>
  <si>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</si>
  <si>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</si>
  <si>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</si>
  <si>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</si>
  <si>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</si>
  <si>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</si>
  <si>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</si>
  <si>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</si>
  <si>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</si>
  <si>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</si>
  <si>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</si>
  <si>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</si>
  <si>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</si>
  <si>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</si>
  <si>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</si>
  <si>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</si>
  <si>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</si>
  <si>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</si>
  <si>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</si>
  <si>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</si>
  <si>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</si>
  <si>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</si>
  <si>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</si>
  <si>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</si>
  <si>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</si>
  <si>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</si>
  <si>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</si>
  <si>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</si>
  <si>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</si>
  <si>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</si>
  <si>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</si>
  <si>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</si>
  <si>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</si>
  <si>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</si>
  <si>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</si>
  <si>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</si>
  <si>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</si>
  <si>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</si>
  <si>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</si>
  <si>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</si>
  <si>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</si>
  <si>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</si>
  <si>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</si>
  <si>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</si>
  <si>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</si>
  <si>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</si>
  <si>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</si>
  <si>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</si>
  <si>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</si>
  <si>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</si>
  <si>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</si>
  <si>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</si>
  <si>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</si>
  <si>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</si>
  <si>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</si>
  <si>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</si>
  <si>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</si>
  <si>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</si>
  <si>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</si>
  <si>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</si>
  <si>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</si>
  <si>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</si>
  <si>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</si>
  <si>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</si>
  <si>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</si>
  <si>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</si>
  <si>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</si>
  <si>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</si>
  <si>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</si>
  <si>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</si>
  <si>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</si>
  <si>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</si>
  <si>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</si>
  <si>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</si>
  <si>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</si>
  <si>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</si>
  <si>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</si>
  <si>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</si>
  <si>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</si>
  <si>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</si>
  <si>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</si>
  <si>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</si>
  <si>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</si>
  <si>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</si>
  <si>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</si>
  <si>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</si>
  <si>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</si>
  <si>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</si>
  <si>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</si>
  <si>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</si>
  <si>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</si>
  <si>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</si>
  <si>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</si>
  <si>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</si>
  <si>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</si>
  <si>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</si>
  <si>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</si>
  <si>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</si>
  <si>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</si>
  <si>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</si>
  <si>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</si>
  <si>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</si>
  <si>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</si>
  <si>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</si>
  <si>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</si>
  <si>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</si>
  <si>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</si>
  <si>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</si>
  <si>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</si>
  <si>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</si>
  <si>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</si>
  <si>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</si>
  <si>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</si>
  <si>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</si>
  <si>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</si>
  <si>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</si>
  <si>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</si>
  <si>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</si>
  <si>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</si>
  <si>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</si>
  <si>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</si>
  <si>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</si>
  <si>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</si>
  <si>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</si>
  <si>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</si>
  <si>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</si>
  <si>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</si>
  <si>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</si>
  <si>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</si>
  <si>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</si>
  <si>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</si>
  <si>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</si>
  <si>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</si>
  <si>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</si>
  <si>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</si>
  <si>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</si>
  <si>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</si>
  <si>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</si>
  <si>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</si>
  <si>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</si>
  <si>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</si>
  <si>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</si>
  <si>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</si>
  <si>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</si>
  <si>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</si>
  <si>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</si>
  <si>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</si>
  <si>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</si>
  <si>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</si>
  <si>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</si>
  <si>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</si>
  <si>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</si>
  <si>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</si>
  <si>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</si>
  <si>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</si>
  <si>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</si>
  <si>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</si>
  <si>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</si>
  <si>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</si>
  <si>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</si>
  <si>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</si>
  <si>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</si>
  <si>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</si>
  <si>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</si>
  <si>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</si>
  <si>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</si>
  <si>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</si>
  <si>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</si>
  <si>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</si>
  <si>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</si>
  <si>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</si>
  <si>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</si>
  <si>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</si>
  <si>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</si>
  <si>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</si>
  <si>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</si>
  <si>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</si>
  <si>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</si>
  <si>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</si>
  <si>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</si>
  <si>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</si>
  <si>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</si>
  <si>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</si>
  <si>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</si>
  <si>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</si>
  <si>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</si>
  <si>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</si>
  <si>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</si>
  <si>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</si>
  <si>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</si>
  <si>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</si>
  <si>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</si>
  <si>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</si>
  <si>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</si>
  <si>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</si>
  <si>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</si>
  <si>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</si>
  <si>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</si>
  <si>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</si>
  <si>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</si>
  <si>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</si>
  <si>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</si>
  <si>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</si>
  <si>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</si>
  <si>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</si>
  <si>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</si>
  <si>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</si>
  <si>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</si>
  <si>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</si>
  <si>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</si>
  <si>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</si>
  <si>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</si>
  <si>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</si>
  <si>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</si>
  <si>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</si>
  <si>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</si>
  <si>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</si>
  <si>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</si>
  <si>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</si>
  <si>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</si>
  <si>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</si>
  <si>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</si>
  <si>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</si>
  <si>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</si>
  <si>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</si>
  <si>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</si>
  <si>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</si>
  <si>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</si>
  <si>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</si>
  <si>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</si>
  <si>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</si>
  <si>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</si>
  <si>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</si>
  <si>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</si>
  <si>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</si>
  <si>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</si>
  <si>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</si>
  <si>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</si>
  <si>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</si>
  <si>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</si>
  <si>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</si>
  <si>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</si>
  <si>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</si>
  <si>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</si>
  <si>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</si>
  <si>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</si>
  <si>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</si>
  <si>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</si>
  <si>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</si>
  <si>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</si>
  <si>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</si>
  <si>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</si>
  <si>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</si>
  <si>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</si>
  <si>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</si>
  <si>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</si>
  <si>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</si>
  <si>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</si>
  <si>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</si>
  <si>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</si>
  <si>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</si>
  <si>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</si>
  <si>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</si>
  <si>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</si>
  <si>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</si>
  <si>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</si>
  <si>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</si>
  <si>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</si>
  <si>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</si>
  <si>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</si>
  <si>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</si>
  <si>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</si>
  <si>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</si>
  <si>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</si>
  <si>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</si>
  <si>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</si>
  <si>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</si>
  <si>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</si>
  <si>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</si>
  <si>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</si>
  <si>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</si>
  <si>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</si>
  <si>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</si>
  <si>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</si>
  <si>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</si>
  <si>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</si>
  <si>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</si>
  <si>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</si>
  <si>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</si>
  <si>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</si>
  <si>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</si>
  <si>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</si>
  <si>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</si>
  <si>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</si>
  <si>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</si>
  <si>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</si>
  <si>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</si>
  <si>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</si>
  <si>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</si>
  <si>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</si>
  <si>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</si>
  <si>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</si>
  <si>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</si>
  <si>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</si>
  <si>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</si>
  <si>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</si>
  <si>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</si>
  <si>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</si>
  <si>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</si>
  <si>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</si>
  <si>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</si>
  <si>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</si>
  <si>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</si>
  <si>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</si>
  <si>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</si>
  <si>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</si>
  <si>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</si>
  <si>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</si>
  <si>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</si>
  <si>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</si>
  <si>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</si>
  <si>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</si>
  <si>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</si>
  <si>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</si>
  <si>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</si>
  <si>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</si>
  <si>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</si>
  <si>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</si>
  <si>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</si>
  <si>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</si>
  <si>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</si>
  <si>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</si>
  <si>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</si>
  <si>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</si>
  <si>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</si>
  <si>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</si>
  <si>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</si>
  <si>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</si>
  <si>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</si>
  <si>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</si>
  <si>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</si>
  <si>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</si>
  <si>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</si>
  <si>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</si>
  <si>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</si>
  <si>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</si>
  <si>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</si>
  <si>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</si>
  <si>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</si>
  <si>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</si>
  <si>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</si>
  <si>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</si>
  <si>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</si>
  <si>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</si>
  <si>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</si>
  <si>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</si>
  <si>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</si>
  <si>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</si>
  <si>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</si>
  <si>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</si>
  <si>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</si>
  <si>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</si>
  <si>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</si>
  <si>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</si>
  <si>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</si>
  <si>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</si>
  <si>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</si>
  <si>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</si>
  <si>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</si>
  <si>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</si>
  <si>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</si>
  <si>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</si>
  <si>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</si>
  <si>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</si>
  <si>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</si>
  <si>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</si>
  <si>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</si>
  <si>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</si>
  <si>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</si>
  <si>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</si>
  <si>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</si>
  <si>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</si>
  <si>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</si>
  <si>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</si>
  <si>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</si>
  <si>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</si>
  <si>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</si>
  <si>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</si>
  <si>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</si>
  <si>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</si>
  <si>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</si>
  <si>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</si>
  <si>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</si>
  <si>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</si>
  <si>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</si>
  <si>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</si>
  <si>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</si>
  <si>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</si>
  <si>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</si>
  <si>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</si>
  <si>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</si>
  <si>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</si>
  <si>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</si>
  <si>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</si>
  <si>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</si>
  <si>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</si>
  <si>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</si>
  <si>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</si>
  <si>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</si>
  <si>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</si>
  <si>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</si>
  <si>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</si>
  <si>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</si>
  <si>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</si>
  <si>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</si>
  <si>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</si>
  <si>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</si>
  <si>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</si>
  <si>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</si>
  <si>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</si>
  <si>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</si>
  <si>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</si>
  <si>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</si>
  <si>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</si>
  <si>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</si>
  <si>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</si>
  <si>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</si>
  <si>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</si>
  <si>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</si>
  <si>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</si>
  <si>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</si>
  <si>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</si>
  <si>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</si>
  <si>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</si>
  <si>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</si>
  <si>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</si>
  <si>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</si>
  <si>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</si>
  <si>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</si>
  <si>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</si>
  <si>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</si>
  <si>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</si>
  <si>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</si>
  <si>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</si>
  <si>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</si>
  <si>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</si>
  <si>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</si>
  <si>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</si>
  <si>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</si>
  <si>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</si>
  <si>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</si>
  <si>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</si>
  <si>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</si>
  <si>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</si>
  <si>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</si>
  <si>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</si>
  <si>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</si>
  <si>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</si>
  <si>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</si>
  <si>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</si>
  <si>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</si>
  <si>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</si>
  <si>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</si>
  <si>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</si>
  <si>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</si>
  <si>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</si>
  <si>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</si>
  <si>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</si>
  <si>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</si>
  <si>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</si>
  <si>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</si>
  <si>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</si>
  <si>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</si>
  <si>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</si>
  <si>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</si>
  <si>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</si>
  <si>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</si>
  <si>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</si>
  <si>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</si>
  <si>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</si>
  <si>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</si>
  <si>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</si>
  <si>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</si>
  <si>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</si>
  <si>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</si>
  <si>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</si>
  <si>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</si>
  <si>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</si>
  <si>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</si>
  <si>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</si>
  <si>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</si>
  <si>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</si>
  <si>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</si>
  <si>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</si>
  <si>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</si>
  <si>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</si>
  <si>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</si>
  <si>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</si>
  <si>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</si>
  <si>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</si>
  <si>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</si>
  <si>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</si>
  <si>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</si>
  <si>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</si>
  <si>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</si>
  <si>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</si>
  <si>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</si>
  <si>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</si>
  <si>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</si>
  <si>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</si>
  <si>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</si>
  <si>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</si>
  <si>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</si>
  <si>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</si>
  <si>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</si>
  <si>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</si>
  <si>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</si>
  <si>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</si>
  <si>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</si>
  <si>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</si>
  <si>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</si>
  <si>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</si>
  <si>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</si>
  <si>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</si>
  <si>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</si>
  <si>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</si>
  <si>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</si>
  <si>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</si>
  <si>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</si>
  <si>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</si>
  <si>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</si>
  <si>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</si>
  <si>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</si>
  <si>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</si>
  <si>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</si>
  <si>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</si>
  <si>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</si>
  <si>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</si>
  <si>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</si>
  <si>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</si>
  <si>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</si>
  <si>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</si>
  <si>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</si>
  <si>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</si>
  <si>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</si>
  <si>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</si>
  <si>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</si>
  <si>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</si>
  <si>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</si>
  <si>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</si>
  <si>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</si>
  <si>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</si>
  <si>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</si>
  <si>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</si>
  <si>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</si>
  <si>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</si>
  <si>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</si>
  <si>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</si>
  <si>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</si>
  <si>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</si>
  <si>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</si>
  <si>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</si>
  <si>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</si>
  <si>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</si>
  <si>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</si>
  <si>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</si>
  <si>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</si>
  <si>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</si>
  <si>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</si>
  <si>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</si>
  <si>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</si>
  <si>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</si>
  <si>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</si>
  <si>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</si>
  <si>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</si>
  <si>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</si>
  <si>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</si>
  <si>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</si>
  <si>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</si>
  <si>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</si>
  <si>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</si>
  <si>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</si>
  <si>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</si>
  <si>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</si>
  <si>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</si>
  <si>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</si>
  <si>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</si>
  <si>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</si>
  <si>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</si>
  <si>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</si>
  <si>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</si>
  <si>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</si>
  <si>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</si>
  <si>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</si>
  <si>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</si>
  <si>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</si>
  <si>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</si>
  <si>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</si>
  <si>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</si>
  <si>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</si>
  <si>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</si>
  <si>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</si>
  <si>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</si>
  <si>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</si>
  <si>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</si>
  <si>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</si>
  <si>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</si>
  <si>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</si>
  <si>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</si>
  <si>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</si>
  <si>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</si>
  <si>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</si>
  <si>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</si>
  <si>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</si>
  <si>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</si>
  <si>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</si>
  <si>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</si>
  <si>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</si>
  <si>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</si>
  <si>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</si>
  <si>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</si>
  <si>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</si>
  <si>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</si>
  <si>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</si>
  <si>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</si>
  <si>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</si>
  <si>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</si>
  <si>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</si>
  <si>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</si>
  <si>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</si>
  <si>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</si>
  <si>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</si>
  <si>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</si>
  <si>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</si>
  <si>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</si>
  <si>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</si>
  <si>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</si>
  <si>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</si>
  <si>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</si>
  <si>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</si>
  <si>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</si>
  <si>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</si>
  <si>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</si>
  <si>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</si>
  <si>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</si>
  <si>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</si>
  <si>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</si>
  <si>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</si>
  <si>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</si>
  <si>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</si>
  <si>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</si>
  <si>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</si>
  <si>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</si>
  <si>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</si>
  <si>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</si>
  <si>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</si>
  <si>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</si>
  <si>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</si>
  <si>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</si>
  <si>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</si>
  <si>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</si>
  <si>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</si>
  <si>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</si>
  <si>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</si>
  <si>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</si>
  <si>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</si>
  <si>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</si>
  <si>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</si>
  <si>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</si>
  <si>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</si>
  <si>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</si>
  <si>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</si>
  <si>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</si>
  <si>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</si>
  <si>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</si>
  <si>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</si>
  <si>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</si>
  <si>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</si>
  <si>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</si>
  <si>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</si>
  <si>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</si>
  <si>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</si>
  <si>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</si>
  <si>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</si>
  <si>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</si>
  <si>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</si>
  <si>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</si>
  <si>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</si>
  <si>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</si>
  <si>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</si>
  <si>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</si>
  <si>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</si>
  <si>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</si>
  <si>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</si>
  <si>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</si>
  <si>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</si>
  <si>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</si>
  <si>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</si>
  <si>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</si>
  <si>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</si>
  <si>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</si>
  <si>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</si>
  <si>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</si>
  <si>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</si>
  <si>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</si>
  <si>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</si>
  <si>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</si>
  <si>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</si>
  <si>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</si>
  <si>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</si>
  <si>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</si>
  <si>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</si>
  <si>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</si>
  <si>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</si>
  <si>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</si>
  <si>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</si>
  <si>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</si>
  <si>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</si>
  <si>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</si>
  <si>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</si>
  <si>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</si>
  <si>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</si>
  <si>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</si>
  <si>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</si>
  <si>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</si>
  <si>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</si>
  <si>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</si>
  <si>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</si>
  <si>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</si>
  <si>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</si>
  <si>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</si>
  <si>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</si>
  <si>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</si>
  <si>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</si>
  <si>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</si>
  <si>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</si>
  <si>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</si>
  <si>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</si>
  <si>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</si>
  <si>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</si>
  <si>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</si>
  <si>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</si>
  <si>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</si>
  <si>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</si>
  <si>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</si>
  <si>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</si>
  <si>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</si>
  <si>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</si>
  <si>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</si>
  <si>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</si>
  <si>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</si>
  <si>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</si>
  <si>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</si>
  <si>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</si>
  <si>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</si>
  <si>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</si>
  <si>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</si>
  <si>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</si>
  <si>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</si>
  <si>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</si>
  <si>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</si>
  <si>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</si>
  <si>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</si>
  <si>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</si>
  <si>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</si>
  <si>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</si>
  <si>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</si>
  <si>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</si>
  <si>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</si>
  <si>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</si>
  <si>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</si>
  <si>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</si>
  <si>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</si>
  <si>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</si>
  <si>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</si>
  <si>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</si>
  <si>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</si>
  <si>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</si>
  <si>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</si>
  <si>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</si>
  <si>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</si>
  <si>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</si>
  <si>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</si>
  <si>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</si>
  <si>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</si>
  <si>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</si>
  <si>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</si>
  <si>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</si>
  <si>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</si>
  <si>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</si>
  <si>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</si>
  <si>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</si>
  <si>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</si>
  <si>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</si>
  <si>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</si>
  <si>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</si>
  <si>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</si>
  <si>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</si>
  <si>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</si>
  <si>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</si>
  <si>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</si>
  <si>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</si>
  <si>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</si>
  <si>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</si>
  <si>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</si>
  <si>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</si>
  <si>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</si>
  <si>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</si>
  <si>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</si>
  <si>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</si>
  <si>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</si>
  <si>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</si>
  <si>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</si>
  <si>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</si>
  <si>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</si>
  <si>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</si>
  <si>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</si>
  <si>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</si>
  <si>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</si>
  <si>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</si>
  <si>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</si>
  <si>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</si>
  <si>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</si>
  <si>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</si>
  <si>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</si>
  <si>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</si>
  <si>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</si>
  <si>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</si>
  <si>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</si>
  <si>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</si>
  <si>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</si>
  <si>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</si>
  <si>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</si>
  <si>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</si>
  <si>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</si>
  <si>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</si>
  <si>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</si>
  <si>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</si>
  <si>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</si>
  <si>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</si>
  <si>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</si>
  <si>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</si>
  <si>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</si>
  <si>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</si>
  <si>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</si>
  <si>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</si>
  <si>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</si>
  <si>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</si>
  <si>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</si>
  <si>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</si>
  <si>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</si>
  <si>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</si>
  <si>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</si>
  <si>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</si>
  <si>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</si>
  <si>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</si>
  <si>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</si>
  <si>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</si>
  <si>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</si>
  <si>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</si>
  <si>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</si>
  <si>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</si>
  <si>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</si>
  <si>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</si>
  <si>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</si>
  <si>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</si>
  <si>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</si>
  <si>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</si>
  <si>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</si>
  <si>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</si>
  <si>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</si>
  <si>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</si>
  <si>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</si>
  <si>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</si>
  <si>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</si>
  <si>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</si>
  <si>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</si>
  <si>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</si>
  <si>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</si>
  <si>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</si>
  <si>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</si>
  <si>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</si>
  <si>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</si>
  <si>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</si>
  <si>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</si>
  <si>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</si>
  <si>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</si>
  <si>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</si>
  <si>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</si>
  <si>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</si>
  <si>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</si>
  <si>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</si>
  <si>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</si>
  <si>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</si>
  <si>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</si>
  <si>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</si>
  <si>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</si>
  <si>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</si>
  <si>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</si>
  <si>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</si>
  <si>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</si>
  <si>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</si>
  <si>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</si>
  <si>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</si>
  <si>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</si>
  <si>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</si>
  <si>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</si>
  <si>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</si>
  <si>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</si>
  <si>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</si>
  <si>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</si>
  <si>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</si>
  <si>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</si>
  <si>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</si>
  <si>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</si>
  <si>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</si>
  <si>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</si>
  <si>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</si>
  <si>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</si>
  <si>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</si>
  <si>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</si>
  <si>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</si>
  <si>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</si>
  <si>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</si>
  <si>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</si>
  <si>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</si>
  <si>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</si>
  <si>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</si>
  <si>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</si>
  <si>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</si>
  <si>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</si>
  <si>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</si>
  <si>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</si>
  <si>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</si>
  <si>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</si>
  <si>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</si>
  <si>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</si>
  <si>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</si>
  <si>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</si>
  <si>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</si>
  <si>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</si>
  <si>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</si>
  <si>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</si>
  <si>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</si>
  <si>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</si>
  <si>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</si>
  <si>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</si>
  <si>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</si>
  <si>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</si>
  <si>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</si>
  <si>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</si>
  <si>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</si>
  <si>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</si>
  <si>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</si>
  <si>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</si>
  <si>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</si>
  <si>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</si>
  <si>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</si>
  <si>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</si>
  <si>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</si>
  <si>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</si>
  <si>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</si>
  <si>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</si>
  <si>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</si>
  <si>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</si>
  <si>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</si>
  <si>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</si>
  <si>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</si>
  <si>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</si>
  <si>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</si>
  <si>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</si>
  <si>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</si>
  <si>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</si>
  <si>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</si>
  <si>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</si>
  <si>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</si>
  <si>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</si>
  <si>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</si>
  <si>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</si>
  <si>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</si>
  <si>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</si>
  <si>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</si>
  <si>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</si>
  <si>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</si>
  <si>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</si>
  <si>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</si>
  <si>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</si>
  <si>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</si>
  <si>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</si>
  <si>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</si>
  <si>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</si>
  <si>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</si>
  <si>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</si>
  <si>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</si>
  <si>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</si>
  <si>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</si>
  <si>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</si>
  <si>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</si>
  <si>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</si>
  <si>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</si>
  <si>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</si>
  <si>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</si>
  <si>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</si>
  <si>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</si>
  <si>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</si>
  <si>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</si>
  <si>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</si>
  <si>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</si>
  <si>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</si>
  <si>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</si>
  <si>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</si>
  <si>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</si>
  <si>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</si>
  <si>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</si>
  <si>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</si>
  <si>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</si>
  <si>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</si>
  <si>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</si>
  <si>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</si>
  <si>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</si>
  <si>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</si>
  <si>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</si>
  <si>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</si>
  <si>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</si>
  <si>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</si>
  <si>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</si>
  <si>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</si>
  <si>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</si>
  <si>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</si>
  <si>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</si>
  <si>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</si>
  <si>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</si>
  <si>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</si>
  <si>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</si>
  <si>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</si>
  <si>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</si>
  <si>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</si>
  <si>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</si>
  <si>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</si>
  <si>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</si>
  <si>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</si>
  <si>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</si>
  <si>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</si>
  <si>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</si>
  <si>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</si>
  <si>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</si>
  <si>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</si>
  <si>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</si>
  <si>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</si>
  <si>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</si>
  <si>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</si>
  <si>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</si>
  <si>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</si>
  <si>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</si>
  <si>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</si>
  <si>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</si>
  <si>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</si>
  <si>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</si>
  <si>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</si>
  <si>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</si>
  <si>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</si>
  <si>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</si>
  <si>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</si>
  <si>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</si>
  <si>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</si>
  <si>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</si>
  <si>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</si>
  <si>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</si>
  <si>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</si>
  <si>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</si>
  <si>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</si>
  <si>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</si>
  <si>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</si>
  <si>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</si>
  <si>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</si>
  <si>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</si>
  <si>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</si>
  <si>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</si>
  <si>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</si>
  <si>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</si>
  <si>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</si>
  <si>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</si>
  <si>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</si>
  <si>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</si>
  <si>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</si>
  <si>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</si>
  <si>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</si>
  <si>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</si>
  <si>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</si>
  <si>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</si>
  <si>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</si>
  <si>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</si>
  <si>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</si>
  <si>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</si>
  <si>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</si>
  <si>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</si>
  <si>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</si>
  <si>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</si>
  <si>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</si>
  <si>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</si>
  <si>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</si>
  <si>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</si>
  <si>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</si>
  <si>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</si>
  <si>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</si>
  <si>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</si>
  <si>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</si>
  <si>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</si>
  <si>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</si>
  <si>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</si>
  <si>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</si>
  <si>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</si>
  <si>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</si>
  <si>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</si>
  <si>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</si>
  <si>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</si>
  <si>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</si>
  <si>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</si>
  <si>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</si>
  <si>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</si>
  <si>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</si>
  <si>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</si>
  <si>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</si>
  <si>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</si>
  <si>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</si>
  <si>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</si>
  <si>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</si>
  <si>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</si>
  <si>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</si>
  <si>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</si>
  <si>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</si>
  <si>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</si>
  <si>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</si>
  <si>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</si>
  <si>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</si>
  <si>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</si>
  <si>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</si>
  <si>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</si>
  <si>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</si>
  <si>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</si>
  <si>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</si>
  <si>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</si>
  <si>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</si>
  <si>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</si>
  <si>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</si>
  <si>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</si>
  <si>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</si>
  <si>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</si>
  <si>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</si>
  <si>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</si>
  <si>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</si>
  <si>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</si>
  <si>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</si>
  <si>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</si>
  <si>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</si>
  <si>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</si>
  <si>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</si>
  <si>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</si>
  <si>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</si>
  <si>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</si>
  <si>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</si>
  <si>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</si>
  <si>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</si>
  <si>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</si>
  <si>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</si>
  <si>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</si>
  <si>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</si>
  <si>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</si>
  <si>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</si>
  <si>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</si>
  <si>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</si>
  <si>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</si>
  <si>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</si>
  <si>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</si>
  <si>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</si>
  <si>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</si>
  <si>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</si>
  <si>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</si>
  <si>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</si>
  <si>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</si>
  <si>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</si>
  <si>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</si>
  <si>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</si>
  <si>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</si>
  <si>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</si>
  <si>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</si>
  <si>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</si>
  <si>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</si>
  <si>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</si>
  <si>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</si>
  <si>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</si>
  <si>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</si>
  <si>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</si>
  <si>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</si>
  <si>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</si>
  <si>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</si>
  <si>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</si>
  <si>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</si>
  <si>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</si>
  <si>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</si>
  <si>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</si>
  <si>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</si>
  <si>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</si>
  <si>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</si>
  <si>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</si>
  <si>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</si>
  <si>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</si>
  <si>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</si>
  <si>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</si>
  <si>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</si>
  <si>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</si>
  <si>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</si>
  <si>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</si>
  <si>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</si>
  <si>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</si>
  <si>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</si>
  <si>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</si>
  <si>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</si>
  <si>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</si>
  <si>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</si>
  <si>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</si>
  <si>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</si>
  <si>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</si>
  <si>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</si>
  <si>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</si>
  <si>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</si>
  <si>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</si>
  <si>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</si>
  <si>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</si>
  <si>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</si>
  <si>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</si>
  <si>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</si>
  <si>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</si>
  <si>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</si>
  <si>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</si>
  <si>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</si>
  <si>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</si>
  <si>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</si>
  <si>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</si>
  <si>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</si>
  <si>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</si>
  <si>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</si>
  <si>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</si>
  <si>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</si>
  <si>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</si>
  <si>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</si>
  <si>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</si>
  <si>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</si>
  <si>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</si>
  <si>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</si>
  <si>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</si>
  <si>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</si>
  <si>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</si>
  <si>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</si>
  <si>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</si>
  <si>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</si>
  <si>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</si>
  <si>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</si>
  <si>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</si>
  <si>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</si>
  <si>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</si>
  <si>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</si>
  <si>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</si>
  <si>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</si>
  <si>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</si>
  <si>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</si>
  <si>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</si>
  <si>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</si>
  <si>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</si>
  <si>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</si>
  <si>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</si>
  <si>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</si>
  <si>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</si>
  <si>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</si>
  <si>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</si>
  <si>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</si>
  <si>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</si>
  <si>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</si>
  <si>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</si>
  <si>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</si>
  <si>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</si>
  <si>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</si>
  <si>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</si>
  <si>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</si>
  <si>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</si>
  <si>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</si>
  <si>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</si>
  <si>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</si>
  <si>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</si>
  <si>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</si>
  <si>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</si>
  <si>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</si>
  <si>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</si>
  <si>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</si>
  <si>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</si>
  <si>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</si>
  <si>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</si>
  <si>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</si>
  <si>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</si>
  <si>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</si>
  <si>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</si>
  <si>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</si>
  <si>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</si>
  <si>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</si>
  <si>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</si>
  <si>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</si>
  <si>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</si>
  <si>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</si>
  <si>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</si>
  <si>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</si>
  <si>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</si>
  <si>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</si>
  <si>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</si>
  <si>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</si>
  <si>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</si>
  <si>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</si>
  <si>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</si>
  <si>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</si>
  <si>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</si>
  <si>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</si>
  <si>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</si>
  <si>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</si>
  <si>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</si>
  <si>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</si>
  <si>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</si>
  <si>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</si>
  <si>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</si>
  <si>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</si>
  <si>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</si>
  <si>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</si>
  <si>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</si>
  <si>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</si>
  <si>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</si>
  <si>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</si>
  <si>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</si>
  <si>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</si>
  <si>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</si>
  <si>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</si>
  <si>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</si>
  <si>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</si>
  <si>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</si>
  <si>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</si>
  <si>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</si>
  <si>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</si>
  <si>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</si>
  <si>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</si>
  <si>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</si>
  <si>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</si>
  <si>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</si>
  <si>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</si>
  <si>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</si>
  <si>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</si>
  <si>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</si>
  <si>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</si>
  <si>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</si>
  <si>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</si>
  <si>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</si>
  <si>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</si>
  <si>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</si>
  <si>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</si>
  <si>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</si>
  <si>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</si>
  <si>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</si>
  <si>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</si>
  <si>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</si>
  <si>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</si>
  <si>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</si>
  <si>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</si>
  <si>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</si>
  <si>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</si>
  <si>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</si>
  <si>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</si>
  <si>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</si>
  <si>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</si>
  <si>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</si>
  <si>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</si>
  <si>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</si>
  <si>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</si>
  <si>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</si>
  <si>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</si>
  <si>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</si>
  <si>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</si>
  <si>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</si>
  <si>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</si>
  <si>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</si>
  <si>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</si>
  <si>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</si>
  <si>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</si>
  <si>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</si>
  <si>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</si>
  <si>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</si>
  <si>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</si>
  <si>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</si>
  <si>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</si>
  <si>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</si>
  <si>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</si>
  <si>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</si>
  <si>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</si>
  <si>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</si>
  <si>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</si>
  <si>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</si>
  <si>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</si>
  <si>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</si>
  <si>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</si>
  <si>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</si>
  <si>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</si>
  <si>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</si>
  <si>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</si>
  <si>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</si>
  <si>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</si>
  <si>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</si>
  <si>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</si>
  <si>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</si>
  <si>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</si>
  <si>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</si>
  <si>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</si>
  <si>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</si>
  <si>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</si>
  <si>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</si>
  <si>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</si>
  <si>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</si>
  <si>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</si>
  <si>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</si>
  <si>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</si>
  <si>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</si>
  <si>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</si>
  <si>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</si>
  <si>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</si>
  <si>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</si>
  <si>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</si>
  <si>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</si>
  <si>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</si>
  <si>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</si>
  <si>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</si>
  <si>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</si>
  <si>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</si>
  <si>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</si>
  <si>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</si>
  <si>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</si>
  <si>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</si>
  <si>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</si>
  <si>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</si>
  <si>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</si>
  <si>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</si>
  <si>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</si>
  <si>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</si>
  <si>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</si>
  <si>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</si>
  <si>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</si>
  <si>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</si>
  <si>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</si>
  <si>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</si>
  <si>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</si>
  <si>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</si>
  <si>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</si>
  <si>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</si>
  <si>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</si>
  <si>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</si>
  <si>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</si>
  <si>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</si>
  <si>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</si>
  <si>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</si>
  <si>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</si>
  <si>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</si>
  <si>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</si>
  <si>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</si>
  <si>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</si>
  <si>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</si>
  <si>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</si>
  <si>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</si>
  <si>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</si>
  <si>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</si>
  <si>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</si>
  <si>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</si>
  <si>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</si>
  <si>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</si>
  <si>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</si>
  <si>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</si>
  <si>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</si>
  <si>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</si>
  <si>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</si>
  <si>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</si>
  <si>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</si>
  <si>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</si>
  <si>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</si>
  <si>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</si>
  <si>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</si>
  <si>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</si>
  <si>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</si>
  <si>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</si>
  <si>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</si>
  <si>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</si>
  <si>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</si>
  <si>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</si>
  <si>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</si>
  <si>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</si>
  <si>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</si>
  <si>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</si>
  <si>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</si>
  <si>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</si>
  <si>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</si>
  <si>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</si>
  <si>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</si>
  <si>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</si>
  <si>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</si>
  <si>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</si>
  <si>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</si>
  <si>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</si>
  <si>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</si>
  <si>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</si>
  <si>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</si>
  <si>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</si>
  <si>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</si>
  <si>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</si>
  <si>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</si>
  <si>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</si>
  <si>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</si>
  <si>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</si>
  <si>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</si>
  <si>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</si>
  <si>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</si>
  <si>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</si>
  <si>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</si>
  <si>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</si>
  <si>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</si>
  <si>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</si>
  <si>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</si>
  <si>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</si>
  <si>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</si>
  <si>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</si>
  <si>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</si>
  <si>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</si>
  <si>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</si>
  <si>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</si>
  <si>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</si>
  <si>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</si>
  <si>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</si>
  <si>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</si>
  <si>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</si>
  <si>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</si>
  <si>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</si>
  <si>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</si>
  <si>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</si>
  <si>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</si>
  <si>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</si>
  <si>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</si>
  <si>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</si>
  <si>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</si>
  <si>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</si>
  <si>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</si>
  <si>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</si>
  <si>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</si>
  <si>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</si>
  <si>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</si>
  <si>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</si>
  <si>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</si>
  <si>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</si>
  <si>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</si>
  <si>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</si>
  <si>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</si>
  <si>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</si>
  <si>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</si>
  <si>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</si>
  <si>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</si>
  <si>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</si>
  <si>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</si>
  <si>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</si>
  <si>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</si>
  <si>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</si>
  <si>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</si>
  <si>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</si>
  <si>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</si>
  <si>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</si>
  <si>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</si>
  <si>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</si>
  <si>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</si>
  <si>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</si>
  <si>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</si>
  <si>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</si>
  <si>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</si>
  <si>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</si>
  <si>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</si>
  <si>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</si>
  <si>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</si>
  <si>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</si>
  <si>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</si>
  <si>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</si>
  <si>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</si>
  <si>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</si>
  <si>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</si>
  <si>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</si>
  <si>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</si>
  <si>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</si>
  <si>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</si>
  <si>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</si>
  <si>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</si>
  <si>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</si>
  <si>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</si>
  <si>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</si>
  <si>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</si>
  <si>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</si>
  <si>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</si>
  <si>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</si>
  <si>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</si>
  <si>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</si>
  <si>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</si>
  <si>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</si>
  <si>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</si>
  <si>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</si>
  <si>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</si>
  <si>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</si>
  <si>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</si>
  <si>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</si>
  <si>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</si>
  <si>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</si>
  <si>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</si>
  <si>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</si>
  <si>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</si>
  <si>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</si>
  <si>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</si>
  <si>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</si>
  <si>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</si>
  <si>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</si>
  <si>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</si>
  <si>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</si>
  <si>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</si>
  <si>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</si>
  <si>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</si>
  <si>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</si>
  <si>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</si>
  <si>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</si>
  <si>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</si>
  <si>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</si>
  <si>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</si>
  <si>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</si>
  <si>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</si>
  <si>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</si>
  <si>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</si>
  <si>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</si>
  <si>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</si>
  <si>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</si>
  <si>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</si>
  <si>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</si>
  <si>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</si>
  <si>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</si>
  <si>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</si>
  <si>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</si>
  <si>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</si>
  <si>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</si>
  <si>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</si>
  <si>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</si>
  <si>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</si>
  <si>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</si>
  <si>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</si>
  <si>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</si>
  <si>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</si>
  <si>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</si>
  <si>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</si>
  <si>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</si>
  <si>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</si>
  <si>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</si>
  <si>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</si>
  <si>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</si>
  <si>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</si>
  <si>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</si>
  <si>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</si>
  <si>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</si>
  <si>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</si>
  <si>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</si>
  <si>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</si>
  <si>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</si>
  <si>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</si>
  <si>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</si>
  <si>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</si>
  <si>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</si>
  <si>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</si>
  <si>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</si>
  <si>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</si>
  <si>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</si>
  <si>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</si>
  <si>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</si>
  <si>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</si>
  <si>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</si>
  <si>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</si>
  <si>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</si>
  <si>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</si>
  <si>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</si>
  <si>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</si>
  <si>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</si>
  <si>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</si>
  <si>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</si>
  <si>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</si>
  <si>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</si>
  <si>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</si>
  <si>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</si>
  <si>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</si>
  <si>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</si>
  <si>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</si>
  <si>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</si>
  <si>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</si>
  <si>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</si>
  <si>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</si>
  <si>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</si>
  <si>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</si>
  <si>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</si>
  <si>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</si>
  <si>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</si>
  <si>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</si>
  <si>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</si>
  <si>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</si>
  <si>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</si>
  <si>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LOY MILLER TALLEY, PC</t>
  </si>
  <si>
    <t>KENNETH E. LOY, CPA</t>
  </si>
  <si>
    <t>#2 CROSSROADS CT.</t>
  </si>
  <si>
    <t>ALTON</t>
  </si>
  <si>
    <t>IL</t>
  </si>
  <si>
    <t>618-465-1196</t>
  </si>
  <si>
    <t>618-465-2900</t>
  </si>
  <si>
    <t>MACOUPIN</t>
  </si>
  <si>
    <t>801 N DENEEN STREET</t>
  </si>
  <si>
    <t>STAUNTON</t>
  </si>
  <si>
    <t>KEN@LMTCPAS.COM</t>
  </si>
  <si>
    <t>060-003363</t>
  </si>
  <si>
    <t>DAN COX</t>
  </si>
  <si>
    <t>DCOX@STAUNTONSCHOOLS.ORG</t>
  </si>
  <si>
    <t>618-635-2962</t>
  </si>
  <si>
    <t>618-635-2994</t>
  </si>
  <si>
    <t>MICHELLE MUELLER</t>
  </si>
  <si>
    <t>MMUELLER@ROE40.COM</t>
  </si>
  <si>
    <t>217-854-4016</t>
  </si>
  <si>
    <t>217-854-2032</t>
  </si>
  <si>
    <t>40-190 OTHER ASSETS $130,000 MONEY HELD IN ESCROW FOR BONDS</t>
  </si>
  <si>
    <t>10-3999 OTHER STATE SOURCES $56</t>
  </si>
  <si>
    <t>10-1999 OTHER REVENUES $64,349 20-1999 OTHER REVENUES $54707, 40-1999 OTHER REVENUES $1575</t>
  </si>
  <si>
    <t>90-1192 PRIOR YEAR LEVY $49004</t>
  </si>
  <si>
    <t>30-5400-600 BOND FEES $1300</t>
  </si>
  <si>
    <t>TOTAL ESTIMATED TAXES TO BE COLLECTED IN 2019 $83700 IS A LEVY FOR PRIOR YEAR ADJUSTMENTS.</t>
  </si>
  <si>
    <t>2016 BOND ISSUE</t>
  </si>
  <si>
    <t>2017 ALT REVENUE BONDS</t>
  </si>
  <si>
    <t>US DEPARTMENT OF AGRICULTURE:</t>
  </si>
  <si>
    <t>PASS-THROUGH FROM IL STATE BOARD OF EDUCATION</t>
  </si>
  <si>
    <t xml:space="preserve"> (M) NATIONAL SCHOOL LUNCH PROGRAM</t>
  </si>
  <si>
    <t xml:space="preserve"> NATIONAL SCHOOL LUNCH PROGRAM</t>
  </si>
  <si>
    <t>(M)   SCHOOL BREAKFAST PROGRAM</t>
  </si>
  <si>
    <t>SCHOOL BREAKFAST PROGRAM</t>
  </si>
  <si>
    <t>COMMODITIES (NON-CASH)</t>
  </si>
  <si>
    <t>DEPARTMENT OF DEFENSE  FRESH FRUITS &amp; VEGETABLES</t>
  </si>
  <si>
    <t xml:space="preserve">  TOTAL US DEPARTMENT OF AGRICULTURE</t>
  </si>
  <si>
    <t>18-4210-00</t>
  </si>
  <si>
    <t>17-4210-00</t>
  </si>
  <si>
    <t>18-4220-00</t>
  </si>
  <si>
    <t>17-4220-00</t>
  </si>
  <si>
    <t>18-4250-00</t>
  </si>
  <si>
    <t>US DEPARTMENT OF EDUCATION:</t>
  </si>
  <si>
    <t>PASS-THROUGH PROGRAMS FROM IL STATE BOARD OF EDUCATION:</t>
  </si>
  <si>
    <t>TITLE I - LOW INCOME</t>
  </si>
  <si>
    <t xml:space="preserve"> TITLE I - LOW INCOME</t>
  </si>
  <si>
    <t>TITLE II - TEACHER QUALITY</t>
  </si>
  <si>
    <t>18-4300-00</t>
  </si>
  <si>
    <t>17-4300-00</t>
  </si>
  <si>
    <t>18-4932-00</t>
  </si>
  <si>
    <t>17-4932-00</t>
  </si>
  <si>
    <t>TOTAL PASS-THROUGH FROM US DEPARTMENT OF EDUCATION</t>
  </si>
  <si>
    <t>US DEPARTMENT OF HEALTH &amp; HUMAN SERVICES:</t>
  </si>
  <si>
    <t>PASS-THROUGH ILLINOIS DEPARTMENT OF HEALTHCARE &amp; FAMILY SERVICES</t>
  </si>
  <si>
    <t>MEDICAID ADMINISTRATIVE OUTREACH</t>
  </si>
  <si>
    <t>TOTAL US DEPARTMENT OF HEALT H &amp; HUMAN SERVICES</t>
  </si>
  <si>
    <t>18-4991-00</t>
  </si>
  <si>
    <t>OTHER PASS-THROUGH ENTITIES -</t>
  </si>
  <si>
    <t>PASS-TRHOUGH FROM SPECIAL EDUCATION REGION 3:</t>
  </si>
  <si>
    <t>(M) IDEA FLOW-THROUGH FED</t>
  </si>
  <si>
    <t xml:space="preserve"> (M) IDEA PRESCHOOL</t>
  </si>
  <si>
    <t>TOTAL PASS THROUGH SPECIAL EDUCATION</t>
  </si>
  <si>
    <t>PASS-THROUGH PROGRAMS FROM MAC. COUNTY REGIONAL VOCATION ED. COOP.</t>
  </si>
  <si>
    <t>PERKINS TITLE IIC</t>
  </si>
  <si>
    <t>TOTAL PASS-THROUGH MACOUPIN COUNTY</t>
  </si>
  <si>
    <t>TOTAL OTHER PASS-THROUGH ENTITIES</t>
  </si>
  <si>
    <t>18-4620-00</t>
  </si>
  <si>
    <t>18-4600-00</t>
  </si>
  <si>
    <t>TOTAL FEDERAL FUNDS:</t>
  </si>
  <si>
    <t>PASS-THROUGH IL STATE BOARD OF EDUCATION</t>
  </si>
  <si>
    <t xml:space="preserve"> PASS-THROUGH DEPARTMENT OF HEALTHCARE &amp; FAMILY SERVICES</t>
  </si>
  <si>
    <t>PASS-THROUGH OTHER ENTITIES</t>
  </si>
  <si>
    <t>TOTAL FEDERAL AWARDS</t>
  </si>
  <si>
    <r>
      <t xml:space="preserve">The accompanying Schedule of Expenditures of Federal Awards includes the federal grant activity of </t>
    </r>
    <r>
      <rPr>
        <b/>
        <sz val="9"/>
        <rFont val="Calibri"/>
        <family val="2"/>
        <scheme val="minor"/>
      </rPr>
      <t>Staunton Community School District #6</t>
    </r>
    <r>
      <rPr>
        <sz val="9"/>
        <rFont val="Calibri"/>
        <family val="2"/>
        <scheme val="minor"/>
      </rPr>
      <t xml:space="preserve"> and is presented on the </t>
    </r>
    <r>
      <rPr>
        <b/>
        <sz val="9"/>
        <rFont val="Calibri"/>
        <family val="2"/>
        <scheme val="minor"/>
      </rPr>
      <t>Cash Basis</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</si>
  <si>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Staunton Community School District #6</t>
    </r>
    <r>
      <rPr>
        <sz val="9"/>
        <rFont val="Calibri"/>
        <family val="2"/>
        <scheme val="minor"/>
      </rPr>
      <t xml:space="preserve"> provided federal awards to subrecipients as follows:</t>
    </r>
  </si>
  <si>
    <t>NO FEDERAL AWARDS WERE PROVIDED TO SUBRECIPIENTS</t>
  </si>
  <si>
    <r>
      <t xml:space="preserve">The following amounts were expended in the form of non-cash assistance by </t>
    </r>
    <r>
      <rPr>
        <b/>
        <sz val="9"/>
        <rFont val="Calibri"/>
        <family val="2"/>
        <scheme val="minor"/>
      </rPr>
      <t>Staunton Community School District #6</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</si>
  <si>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ADVERSE</t>
  </si>
  <si>
    <t>UNMODIFIED</t>
  </si>
  <si>
    <t>NATIONAL SCHOOL LUNCH PROGRAM</t>
  </si>
  <si>
    <t>IDEA FLOW-THROUGH FED</t>
  </si>
  <si>
    <t>IDEA PRESCHOOL</t>
  </si>
  <si>
    <t>NO FINDINGS FOR FISCAL YEAR ENDED JUNE 30, 2018</t>
  </si>
  <si>
    <t>NONE</t>
  </si>
  <si>
    <t>84-048</t>
  </si>
  <si>
    <t>Staunton CUSD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</si>
</sst>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03">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1"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1"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11" fillId="0" borderId="20" xfId="12" applyFont="1" applyBorder="1" applyAlignment="1" applyProtection="1">
      <alignment vertical="center"/>
    </xf>
    <xf numFmtId="180" fontId="10" fillId="0" borderId="19" xfId="12"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7" xfId="12" applyNumberFormat="1" applyFont="1" applyBorder="1" applyAlignment="1" applyProtection="1">
      <alignment horizontal="left" vertical="center" indent="1"/>
      <protection locked="0"/>
    </xf>
    <xf numFmtId="0" fontId="10" fillId="0" borderId="0" xfId="0" applyNumberFormat="1"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0" fontId="0" fillId="0" borderId="0" xfId="0" applyBorder="1" applyAlignment="1">
      <alignment horizontal="center" vertical="center"/>
    </xf>
    <xf numFmtId="49" fontId="10" fillId="0" borderId="0" xfId="12" applyNumberFormat="1" applyFont="1" applyBorder="1" applyAlignment="1" applyProtection="1">
      <alignment horizontal="center" vertical="center"/>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10" fillId="0" borderId="18" xfId="0"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0" fillId="0" borderId="19" xfId="12" applyNumberFormat="1" applyFont="1" applyBorder="1" applyAlignment="1" applyProtection="1">
      <alignment horizontal="left" vertical="center"/>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0" xfId="0" applyFont="1" applyBorder="1" applyAlignment="1" applyProtection="1">
      <alignment horizontal="left" vertical="center" indent="1"/>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0" fontId="62" fillId="13" borderId="13" xfId="9" applyFont="1" applyFill="1" applyBorder="1" applyAlignment="1">
      <alignment horizontal="center" vertical="center"/>
    </xf>
    <xf numFmtId="0" fontId="54" fillId="13" borderId="14" xfId="0" applyFont="1" applyFill="1" applyBorder="1" applyAlignment="1">
      <alignment horizontal="center" vertical="center"/>
    </xf>
    <xf numFmtId="0" fontId="61" fillId="6" borderId="13" xfId="0" applyFont="1" applyFill="1" applyBorder="1" applyAlignment="1" applyProtection="1">
      <alignment horizontal="left" vertical="center" wrapText="1"/>
    </xf>
    <xf numFmtId="49" fontId="62" fillId="13" borderId="13" xfId="0" applyNumberFormat="1" applyFont="1" applyFill="1" applyBorder="1" applyAlignment="1" applyProtection="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5" xfId="3" applyNumberFormat="1" applyFont="1" applyBorder="1" applyAlignment="1" applyProtection="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3" fontId="52" fillId="0" borderId="77" xfId="3" applyNumberFormat="1" applyFont="1" applyBorder="1" applyAlignment="1" applyProtection="1">
      <alignment horizontal="right" indent="1"/>
      <protection locked="0"/>
    </xf>
    <xf numFmtId="0" fontId="51" fillId="0" borderId="0" xfId="3" applyFont="1" applyAlignment="1" applyProtection="1">
      <alignment horizontal="center"/>
    </xf>
    <xf numFmtId="0" fontId="51" fillId="0" borderId="78" xfId="3" applyFont="1" applyBorder="1" applyAlignment="1" applyProtection="1">
      <alignment horizontal="center"/>
    </xf>
    <xf numFmtId="0" fontId="59" fillId="0" borderId="0" xfId="3" applyFont="1" applyAlignment="1" applyProtection="1">
      <alignment horizontal="left" vertical="center" wrapText="1"/>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1575954</xdr:colOff>
          <xdr:row>4</xdr:row>
          <xdr:rowOff>25977</xdr:rowOff>
        </xdr:from>
        <xdr:to>
          <xdr:col>1</xdr:col>
          <xdr:colOff>2487756</xdr:colOff>
          <xdr:row>8</xdr:row>
          <xdr:rowOff>64077</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9C3A31DB-DD4B-4ED7-83C2-F6B99D5D907D}"/>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9" t="s">
        <v>425</v>
      </c>
      <c r="J1" s="2000"/>
      <c r="K1" s="2000"/>
      <c r="L1" s="2000"/>
      <c r="M1" s="2000"/>
      <c r="N1" s="2000"/>
      <c r="O1" s="2000"/>
      <c r="P1" s="2000"/>
      <c r="Q1" s="2000"/>
      <c r="R1" s="2000"/>
      <c r="S1" s="2000"/>
    </row>
    <row r="2" spans="1:28" ht="12" customHeight="1" x14ac:dyDescent="0.2">
      <c r="A2" s="47" t="s">
        <v>1684</v>
      </c>
      <c r="D2" s="48"/>
      <c r="I2" s="2001" t="s">
        <v>1036</v>
      </c>
      <c r="J2" s="2000"/>
      <c r="K2" s="2000"/>
      <c r="L2" s="2000"/>
      <c r="M2" s="2000"/>
      <c r="N2" s="2000"/>
      <c r="O2" s="2000"/>
      <c r="P2" s="2000"/>
      <c r="Q2" s="2000"/>
      <c r="R2" s="2000"/>
      <c r="S2" s="2000"/>
    </row>
    <row r="3" spans="1:28" ht="12" customHeight="1" x14ac:dyDescent="0.2">
      <c r="A3" s="155" t="s">
        <v>1685</v>
      </c>
      <c r="B3" s="156"/>
      <c r="C3" s="156"/>
      <c r="D3" s="157"/>
      <c r="I3" s="2001" t="s">
        <v>54</v>
      </c>
      <c r="J3" s="2000"/>
      <c r="K3" s="2000"/>
      <c r="L3" s="2000"/>
      <c r="M3" s="2000"/>
      <c r="N3" s="2000"/>
      <c r="O3" s="2000"/>
      <c r="P3" s="2000"/>
      <c r="Q3" s="2000"/>
      <c r="R3" s="2000"/>
      <c r="S3" s="2000"/>
    </row>
    <row r="4" spans="1:28" ht="12" customHeight="1" x14ac:dyDescent="0.2">
      <c r="A4" s="37"/>
      <c r="I4" s="2001" t="s">
        <v>545</v>
      </c>
      <c r="J4" s="2000"/>
      <c r="K4" s="2000"/>
      <c r="L4" s="2000"/>
      <c r="M4" s="2000"/>
      <c r="N4" s="2000"/>
      <c r="O4" s="2000"/>
      <c r="P4" s="2000"/>
      <c r="Q4" s="2000"/>
      <c r="R4" s="2000"/>
      <c r="S4" s="2000"/>
    </row>
    <row r="5" spans="1:28" ht="14.1" customHeight="1" x14ac:dyDescent="0.2">
      <c r="B5" s="104" t="s">
        <v>2074</v>
      </c>
      <c r="C5" s="26" t="s">
        <v>966</v>
      </c>
      <c r="D5" s="84"/>
      <c r="E5" s="84"/>
      <c r="H5" s="38"/>
      <c r="I5" s="2009" t="s">
        <v>701</v>
      </c>
      <c r="J5" s="2008"/>
      <c r="K5" s="2008"/>
      <c r="L5" s="2008"/>
      <c r="M5" s="2008"/>
      <c r="N5" s="2008"/>
      <c r="O5" s="2008"/>
      <c r="P5" s="2008"/>
      <c r="Q5" s="2008"/>
      <c r="R5" s="2008"/>
      <c r="S5" s="2008"/>
    </row>
    <row r="6" spans="1:28" ht="14.1" customHeight="1" x14ac:dyDescent="0.2">
      <c r="B6" s="104"/>
      <c r="C6" s="26" t="s">
        <v>967</v>
      </c>
      <c r="D6" s="84"/>
      <c r="E6" s="84"/>
      <c r="I6" s="2007" t="s">
        <v>938</v>
      </c>
      <c r="J6" s="2008"/>
      <c r="K6" s="2008"/>
      <c r="L6" s="2008"/>
      <c r="M6" s="2008"/>
      <c r="N6" s="2008"/>
      <c r="O6" s="2008"/>
      <c r="P6" s="2008"/>
      <c r="Q6" s="2008"/>
      <c r="R6" s="2008"/>
      <c r="S6" s="2008"/>
    </row>
    <row r="7" spans="1:28" ht="12.2" customHeight="1" x14ac:dyDescent="0.2">
      <c r="I7" s="2002">
        <v>43281</v>
      </c>
      <c r="J7" s="2003"/>
      <c r="K7" s="2003"/>
      <c r="L7" s="2003"/>
      <c r="M7" s="2003"/>
      <c r="N7" s="2003"/>
      <c r="O7" s="2003"/>
      <c r="P7" s="2003"/>
      <c r="Q7" s="2003"/>
      <c r="R7" s="2003"/>
      <c r="S7" s="200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4" t="s">
        <v>695</v>
      </c>
      <c r="J9" s="2005"/>
      <c r="K9" s="2005"/>
      <c r="L9" s="2005"/>
      <c r="M9" s="2005"/>
      <c r="N9" s="2005"/>
      <c r="O9" s="2005"/>
      <c r="P9" s="2005"/>
      <c r="Q9" s="2005"/>
      <c r="R9" s="2005"/>
      <c r="S9" s="2006"/>
      <c r="T9" s="2020" t="s">
        <v>554</v>
      </c>
      <c r="U9" s="2021"/>
      <c r="V9" s="2021"/>
      <c r="W9" s="2021"/>
      <c r="X9" s="2021"/>
      <c r="Y9" s="2021"/>
      <c r="Z9" s="2021"/>
      <c r="AA9" s="2022"/>
    </row>
    <row r="10" spans="1:28" ht="13.5" customHeight="1" x14ac:dyDescent="0.2">
      <c r="A10" s="2027" t="s">
        <v>696</v>
      </c>
      <c r="B10" s="2028"/>
      <c r="C10" s="2028"/>
      <c r="D10" s="2028"/>
      <c r="E10" s="2028"/>
      <c r="F10" s="2028"/>
      <c r="G10" s="2028"/>
      <c r="H10" s="2029"/>
      <c r="I10" s="29"/>
      <c r="J10" s="30"/>
      <c r="K10" s="28"/>
      <c r="R10" s="30"/>
      <c r="S10" s="30"/>
      <c r="T10" s="2023"/>
      <c r="U10" s="2008"/>
      <c r="V10" s="2008"/>
      <c r="W10" s="2008"/>
      <c r="X10" s="2008"/>
      <c r="Y10" s="2008"/>
      <c r="Z10" s="2008"/>
      <c r="AA10" s="2014"/>
    </row>
    <row r="11" spans="1:28" ht="14.25" customHeight="1" x14ac:dyDescent="0.2">
      <c r="A11" s="2030" t="s">
        <v>1012</v>
      </c>
      <c r="B11" s="2031"/>
      <c r="C11" s="2031"/>
      <c r="D11" s="2031"/>
      <c r="E11" s="2031"/>
      <c r="F11" s="2031"/>
      <c r="G11" s="2031"/>
      <c r="H11" s="2032"/>
      <c r="I11" s="27"/>
      <c r="J11" s="74"/>
      <c r="K11" s="27"/>
      <c r="O11" s="148" t="s">
        <v>2074</v>
      </c>
      <c r="P11" s="100" t="s">
        <v>210</v>
      </c>
      <c r="Q11" s="30"/>
      <c r="R11" s="28"/>
      <c r="S11" s="27"/>
      <c r="T11" s="2024"/>
      <c r="U11" s="2025"/>
      <c r="V11" s="2025"/>
      <c r="W11" s="2025"/>
      <c r="X11" s="2025"/>
      <c r="Y11" s="2025"/>
      <c r="Z11" s="2025"/>
      <c r="AA11" s="2026"/>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4">
        <v>40056006026</v>
      </c>
      <c r="B13" s="2035"/>
      <c r="C13" s="2035"/>
      <c r="D13" s="2035"/>
      <c r="E13" s="2035"/>
      <c r="F13" s="2035"/>
      <c r="G13" s="2035"/>
      <c r="H13" s="2036"/>
      <c r="I13" s="31"/>
      <c r="J13" s="30"/>
      <c r="K13" s="28"/>
      <c r="L13" s="30"/>
      <c r="M13" s="30"/>
      <c r="N13" s="30"/>
      <c r="O13" s="30"/>
      <c r="P13" s="30"/>
      <c r="Q13" s="30"/>
      <c r="R13" s="30"/>
      <c r="S13" s="30"/>
      <c r="T13" s="2039" t="s">
        <v>2075</v>
      </c>
      <c r="U13" s="2040"/>
      <c r="V13" s="2040"/>
      <c r="W13" s="2040"/>
      <c r="X13" s="2040"/>
      <c r="Y13" s="2041"/>
      <c r="Z13" s="2041"/>
      <c r="AA13" s="204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3" t="s">
        <v>2082</v>
      </c>
      <c r="B15" s="2037"/>
      <c r="C15" s="2037"/>
      <c r="D15" s="2037"/>
      <c r="E15" s="2037"/>
      <c r="F15" s="2037"/>
      <c r="G15" s="2037"/>
      <c r="H15" s="2038"/>
      <c r="T15" s="2043" t="s">
        <v>2076</v>
      </c>
      <c r="U15" s="1987"/>
      <c r="V15" s="1987"/>
      <c r="W15" s="1987"/>
      <c r="X15" s="1987"/>
      <c r="Y15" s="2044"/>
      <c r="Z15" s="2044"/>
      <c r="AA15" s="2045"/>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3" t="s">
        <v>2160</v>
      </c>
      <c r="B17" s="1994"/>
      <c r="C17" s="1994"/>
      <c r="D17" s="1994"/>
      <c r="E17" s="1994"/>
      <c r="F17" s="1994"/>
      <c r="G17" s="1994"/>
      <c r="H17" s="2019"/>
      <c r="T17" s="2050" t="s">
        <v>2077</v>
      </c>
      <c r="U17" s="2051"/>
      <c r="V17" s="2051"/>
      <c r="W17" s="2051"/>
      <c r="X17" s="2051"/>
      <c r="Y17" s="2051"/>
      <c r="Z17" s="2051"/>
      <c r="AA17" s="2052"/>
    </row>
    <row r="18" spans="1:27" ht="13.5" customHeight="1" x14ac:dyDescent="0.2">
      <c r="A18" s="85" t="s">
        <v>551</v>
      </c>
      <c r="B18" s="76"/>
      <c r="C18" s="72"/>
      <c r="D18" s="76"/>
      <c r="E18" s="76"/>
      <c r="F18" s="76"/>
      <c r="G18" s="76"/>
      <c r="H18" s="56"/>
      <c r="I18" s="2018" t="s">
        <v>697</v>
      </c>
      <c r="J18" s="1969"/>
      <c r="K18" s="1969"/>
      <c r="L18" s="1969"/>
      <c r="M18" s="1969"/>
      <c r="N18" s="1969"/>
      <c r="O18" s="1969"/>
      <c r="P18" s="1969"/>
      <c r="Q18" s="1969"/>
      <c r="R18" s="1969"/>
      <c r="S18" s="1970"/>
      <c r="T18" s="85" t="s">
        <v>735</v>
      </c>
      <c r="U18" s="51"/>
      <c r="V18" s="72"/>
      <c r="W18" s="50"/>
      <c r="X18" s="85" t="s">
        <v>284</v>
      </c>
      <c r="Y18" s="81"/>
      <c r="Z18" s="159" t="s">
        <v>698</v>
      </c>
      <c r="AA18" s="46"/>
    </row>
    <row r="19" spans="1:27" ht="13.5" customHeight="1" x14ac:dyDescent="0.2">
      <c r="A19" s="2033" t="s">
        <v>2083</v>
      </c>
      <c r="B19" s="1979"/>
      <c r="C19" s="1979"/>
      <c r="D19" s="1979"/>
      <c r="E19" s="1979"/>
      <c r="F19" s="1979"/>
      <c r="G19" s="1979"/>
      <c r="H19" s="1959"/>
      <c r="I19" s="30"/>
      <c r="J19" s="99"/>
      <c r="K19" s="40"/>
      <c r="L19" s="38"/>
      <c r="M19" s="112" t="s">
        <v>333</v>
      </c>
      <c r="P19" s="27"/>
      <c r="Q19" s="27"/>
      <c r="R19" s="27"/>
      <c r="S19" s="31"/>
      <c r="T19" s="2033" t="s">
        <v>2078</v>
      </c>
      <c r="U19" s="1958"/>
      <c r="V19" s="1958"/>
      <c r="W19" s="1959"/>
      <c r="X19" s="2048" t="s">
        <v>2079</v>
      </c>
      <c r="Y19" s="2049"/>
      <c r="Z19" s="2046">
        <v>62002</v>
      </c>
      <c r="AA19" s="2047"/>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7" t="s">
        <v>2084</v>
      </c>
      <c r="B21" s="1958"/>
      <c r="C21" s="1958"/>
      <c r="D21" s="1958"/>
      <c r="E21" s="1958"/>
      <c r="F21" s="1958"/>
      <c r="G21" s="1958"/>
      <c r="H21" s="1959"/>
      <c r="I21" s="2013" t="s">
        <v>699</v>
      </c>
      <c r="J21" s="2008"/>
      <c r="K21" s="2008"/>
      <c r="L21" s="2008"/>
      <c r="M21" s="2008"/>
      <c r="N21" s="2008"/>
      <c r="O21" s="2008"/>
      <c r="P21" s="2008"/>
      <c r="Q21" s="2008"/>
      <c r="R21" s="2008"/>
      <c r="S21" s="2014"/>
      <c r="T21" s="2057" t="s">
        <v>2080</v>
      </c>
      <c r="U21" s="2058"/>
      <c r="V21" s="2058"/>
      <c r="W21" s="2058"/>
      <c r="X21" s="2063" t="s">
        <v>2081</v>
      </c>
      <c r="Y21" s="2064"/>
      <c r="Z21" s="2064"/>
      <c r="AA21" s="2065"/>
    </row>
    <row r="22" spans="1:27" ht="13.5" customHeight="1" x14ac:dyDescent="0.2">
      <c r="A22" s="87" t="s">
        <v>552</v>
      </c>
      <c r="B22" s="59"/>
      <c r="C22" s="59"/>
      <c r="D22" s="59"/>
      <c r="E22" s="59"/>
      <c r="F22" s="59"/>
      <c r="G22" s="59"/>
      <c r="H22" s="60"/>
      <c r="I22" s="2015" t="s">
        <v>1504</v>
      </c>
      <c r="J22" s="2016"/>
      <c r="K22" s="2016"/>
      <c r="L22" s="2016"/>
      <c r="M22" s="2016"/>
      <c r="N22" s="2016"/>
      <c r="O22" s="2016"/>
      <c r="P22" s="2016"/>
      <c r="Q22" s="2016"/>
      <c r="R22" s="2016"/>
      <c r="S22" s="2017"/>
      <c r="T22" s="85" t="s">
        <v>1596</v>
      </c>
      <c r="U22" s="51"/>
      <c r="V22" s="72"/>
      <c r="W22" s="51"/>
      <c r="X22" s="160" t="s">
        <v>1385</v>
      </c>
      <c r="Z22" s="45"/>
      <c r="AA22" s="46"/>
    </row>
    <row r="23" spans="1:27" ht="13.5" customHeight="1" x14ac:dyDescent="0.2">
      <c r="A23" s="2010"/>
      <c r="B23" s="2011"/>
      <c r="C23" s="2011"/>
      <c r="D23" s="2011"/>
      <c r="E23" s="2011"/>
      <c r="F23" s="2011"/>
      <c r="G23" s="2011"/>
      <c r="H23" s="2012"/>
      <c r="T23" s="1993" t="s">
        <v>2086</v>
      </c>
      <c r="U23" s="2056"/>
      <c r="V23" s="2056"/>
      <c r="W23" s="2056"/>
      <c r="X23" s="2060">
        <v>43466</v>
      </c>
      <c r="Y23" s="2061"/>
      <c r="Z23" s="2061"/>
      <c r="AA23" s="2062"/>
    </row>
    <row r="24" spans="1:27" ht="14.1" customHeight="1" x14ac:dyDescent="0.2">
      <c r="A24" s="88" t="s">
        <v>698</v>
      </c>
      <c r="B24" s="49"/>
      <c r="C24" s="49"/>
      <c r="D24" s="49"/>
      <c r="E24" s="49"/>
      <c r="F24" s="49"/>
      <c r="G24" s="49"/>
      <c r="H24" s="61"/>
      <c r="J24" s="1980">
        <f>IF(B5="x",IF(AUDITCHECK!D29="AFR form Incomplete.","",IF(AUDITCHECK!D29="Deficit reduction plan is required.","School District must complete a deficit reduction plan in the 2018-2019 Budget",)),"")</f>
        <v>0</v>
      </c>
      <c r="K24" s="1980"/>
      <c r="L24" s="1980"/>
      <c r="M24" s="1980"/>
      <c r="N24" s="1980"/>
      <c r="O24" s="1980"/>
      <c r="P24" s="1980"/>
      <c r="Q24" s="1980"/>
      <c r="R24" s="1980"/>
      <c r="S24" s="1981"/>
      <c r="T24" s="105" t="s">
        <v>552</v>
      </c>
      <c r="U24" s="106"/>
      <c r="V24" s="106"/>
      <c r="W24" s="106"/>
      <c r="X24" s="107"/>
      <c r="Y24" s="107"/>
      <c r="Z24" s="107"/>
      <c r="AA24" s="108"/>
    </row>
    <row r="25" spans="1:27" ht="14.1" customHeight="1" x14ac:dyDescent="0.2">
      <c r="A25" s="1957">
        <v>62088</v>
      </c>
      <c r="B25" s="1958"/>
      <c r="C25" s="1958"/>
      <c r="D25" s="1958"/>
      <c r="E25" s="1958"/>
      <c r="F25" s="1958"/>
      <c r="G25" s="1958"/>
      <c r="H25" s="1959"/>
      <c r="I25" s="113"/>
      <c r="J25" s="1982"/>
      <c r="K25" s="1982"/>
      <c r="L25" s="1982"/>
      <c r="M25" s="1982"/>
      <c r="N25" s="1982"/>
      <c r="O25" s="1982"/>
      <c r="P25" s="1982"/>
      <c r="Q25" s="1982"/>
      <c r="R25" s="1982"/>
      <c r="S25" s="1983"/>
      <c r="T25" s="2053" t="s">
        <v>2085</v>
      </c>
      <c r="U25" s="2054"/>
      <c r="V25" s="2054"/>
      <c r="W25" s="2054"/>
      <c r="X25" s="2054"/>
      <c r="Y25" s="2054"/>
      <c r="Z25" s="2054"/>
      <c r="AA25" s="205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8" t="s">
        <v>1591</v>
      </c>
      <c r="J27" s="1969"/>
      <c r="K27" s="1969"/>
      <c r="L27" s="1969"/>
      <c r="M27" s="1969"/>
      <c r="N27" s="1969"/>
      <c r="O27" s="1969"/>
      <c r="P27" s="1969"/>
      <c r="Q27" s="1969"/>
      <c r="R27" s="1969"/>
      <c r="S27" s="197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48" t="s">
        <v>2074</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2074</v>
      </c>
      <c r="C30" s="124" t="s">
        <v>1226</v>
      </c>
      <c r="D30" s="28"/>
      <c r="E30" s="28"/>
      <c r="F30" s="140"/>
      <c r="G30" s="114"/>
      <c r="H30" s="114"/>
      <c r="I30" s="54"/>
      <c r="J30" s="148" t="s">
        <v>2074</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2074</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2074</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9"/>
      <c r="Q35" s="1958"/>
      <c r="R35" s="195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3" t="s">
        <v>2087</v>
      </c>
      <c r="B38" s="1994"/>
      <c r="C38" s="1994"/>
      <c r="D38" s="1994"/>
      <c r="E38" s="1994"/>
      <c r="F38" s="1958"/>
      <c r="G38" s="1958"/>
      <c r="H38" s="1959"/>
      <c r="I38" s="1986"/>
      <c r="J38" s="1987"/>
      <c r="K38" s="1987"/>
      <c r="L38" s="1987"/>
      <c r="M38" s="1987"/>
      <c r="N38" s="1987"/>
      <c r="O38" s="1987"/>
      <c r="P38" s="1988"/>
      <c r="Q38" s="1988"/>
      <c r="R38" s="1988"/>
      <c r="S38" s="1989"/>
      <c r="T38" s="2043" t="s">
        <v>2091</v>
      </c>
      <c r="U38" s="1987"/>
      <c r="V38" s="1987"/>
      <c r="W38" s="1987"/>
      <c r="X38" s="1988"/>
      <c r="Y38" s="1988"/>
      <c r="Z38" s="1988"/>
      <c r="AA38" s="1989"/>
    </row>
    <row r="39" spans="1:27" ht="12" customHeight="1" x14ac:dyDescent="0.2">
      <c r="A39" s="1963" t="s">
        <v>552</v>
      </c>
      <c r="B39" s="1964"/>
      <c r="C39" s="72"/>
      <c r="D39" s="69"/>
      <c r="E39" s="69"/>
      <c r="F39" s="79"/>
      <c r="G39" s="69"/>
      <c r="H39" s="56"/>
      <c r="I39" s="1963" t="s">
        <v>552</v>
      </c>
      <c r="J39" s="1964"/>
      <c r="K39" s="1964"/>
      <c r="L39" s="1964"/>
      <c r="M39" s="1964"/>
      <c r="N39" s="67"/>
      <c r="O39" s="72"/>
      <c r="P39" s="72"/>
      <c r="Q39" s="78"/>
      <c r="R39" s="72"/>
      <c r="S39" s="56"/>
      <c r="T39" s="72" t="s">
        <v>552</v>
      </c>
      <c r="U39" s="51"/>
      <c r="V39" s="72"/>
      <c r="W39" s="50"/>
      <c r="X39" s="78"/>
      <c r="Y39" s="45"/>
      <c r="Z39" s="45"/>
      <c r="AA39" s="46"/>
    </row>
    <row r="40" spans="1:27" ht="13.5" customHeight="1" x14ac:dyDescent="0.2">
      <c r="A40" s="1971" t="s">
        <v>2088</v>
      </c>
      <c r="B40" s="1972"/>
      <c r="C40" s="1973"/>
      <c r="D40" s="1973"/>
      <c r="E40" s="1973"/>
      <c r="F40" s="1974"/>
      <c r="G40" s="1974"/>
      <c r="H40" s="1975"/>
      <c r="I40" s="1996"/>
      <c r="J40" s="1997"/>
      <c r="K40" s="1997"/>
      <c r="L40" s="1997"/>
      <c r="M40" s="1997"/>
      <c r="N40" s="1997"/>
      <c r="O40" s="1997"/>
      <c r="P40" s="1997"/>
      <c r="Q40" s="1997"/>
      <c r="R40" s="1997"/>
      <c r="S40" s="1998"/>
      <c r="T40" s="1996" t="s">
        <v>2092</v>
      </c>
      <c r="U40" s="2059"/>
      <c r="V40" s="1997"/>
      <c r="W40" s="1997"/>
      <c r="X40" s="1997"/>
      <c r="Y40" s="1997"/>
      <c r="Z40" s="1997"/>
      <c r="AA40" s="1998"/>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5" t="s">
        <v>2089</v>
      </c>
      <c r="B42" s="1977"/>
      <c r="C42" s="1978"/>
      <c r="D42" s="1976" t="s">
        <v>2090</v>
      </c>
      <c r="E42" s="1977"/>
      <c r="F42" s="1977"/>
      <c r="G42" s="1977"/>
      <c r="H42" s="1978"/>
      <c r="I42" s="1960"/>
      <c r="J42" s="1961"/>
      <c r="K42" s="1961"/>
      <c r="L42" s="1961"/>
      <c r="M42" s="1961"/>
      <c r="N42" s="1961"/>
      <c r="O42" s="1962"/>
      <c r="P42" s="1995"/>
      <c r="Q42" s="1961"/>
      <c r="R42" s="1961"/>
      <c r="S42" s="1962"/>
      <c r="T42" s="1960" t="s">
        <v>2093</v>
      </c>
      <c r="U42" s="1961"/>
      <c r="V42" s="1961"/>
      <c r="W42" s="1962"/>
      <c r="X42" s="1995" t="s">
        <v>2094</v>
      </c>
      <c r="Y42" s="1961"/>
      <c r="Z42" s="1961"/>
      <c r="AA42" s="1962"/>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0"/>
      <c r="B44" s="1991"/>
      <c r="C44" s="1991"/>
      <c r="D44" s="1991"/>
      <c r="E44" s="1991"/>
      <c r="F44" s="1991"/>
      <c r="G44" s="1991"/>
      <c r="H44" s="1992"/>
      <c r="I44" s="1965"/>
      <c r="J44" s="1966"/>
      <c r="K44" s="1966"/>
      <c r="L44" s="1966"/>
      <c r="M44" s="1966"/>
      <c r="N44" s="1966"/>
      <c r="O44" s="1966"/>
      <c r="P44" s="1966"/>
      <c r="Q44" s="1966"/>
      <c r="R44" s="1966"/>
      <c r="S44" s="1967"/>
      <c r="T44" s="1965"/>
      <c r="U44" s="1984"/>
      <c r="V44" s="1984"/>
      <c r="W44" s="1984"/>
      <c r="X44" s="1984"/>
      <c r="Y44" s="1984"/>
      <c r="Z44" s="1966"/>
      <c r="AA44" s="196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2062</v>
      </c>
      <c r="R47" s="41"/>
      <c r="S47" s="41"/>
      <c r="T47" s="41"/>
      <c r="U47" s="41"/>
      <c r="V47" s="41"/>
      <c r="W47" s="41"/>
      <c r="X47" s="41"/>
      <c r="Y47" s="41"/>
      <c r="Z47" s="41"/>
      <c r="AA47" s="41"/>
    </row>
    <row r="48" spans="1:27" x14ac:dyDescent="0.2">
      <c r="Q48" s="41" t="s">
        <v>2063</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2"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76" zoomScale="110" zoomScaleNormal="110" workbookViewId="0">
      <selection activeCell="X24" sqref="X24"/>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1967</v>
      </c>
      <c r="C4" s="162" t="s">
        <v>1231</v>
      </c>
      <c r="D4" s="169" t="s">
        <v>10</v>
      </c>
      <c r="E4" s="170" t="s">
        <v>22</v>
      </c>
    </row>
    <row r="5" spans="1:5" x14ac:dyDescent="0.2">
      <c r="A5" s="168" t="s">
        <v>1969</v>
      </c>
      <c r="C5" s="162" t="s">
        <v>1231</v>
      </c>
      <c r="D5" s="169" t="s">
        <v>10</v>
      </c>
      <c r="E5" s="170" t="s">
        <v>22</v>
      </c>
    </row>
    <row r="6" spans="1:5" x14ac:dyDescent="0.2">
      <c r="A6" s="168" t="s">
        <v>1968</v>
      </c>
      <c r="C6" s="162" t="s">
        <v>1231</v>
      </c>
      <c r="D6" s="167" t="s">
        <v>11</v>
      </c>
      <c r="E6" s="170" t="s">
        <v>998</v>
      </c>
    </row>
    <row r="7" spans="1:5" x14ac:dyDescent="0.2">
      <c r="A7" s="168" t="s">
        <v>1970</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1971</v>
      </c>
      <c r="C11" s="162" t="s">
        <v>1231</v>
      </c>
      <c r="D11" s="169" t="s">
        <v>14</v>
      </c>
      <c r="E11" s="170" t="s">
        <v>1218</v>
      </c>
    </row>
    <row r="12" spans="1:5" x14ac:dyDescent="0.2">
      <c r="B12" s="169" t="s">
        <v>1972</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1973</v>
      </c>
      <c r="C15" s="162" t="s">
        <v>1231</v>
      </c>
      <c r="D15" s="169" t="s">
        <v>17</v>
      </c>
      <c r="E15" s="170" t="s">
        <v>657</v>
      </c>
    </row>
    <row r="16" spans="1:5" x14ac:dyDescent="0.2">
      <c r="A16" s="172"/>
      <c r="B16" s="162" t="s">
        <v>1974</v>
      </c>
      <c r="C16" s="162" t="s">
        <v>1231</v>
      </c>
      <c r="D16" s="169" t="s">
        <v>702</v>
      </c>
      <c r="E16" s="170" t="s">
        <v>1100</v>
      </c>
    </row>
    <row r="17" spans="1:5" x14ac:dyDescent="0.2">
      <c r="B17" s="167" t="s">
        <v>1045</v>
      </c>
      <c r="C17" s="162" t="s">
        <v>1231</v>
      </c>
    </row>
    <row r="18" spans="1:5" x14ac:dyDescent="0.2">
      <c r="B18" s="167" t="s">
        <v>1980</v>
      </c>
      <c r="D18" s="169" t="s">
        <v>18</v>
      </c>
      <c r="E18" s="170" t="s">
        <v>1101</v>
      </c>
    </row>
    <row r="19" spans="1:5" x14ac:dyDescent="0.2">
      <c r="A19" s="168" t="s">
        <v>1161</v>
      </c>
      <c r="C19" s="162" t="s">
        <v>1231</v>
      </c>
      <c r="D19" s="169"/>
      <c r="E19" s="171"/>
    </row>
    <row r="20" spans="1:5" x14ac:dyDescent="0.2">
      <c r="B20" s="167" t="s">
        <v>1975</v>
      </c>
      <c r="C20" s="162" t="s">
        <v>1231</v>
      </c>
      <c r="D20" s="169" t="s">
        <v>19</v>
      </c>
      <c r="E20" s="170" t="s">
        <v>53</v>
      </c>
    </row>
    <row r="21" spans="1:5" x14ac:dyDescent="0.2">
      <c r="B21" s="167" t="s">
        <v>1976</v>
      </c>
      <c r="C21" s="162" t="s">
        <v>1231</v>
      </c>
      <c r="D21" s="169" t="s">
        <v>20</v>
      </c>
      <c r="E21" s="170" t="s">
        <v>1708</v>
      </c>
    </row>
    <row r="22" spans="1:5" x14ac:dyDescent="0.2">
      <c r="A22" s="168"/>
      <c r="B22" s="162" t="s">
        <v>1964</v>
      </c>
      <c r="C22" s="162" t="s">
        <v>1231</v>
      </c>
      <c r="D22" s="167" t="s">
        <v>1966</v>
      </c>
      <c r="E22" s="1859" t="s">
        <v>1709</v>
      </c>
    </row>
    <row r="23" spans="1:5" x14ac:dyDescent="0.2">
      <c r="A23" s="168"/>
      <c r="B23" s="162" t="s">
        <v>1965</v>
      </c>
      <c r="D23" s="167" t="s">
        <v>658</v>
      </c>
      <c r="E23" s="1859" t="s">
        <v>1016</v>
      </c>
    </row>
    <row r="24" spans="1:5" x14ac:dyDescent="0.2">
      <c r="A24" s="168" t="s">
        <v>1707</v>
      </c>
      <c r="C24" s="162" t="s">
        <v>1231</v>
      </c>
      <c r="D24" s="167" t="s">
        <v>1460</v>
      </c>
      <c r="E24" s="170" t="s">
        <v>1017</v>
      </c>
    </row>
    <row r="25" spans="1:5" x14ac:dyDescent="0.2">
      <c r="A25" s="168" t="s">
        <v>1977</v>
      </c>
      <c r="C25" s="162" t="s">
        <v>1231</v>
      </c>
      <c r="D25" s="169" t="s">
        <v>21</v>
      </c>
      <c r="E25" s="170" t="s">
        <v>1102</v>
      </c>
    </row>
    <row r="26" spans="1:5" x14ac:dyDescent="0.2">
      <c r="A26" s="168" t="s">
        <v>1978</v>
      </c>
      <c r="C26" s="162" t="s">
        <v>1231</v>
      </c>
      <c r="D26" s="169" t="s">
        <v>584</v>
      </c>
      <c r="E26" s="170" t="s">
        <v>1103</v>
      </c>
    </row>
    <row r="27" spans="1:5" x14ac:dyDescent="0.2">
      <c r="A27" s="168" t="s">
        <v>1979</v>
      </c>
      <c r="C27" s="162" t="s">
        <v>1231</v>
      </c>
      <c r="D27" s="169" t="s">
        <v>578</v>
      </c>
      <c r="E27" s="170" t="s">
        <v>704</v>
      </c>
    </row>
    <row r="28" spans="1:5" x14ac:dyDescent="0.2">
      <c r="A28" s="168" t="s">
        <v>1981</v>
      </c>
      <c r="D28" s="169" t="s">
        <v>705</v>
      </c>
      <c r="E28" s="170" t="s">
        <v>1433</v>
      </c>
    </row>
    <row r="29" spans="1:5" x14ac:dyDescent="0.2">
      <c r="A29" s="168" t="s">
        <v>1982</v>
      </c>
      <c r="D29" s="169" t="s">
        <v>1461</v>
      </c>
      <c r="E29" s="170" t="s">
        <v>1442</v>
      </c>
    </row>
    <row r="30" spans="1:5" x14ac:dyDescent="0.2">
      <c r="A30" s="173" t="s">
        <v>1983</v>
      </c>
      <c r="C30" s="162" t="s">
        <v>1231</v>
      </c>
      <c r="D30" s="169" t="s">
        <v>42</v>
      </c>
      <c r="E30" s="170" t="s">
        <v>1039</v>
      </c>
    </row>
    <row r="31" spans="1:5" x14ac:dyDescent="0.2">
      <c r="A31" s="168" t="s">
        <v>1602</v>
      </c>
      <c r="C31" s="162" t="s">
        <v>1231</v>
      </c>
      <c r="D31" s="167"/>
      <c r="E31" s="171"/>
    </row>
    <row r="32" spans="1:5" x14ac:dyDescent="0.2">
      <c r="B32" s="167" t="s">
        <v>1984</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9" t="s">
        <v>1125</v>
      </c>
      <c r="B35" s="2069"/>
      <c r="C35" s="2069"/>
      <c r="D35" s="2069"/>
      <c r="E35" s="206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6" t="s">
        <v>715</v>
      </c>
      <c r="B40" s="2066"/>
      <c r="C40" s="2066"/>
      <c r="D40" s="2066"/>
      <c r="E40" s="2066"/>
    </row>
    <row r="41" spans="1:5" x14ac:dyDescent="0.2">
      <c r="A41" s="2067" t="s">
        <v>1706</v>
      </c>
      <c r="B41" s="2067"/>
      <c r="C41" s="2067"/>
      <c r="D41" s="2067"/>
      <c r="E41" s="2067"/>
    </row>
    <row r="42" spans="1:5" ht="12.75" customHeight="1" x14ac:dyDescent="0.2">
      <c r="A42" s="2068" t="s">
        <v>1080</v>
      </c>
      <c r="B42" s="2068"/>
      <c r="C42" s="2068"/>
      <c r="D42" s="2068"/>
      <c r="E42" s="2068"/>
    </row>
    <row r="43" spans="1:5" ht="6.75" customHeight="1" x14ac:dyDescent="0.2">
      <c r="A43" s="167"/>
      <c r="B43" s="176"/>
    </row>
    <row r="44" spans="1:5" x14ac:dyDescent="0.2">
      <c r="A44" s="185" t="s">
        <v>1040</v>
      </c>
      <c r="B44" s="186" t="s">
        <v>2014</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507" t="s">
        <v>1876</v>
      </c>
    </row>
    <row r="60" spans="1:3" x14ac:dyDescent="0.2">
      <c r="A60" s="196"/>
      <c r="B60" s="1507" t="s">
        <v>1877</v>
      </c>
    </row>
    <row r="61" spans="1:3" ht="6" customHeight="1" x14ac:dyDescent="0.2">
      <c r="A61" s="197"/>
      <c r="B61" s="189"/>
    </row>
    <row r="62" spans="1:3" x14ac:dyDescent="0.2">
      <c r="A62" s="169" t="s">
        <v>1714</v>
      </c>
      <c r="B62" s="198" t="s">
        <v>1873</v>
      </c>
    </row>
    <row r="63" spans="1:3" x14ac:dyDescent="0.2">
      <c r="A63" s="188"/>
      <c r="B63" s="169" t="s">
        <v>1888</v>
      </c>
    </row>
    <row r="64" spans="1:3" x14ac:dyDescent="0.2">
      <c r="A64" s="195"/>
      <c r="B64" s="1509"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508" t="s">
        <v>1717</v>
      </c>
    </row>
    <row r="72" spans="1:9" ht="9" customHeight="1" x14ac:dyDescent="0.2">
      <c r="A72" s="192"/>
      <c r="B72" s="199"/>
    </row>
    <row r="73" spans="1:9" x14ac:dyDescent="0.2">
      <c r="A73" s="189" t="s">
        <v>1718</v>
      </c>
      <c r="B73" s="169" t="s">
        <v>1884</v>
      </c>
    </row>
    <row r="74" spans="1:9" x14ac:dyDescent="0.2">
      <c r="A74" s="189"/>
      <c r="B74" s="169" t="s">
        <v>1883</v>
      </c>
    </row>
    <row r="75" spans="1:9" ht="8.25" customHeight="1" x14ac:dyDescent="0.2">
      <c r="A75" s="189"/>
      <c r="B75" s="189"/>
    </row>
    <row r="76" spans="1:9" ht="12.2" customHeight="1" x14ac:dyDescent="0.2">
      <c r="A76" s="189" t="s">
        <v>1719</v>
      </c>
      <c r="B76" s="198" t="s">
        <v>1885</v>
      </c>
    </row>
    <row r="77" spans="1:9" ht="12.2" customHeight="1" x14ac:dyDescent="0.2">
      <c r="A77" s="190"/>
      <c r="B77" s="169" t="s">
        <v>1720</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election activeCell="X24" sqref="X2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0" t="s">
        <v>1230</v>
      </c>
      <c r="B2" s="2070"/>
      <c r="C2" s="2070"/>
      <c r="D2" s="2070"/>
      <c r="E2" s="2070"/>
      <c r="F2" s="2070"/>
      <c r="G2" s="2070"/>
      <c r="H2" s="2070"/>
      <c r="I2" s="2070"/>
      <c r="J2" s="2070"/>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1893</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4" t="s">
        <v>1731</v>
      </c>
      <c r="B35" s="2085"/>
      <c r="C35" s="2085"/>
      <c r="D35" s="2085"/>
      <c r="E35" s="2086"/>
      <c r="F35" s="2086"/>
      <c r="G35" s="2086"/>
      <c r="H35" s="2086"/>
      <c r="I35" s="208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4" t="s">
        <v>331</v>
      </c>
      <c r="B47" s="2087"/>
      <c r="C47" s="2087"/>
      <c r="D47" s="2087"/>
      <c r="E47" s="2088"/>
      <c r="F47" s="2088"/>
      <c r="G47" s="2088"/>
      <c r="H47" s="2088"/>
      <c r="I47" s="208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2074</v>
      </c>
      <c r="C53" s="179">
        <v>22</v>
      </c>
      <c r="D53" s="247" t="s">
        <v>1537</v>
      </c>
      <c r="E53" s="248"/>
      <c r="F53" s="249"/>
      <c r="G53" s="249" t="s">
        <v>1536</v>
      </c>
      <c r="H53" s="250">
        <v>35370</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1"/>
      <c r="C57" s="2092"/>
      <c r="D57" s="2092"/>
      <c r="E57" s="2092"/>
      <c r="F57" s="2092"/>
      <c r="G57" s="2092"/>
      <c r="H57" s="2092"/>
      <c r="I57" s="2092"/>
      <c r="J57" s="2093"/>
    </row>
    <row r="58" spans="1:10" s="181" customFormat="1" x14ac:dyDescent="0.2">
      <c r="A58" s="253"/>
      <c r="B58" s="2094"/>
      <c r="C58" s="2095"/>
      <c r="D58" s="2095"/>
      <c r="E58" s="2095"/>
      <c r="F58" s="2095"/>
      <c r="G58" s="2095"/>
      <c r="H58" s="2095"/>
      <c r="I58" s="2095"/>
      <c r="J58" s="2096"/>
    </row>
    <row r="59" spans="1:10" s="181" customFormat="1" x14ac:dyDescent="0.2">
      <c r="A59" s="253"/>
      <c r="B59" s="2094"/>
      <c r="C59" s="2095"/>
      <c r="D59" s="2095"/>
      <c r="E59" s="2095"/>
      <c r="F59" s="2095"/>
      <c r="G59" s="2095"/>
      <c r="H59" s="2095"/>
      <c r="I59" s="2095"/>
      <c r="J59" s="2096"/>
    </row>
    <row r="60" spans="1:10" s="181" customFormat="1" x14ac:dyDescent="0.2">
      <c r="A60" s="253"/>
      <c r="B60" s="2094"/>
      <c r="C60" s="2095"/>
      <c r="D60" s="2095"/>
      <c r="E60" s="2095"/>
      <c r="F60" s="2095"/>
      <c r="G60" s="2095"/>
      <c r="H60" s="2095"/>
      <c r="I60" s="2095"/>
      <c r="J60" s="2096"/>
    </row>
    <row r="61" spans="1:10" s="181" customFormat="1" x14ac:dyDescent="0.2">
      <c r="A61" s="253"/>
      <c r="B61" s="2094"/>
      <c r="C61" s="2095"/>
      <c r="D61" s="2095"/>
      <c r="E61" s="2095"/>
      <c r="F61" s="2095"/>
      <c r="G61" s="2095"/>
      <c r="H61" s="2095"/>
      <c r="I61" s="2095"/>
      <c r="J61" s="2096"/>
    </row>
    <row r="62" spans="1:10" s="181" customFormat="1" x14ac:dyDescent="0.2">
      <c r="A62" s="253"/>
      <c r="B62" s="2094"/>
      <c r="C62" s="2095"/>
      <c r="D62" s="2095"/>
      <c r="E62" s="2095"/>
      <c r="F62" s="2095"/>
      <c r="G62" s="2095"/>
      <c r="H62" s="2095"/>
      <c r="I62" s="2095"/>
      <c r="J62" s="2096"/>
    </row>
    <row r="63" spans="1:10" s="181" customFormat="1" x14ac:dyDescent="0.2">
      <c r="A63" s="253"/>
      <c r="B63" s="2094"/>
      <c r="C63" s="2095"/>
      <c r="D63" s="2095"/>
      <c r="E63" s="2095"/>
      <c r="F63" s="2095"/>
      <c r="G63" s="2095"/>
      <c r="H63" s="2095"/>
      <c r="I63" s="2095"/>
      <c r="J63" s="2096"/>
    </row>
    <row r="64" spans="1:10" s="181" customFormat="1" x14ac:dyDescent="0.2">
      <c r="A64" s="253"/>
      <c r="B64" s="2094"/>
      <c r="C64" s="2095"/>
      <c r="D64" s="2095"/>
      <c r="E64" s="2095"/>
      <c r="F64" s="2095"/>
      <c r="G64" s="2095"/>
      <c r="H64" s="2095"/>
      <c r="I64" s="2095"/>
      <c r="J64" s="2096"/>
    </row>
    <row r="65" spans="1:10" s="181" customFormat="1" x14ac:dyDescent="0.2">
      <c r="A65" s="253"/>
      <c r="B65" s="2094"/>
      <c r="C65" s="2095"/>
      <c r="D65" s="2095"/>
      <c r="E65" s="2095"/>
      <c r="F65" s="2095"/>
      <c r="G65" s="2095"/>
      <c r="H65" s="2095"/>
      <c r="I65" s="2095"/>
      <c r="J65" s="2096"/>
    </row>
    <row r="66" spans="1:10" s="181" customFormat="1" x14ac:dyDescent="0.2">
      <c r="A66" s="253"/>
      <c r="B66" s="2094"/>
      <c r="C66" s="2095"/>
      <c r="D66" s="2095"/>
      <c r="E66" s="2095"/>
      <c r="F66" s="2095"/>
      <c r="G66" s="2095"/>
      <c r="H66" s="2095"/>
      <c r="I66" s="2095"/>
      <c r="J66" s="2096"/>
    </row>
    <row r="67" spans="1:10" s="181" customFormat="1" ht="9" customHeight="1" x14ac:dyDescent="0.2">
      <c r="A67" s="254"/>
      <c r="B67" s="2097"/>
      <c r="C67" s="2098"/>
      <c r="D67" s="2098"/>
      <c r="E67" s="2098"/>
      <c r="F67" s="2098"/>
      <c r="G67" s="2098"/>
      <c r="H67" s="2098"/>
      <c r="I67" s="2098"/>
      <c r="J67" s="209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4" t="s">
        <v>1390</v>
      </c>
      <c r="B70" s="2087"/>
      <c r="C70" s="2087"/>
      <c r="D70" s="2087"/>
      <c r="E70" s="2088"/>
      <c r="F70" s="2088"/>
      <c r="G70" s="2088"/>
      <c r="H70" s="2088"/>
      <c r="I70" s="2088"/>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2066</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2017</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9" t="s">
        <v>1387</v>
      </c>
      <c r="B83" s="2089"/>
      <c r="C83" s="2089"/>
      <c r="D83" s="2090"/>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2064</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2065</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1"/>
      <c r="C102" s="2072"/>
      <c r="D102" s="2072"/>
      <c r="E102" s="2072"/>
      <c r="F102" s="2072"/>
      <c r="G102" s="2072"/>
      <c r="H102" s="2072"/>
      <c r="I102" s="2073"/>
    </row>
    <row r="103" spans="1:9" s="181" customFormat="1" ht="11.25" customHeight="1" x14ac:dyDescent="0.2">
      <c r="A103" s="316"/>
      <c r="B103" s="2074"/>
      <c r="C103" s="2075"/>
      <c r="D103" s="2075"/>
      <c r="E103" s="2075"/>
      <c r="F103" s="2075"/>
      <c r="G103" s="2075"/>
      <c r="H103" s="2075"/>
      <c r="I103" s="2076"/>
    </row>
    <row r="104" spans="1:9" s="181" customFormat="1" ht="11.25" customHeight="1" x14ac:dyDescent="0.2">
      <c r="A104" s="316"/>
      <c r="B104" s="2074"/>
      <c r="C104" s="2075"/>
      <c r="D104" s="2075"/>
      <c r="E104" s="2075"/>
      <c r="F104" s="2075"/>
      <c r="G104" s="2075"/>
      <c r="H104" s="2075"/>
      <c r="I104" s="2076"/>
    </row>
    <row r="105" spans="1:9" s="181" customFormat="1" x14ac:dyDescent="0.2">
      <c r="A105" s="316"/>
      <c r="B105" s="2074"/>
      <c r="C105" s="2075"/>
      <c r="D105" s="2075"/>
      <c r="E105" s="2075"/>
      <c r="F105" s="2075"/>
      <c r="G105" s="2075"/>
      <c r="H105" s="2075"/>
      <c r="I105" s="2076"/>
    </row>
    <row r="106" spans="1:9" s="181" customFormat="1" ht="11.25" customHeight="1" x14ac:dyDescent="0.2">
      <c r="A106" s="316"/>
      <c r="B106" s="2074"/>
      <c r="C106" s="2075"/>
      <c r="D106" s="2075"/>
      <c r="E106" s="2075"/>
      <c r="F106" s="2075"/>
      <c r="G106" s="2075"/>
      <c r="H106" s="2075"/>
      <c r="I106" s="2076"/>
    </row>
    <row r="107" spans="1:9" s="181" customFormat="1" ht="11.25" customHeight="1" x14ac:dyDescent="0.2">
      <c r="A107" s="316"/>
      <c r="B107" s="2074"/>
      <c r="C107" s="2075"/>
      <c r="D107" s="2075"/>
      <c r="E107" s="2075"/>
      <c r="F107" s="2075"/>
      <c r="G107" s="2075"/>
      <c r="H107" s="2075"/>
      <c r="I107" s="2076"/>
    </row>
    <row r="108" spans="1:9" s="181" customFormat="1" ht="11.25" customHeight="1" x14ac:dyDescent="0.2">
      <c r="A108" s="316"/>
      <c r="B108" s="2074"/>
      <c r="C108" s="2075"/>
      <c r="D108" s="2075"/>
      <c r="E108" s="2075"/>
      <c r="F108" s="2075"/>
      <c r="G108" s="2075"/>
      <c r="H108" s="2075"/>
      <c r="I108" s="2076"/>
    </row>
    <row r="109" spans="1:9" s="181" customFormat="1" ht="11.25" customHeight="1" x14ac:dyDescent="0.2">
      <c r="A109" s="316"/>
      <c r="B109" s="2074"/>
      <c r="C109" s="2075"/>
      <c r="D109" s="2075"/>
      <c r="E109" s="2075"/>
      <c r="F109" s="2075"/>
      <c r="G109" s="2075"/>
      <c r="H109" s="2075"/>
      <c r="I109" s="2076"/>
    </row>
    <row r="110" spans="1:9" s="181" customFormat="1" ht="11.25" customHeight="1" x14ac:dyDescent="0.2">
      <c r="A110" s="316"/>
      <c r="B110" s="2074"/>
      <c r="C110" s="2075"/>
      <c r="D110" s="2075"/>
      <c r="E110" s="2075"/>
      <c r="F110" s="2075"/>
      <c r="G110" s="2075"/>
      <c r="H110" s="2075"/>
      <c r="I110" s="2076"/>
    </row>
    <row r="111" spans="1:9" s="181" customFormat="1" ht="11.25" customHeight="1" x14ac:dyDescent="0.2">
      <c r="A111" s="316"/>
      <c r="B111" s="2074"/>
      <c r="C111" s="2075"/>
      <c r="D111" s="2075"/>
      <c r="E111" s="2075"/>
      <c r="F111" s="2075"/>
      <c r="G111" s="2075"/>
      <c r="H111" s="2075"/>
      <c r="I111" s="2076"/>
    </row>
    <row r="112" spans="1:9" s="181" customFormat="1" ht="11.25" customHeight="1" x14ac:dyDescent="0.2">
      <c r="A112" s="316"/>
      <c r="B112" s="2077"/>
      <c r="C112" s="2078"/>
      <c r="D112" s="2078"/>
      <c r="E112" s="2078"/>
      <c r="F112" s="2078"/>
      <c r="G112" s="2078"/>
      <c r="H112" s="2078"/>
      <c r="I112" s="207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0" t="s">
        <v>2075</v>
      </c>
      <c r="D114" s="208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1" t="s">
        <v>1397</v>
      </c>
      <c r="D117" s="2082"/>
      <c r="E117" s="2083"/>
      <c r="F117" s="2083"/>
      <c r="G117" s="2083"/>
      <c r="H117" s="2083"/>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2018</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X24" sqref="X24"/>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0" t="s">
        <v>404</v>
      </c>
      <c r="B1" s="2100"/>
      <c r="C1" s="2100"/>
      <c r="D1" s="2100"/>
      <c r="E1" s="2100"/>
      <c r="F1" s="2100"/>
      <c r="G1" s="2100"/>
      <c r="H1" s="2100"/>
      <c r="I1" s="2100"/>
      <c r="J1" s="2100"/>
      <c r="K1" s="2100"/>
      <c r="L1" s="2100"/>
      <c r="M1" s="210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110482236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f>0.0204933+0.018233</f>
        <v>3.8726299999999998E-2</v>
      </c>
      <c r="E10" s="356" t="s">
        <v>1062</v>
      </c>
      <c r="F10" s="355">
        <f>0.0043139+0.004513</f>
        <v>8.8268999999999986E-3</v>
      </c>
      <c r="G10" s="356" t="s">
        <v>1062</v>
      </c>
      <c r="H10" s="355">
        <f>0.0020078+0.001983</f>
        <v>3.9908000000000001E-3</v>
      </c>
      <c r="I10" s="356" t="s">
        <v>1063</v>
      </c>
      <c r="J10" s="1754">
        <f>ROUND(D10+F10+H10,5)</f>
        <v>5.1540000000000002E-2</v>
      </c>
      <c r="K10" s="222"/>
      <c r="L10" s="355">
        <f>0.0004362+0.000457</f>
        <v>8.9320000000000003E-4</v>
      </c>
      <c r="M10" s="222"/>
    </row>
    <row r="11" spans="1:14" ht="7.5" customHeight="1" x14ac:dyDescent="0.2">
      <c r="B11" s="222"/>
      <c r="C11" s="222"/>
      <c r="D11" s="2110" t="str">
        <f>IF(SUM(J10)&lt;=0.0999999,"","Enter the Tax Rates by moving the decimal two places to the left.")</f>
        <v/>
      </c>
      <c r="E11" s="2111"/>
      <c r="F11" s="2111"/>
      <c r="G11" s="2111"/>
      <c r="H11" s="2111"/>
      <c r="I11" s="2111"/>
      <c r="J11" s="211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9908197</v>
      </c>
      <c r="E16" s="356"/>
      <c r="F16" s="1755">
        <f>SUM('Acct Summary 7-8'!C17,'Acct Summary 7-8'!D17,'Acct Summary 7-8'!F17)</f>
        <v>9368405</v>
      </c>
      <c r="G16" s="356"/>
      <c r="H16" s="1755">
        <f>SUM(D16-F16)</f>
        <v>539792</v>
      </c>
      <c r="I16" s="222"/>
      <c r="J16" s="1755">
        <f>SUM('Acct Summary 7-8'!C81,'Acct Summary 7-8'!D81,'Acct Summary 7-8'!F81,'Acct Summary 7-8'!I81)</f>
        <v>3036401</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f>IF(B31="X",(J7*0.069),IF(B32="X",(J7*0.138),"Enter x in a.or b."))</f>
        <v>15246548.568000002</v>
      </c>
      <c r="I31" s="368"/>
      <c r="J31" s="222"/>
      <c r="K31" s="222"/>
      <c r="L31" s="222"/>
      <c r="M31" s="222"/>
    </row>
    <row r="32" spans="1:13" ht="13.35" customHeight="1" x14ac:dyDescent="0.2">
      <c r="B32" s="369" t="s">
        <v>2074</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4455000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1"/>
      <c r="C54" s="2102"/>
      <c r="D54" s="2102"/>
      <c r="E54" s="2102"/>
      <c r="F54" s="2102"/>
      <c r="G54" s="2102"/>
      <c r="H54" s="2102"/>
      <c r="I54" s="2102"/>
      <c r="J54" s="2102"/>
      <c r="K54" s="2102"/>
      <c r="L54" s="2103"/>
      <c r="M54" s="380"/>
    </row>
    <row r="55" spans="1:13" ht="12.75" customHeight="1" x14ac:dyDescent="0.2">
      <c r="B55" s="2104"/>
      <c r="C55" s="2105"/>
      <c r="D55" s="2105"/>
      <c r="E55" s="2105"/>
      <c r="F55" s="2105"/>
      <c r="G55" s="2105"/>
      <c r="H55" s="2105"/>
      <c r="I55" s="2105"/>
      <c r="J55" s="2105"/>
      <c r="K55" s="2105"/>
      <c r="L55" s="2106"/>
      <c r="M55" s="380"/>
    </row>
    <row r="56" spans="1:13" ht="12.75" customHeight="1" x14ac:dyDescent="0.2">
      <c r="B56" s="2104"/>
      <c r="C56" s="2105"/>
      <c r="D56" s="2105"/>
      <c r="E56" s="2105"/>
      <c r="F56" s="2105"/>
      <c r="G56" s="2105"/>
      <c r="H56" s="2105"/>
      <c r="I56" s="2105"/>
      <c r="J56" s="2105"/>
      <c r="K56" s="2105"/>
      <c r="L56" s="2106"/>
      <c r="M56" s="222"/>
    </row>
    <row r="57" spans="1:13" ht="12.75" customHeight="1" x14ac:dyDescent="0.2">
      <c r="B57" s="2104"/>
      <c r="C57" s="2105"/>
      <c r="D57" s="2105"/>
      <c r="E57" s="2105"/>
      <c r="F57" s="2105"/>
      <c r="G57" s="2105"/>
      <c r="H57" s="2105"/>
      <c r="I57" s="2105"/>
      <c r="J57" s="2105"/>
      <c r="K57" s="2105"/>
      <c r="L57" s="2106"/>
      <c r="M57" s="222"/>
    </row>
    <row r="58" spans="1:13" x14ac:dyDescent="0.2">
      <c r="B58" s="2107"/>
      <c r="C58" s="2108"/>
      <c r="D58" s="2108"/>
      <c r="E58" s="2108"/>
      <c r="F58" s="2108"/>
      <c r="G58" s="2108"/>
      <c r="H58" s="2108"/>
      <c r="I58" s="2108"/>
      <c r="J58" s="2108"/>
      <c r="K58" s="2108"/>
      <c r="L58" s="210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2"/>
      <c r="D61" s="211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X24" sqref="X2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5"/>
      <c r="B1" s="2116"/>
      <c r="C1" s="2116"/>
      <c r="D1" s="384"/>
      <c r="E1" s="384"/>
      <c r="F1" s="384"/>
      <c r="G1" s="384"/>
      <c r="H1" s="384"/>
      <c r="I1" s="384"/>
      <c r="J1" s="384"/>
      <c r="K1" s="384"/>
      <c r="L1" s="384"/>
      <c r="M1" s="384"/>
      <c r="N1" s="384"/>
      <c r="O1" s="2115"/>
      <c r="P1" s="2116"/>
      <c r="Q1" s="2116"/>
    </row>
    <row r="2" spans="1:18" ht="15" x14ac:dyDescent="0.2">
      <c r="A2" s="2119" t="s">
        <v>577</v>
      </c>
      <c r="B2" s="2119"/>
      <c r="C2" s="2119"/>
      <c r="D2" s="2119"/>
      <c r="E2" s="2119"/>
      <c r="F2" s="2119"/>
      <c r="G2" s="2119"/>
      <c r="H2" s="2119"/>
      <c r="I2" s="2119"/>
      <c r="J2" s="2119"/>
      <c r="K2" s="2119"/>
      <c r="L2" s="2119"/>
      <c r="M2" s="2119"/>
      <c r="N2" s="2119"/>
      <c r="O2" s="2119"/>
      <c r="P2" s="2119"/>
      <c r="Q2" s="2119"/>
      <c r="R2" s="2119"/>
    </row>
    <row r="3" spans="1:18" ht="12.75" x14ac:dyDescent="0.2">
      <c r="A3" s="2120" t="s">
        <v>1480</v>
      </c>
      <c r="B3" s="2120"/>
      <c r="C3" s="2120"/>
      <c r="D3" s="2120"/>
      <c r="E3" s="2120"/>
      <c r="F3" s="2120"/>
      <c r="G3" s="2120"/>
      <c r="H3" s="2120"/>
      <c r="I3" s="2120"/>
      <c r="J3" s="2120"/>
      <c r="K3" s="2120"/>
      <c r="L3" s="2120"/>
      <c r="M3" s="2120"/>
      <c r="N3" s="2120"/>
      <c r="O3" s="2120"/>
      <c r="P3" s="2120"/>
      <c r="Q3" s="2120"/>
      <c r="R3" s="2120"/>
    </row>
    <row r="4" spans="1:18" x14ac:dyDescent="0.2">
      <c r="A4" s="2121" t="s">
        <v>1635</v>
      </c>
      <c r="B4" s="2121"/>
      <c r="C4" s="2121"/>
      <c r="D4" s="2121"/>
      <c r="E4" s="2121"/>
      <c r="F4" s="2121"/>
      <c r="G4" s="2121"/>
      <c r="H4" s="2121"/>
      <c r="I4" s="2121"/>
      <c r="J4" s="2121"/>
      <c r="K4" s="2121"/>
      <c r="L4" s="2121"/>
      <c r="M4" s="2121"/>
      <c r="N4" s="2121"/>
      <c r="O4" s="2121"/>
      <c r="P4" s="2121"/>
      <c r="Q4" s="2121"/>
      <c r="R4" s="212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Staunton CUSD 6</v>
      </c>
      <c r="E7" s="391"/>
      <c r="G7" s="252"/>
      <c r="H7" s="387"/>
      <c r="I7" s="387"/>
      <c r="J7" s="387"/>
      <c r="K7" s="387"/>
      <c r="L7" s="329"/>
      <c r="M7" s="329"/>
      <c r="N7" s="329"/>
      <c r="O7" s="329"/>
      <c r="P7" s="329"/>
    </row>
    <row r="8" spans="1:18" ht="12.75" x14ac:dyDescent="0.2">
      <c r="A8" s="329"/>
      <c r="B8" s="329"/>
      <c r="C8" s="389" t="s">
        <v>1187</v>
      </c>
      <c r="D8" s="392">
        <f>COVER!A13</f>
        <v>40056006026</v>
      </c>
      <c r="E8" s="393"/>
      <c r="G8" s="329"/>
      <c r="H8" s="329"/>
      <c r="I8" s="329"/>
      <c r="J8" s="329"/>
      <c r="K8" s="329"/>
      <c r="L8" s="329"/>
      <c r="M8" s="329"/>
      <c r="N8" s="329"/>
      <c r="O8" s="329"/>
      <c r="P8" s="329"/>
    </row>
    <row r="9" spans="1:18" ht="12.75" x14ac:dyDescent="0.2">
      <c r="A9" s="329"/>
      <c r="B9" s="329"/>
      <c r="C9" s="389" t="s">
        <v>737</v>
      </c>
      <c r="D9" s="394" t="str">
        <f>COVER!A15</f>
        <v>MACOUPIN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3036401</v>
      </c>
      <c r="I12" s="404"/>
      <c r="J12" s="404"/>
      <c r="K12" s="405">
        <f>TRUNC((H12/H13*100000),5)/100000</f>
        <v>0.3064534344</v>
      </c>
      <c r="L12" s="406"/>
      <c r="M12" s="360" t="s">
        <v>1206</v>
      </c>
      <c r="N12" s="360"/>
      <c r="O12" s="407">
        <v>0.35</v>
      </c>
      <c r="P12" s="218"/>
      <c r="Q12" s="218"/>
    </row>
    <row r="13" spans="1:18" s="408" customFormat="1" ht="12.75" x14ac:dyDescent="0.2">
      <c r="A13" s="218"/>
      <c r="B13" s="401"/>
      <c r="C13" s="2117" t="s">
        <v>1391</v>
      </c>
      <c r="D13" s="2118"/>
      <c r="E13" s="218"/>
      <c r="F13" s="409" t="s">
        <v>826</v>
      </c>
      <c r="G13" s="402"/>
      <c r="H13" s="403">
        <f>SUM('Acct Summary 7-8'!C8+'Acct Summary 7-8'!D8+'Acct Summary 7-8'!F8+'Acct Summary 7-8'!I8)+H14</f>
        <v>9908197</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9368405</v>
      </c>
      <c r="I17" s="404"/>
      <c r="J17" s="416"/>
      <c r="K17" s="405">
        <f>TRUNC((H17/H18*100000),5)/100000</f>
        <v>0.94552066330000006</v>
      </c>
      <c r="L17" s="406"/>
      <c r="M17" s="417" t="s">
        <v>1233</v>
      </c>
      <c r="O17" s="418" t="str">
        <f>IF(AND(O16="2", J20 &gt; 2),"1",IF(AND(O16 = "1", J20 &gt; 2),"2",IF(AND(O16="1", J20 &gt;1),"1","0")))</f>
        <v>0</v>
      </c>
      <c r="P17" s="218"/>
    </row>
    <row r="18" spans="1:18" s="408" customFormat="1" ht="11.25" x14ac:dyDescent="0.2">
      <c r="A18" s="218"/>
      <c r="B18" s="401"/>
      <c r="C18" s="2117" t="s">
        <v>1384</v>
      </c>
      <c r="D18" s="2118"/>
      <c r="E18" s="218"/>
      <c r="F18" s="419" t="s">
        <v>827</v>
      </c>
      <c r="G18" s="402"/>
      <c r="H18" s="403">
        <f>SUM('Acct Summary 7-8'!C8+'Acct Summary 7-8'!D8+'Acct Summary 7-8'!F8+'Acct Summary 7-8'!I8)+H19</f>
        <v>9908197</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4" t="s">
        <v>1479</v>
      </c>
      <c r="D24" s="2114"/>
      <c r="E24" s="218"/>
      <c r="F24" s="218" t="s">
        <v>465</v>
      </c>
      <c r="G24" s="402"/>
      <c r="H24" s="403">
        <f>SUM('Assets-Liab 5-6'!C4+'Assets-Liab 5-6'!D4+'Assets-Liab 5-6'!F4+'Assets-Liab 5-6'!I4+'Assets-Liab 5-6'!C5+'Assets-Liab 5-6'!D5+'Assets-Liab 5-6'!F5+'Assets-Liab 5-6'!I5)</f>
        <v>3036401</v>
      </c>
      <c r="I24" s="422"/>
      <c r="J24" s="422"/>
      <c r="K24" s="423">
        <f>TRUNC(((H24/H25*100000)/100000),2)</f>
        <v>116.67</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26023.34722</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2067</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4840116.2769200001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4455000</v>
      </c>
      <c r="I32" s="420"/>
      <c r="J32" s="420"/>
      <c r="K32" s="423">
        <f>TRUNC(100-((((H32/H33*100))*100)/100),2)</f>
        <v>70.78</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15246548.568000002</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80" zoomScaleNormal="80" workbookViewId="0">
      <pane ySplit="2" topLeftCell="A3" activePane="bottomLeft" state="frozen"/>
      <selection activeCell="X24" sqref="X24"/>
      <selection pane="bottomLeft" activeCell="X24" sqref="X2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4" t="s">
        <v>1030</v>
      </c>
      <c r="B3" s="2125"/>
      <c r="C3" s="1581"/>
      <c r="D3" s="1582"/>
      <c r="E3" s="1582"/>
      <c r="F3" s="1582"/>
      <c r="G3" s="1582"/>
      <c r="H3" s="1582"/>
      <c r="I3" s="1582"/>
      <c r="J3" s="1582"/>
      <c r="K3" s="1582"/>
      <c r="L3" s="1582"/>
      <c r="M3" s="1583"/>
      <c r="N3" s="1584"/>
    </row>
    <row r="4" spans="1:14" ht="13.5" customHeight="1" x14ac:dyDescent="0.2">
      <c r="A4" s="463" t="s">
        <v>1750</v>
      </c>
      <c r="B4" s="464"/>
      <c r="C4" s="465">
        <v>1014932</v>
      </c>
      <c r="D4" s="466">
        <v>110025</v>
      </c>
      <c r="E4" s="466">
        <v>227526</v>
      </c>
      <c r="F4" s="466">
        <v>659958</v>
      </c>
      <c r="G4" s="466">
        <v>187751</v>
      </c>
      <c r="H4" s="466">
        <v>258857</v>
      </c>
      <c r="I4" s="466">
        <v>616128</v>
      </c>
      <c r="J4" s="467">
        <v>76638</v>
      </c>
      <c r="K4" s="466">
        <v>112964</v>
      </c>
      <c r="L4" s="466">
        <v>123670</v>
      </c>
      <c r="M4" s="468"/>
      <c r="N4" s="469"/>
    </row>
    <row r="5" spans="1:14" x14ac:dyDescent="0.2">
      <c r="A5" s="463" t="s">
        <v>1049</v>
      </c>
      <c r="B5" s="470">
        <v>120</v>
      </c>
      <c r="C5" s="465"/>
      <c r="D5" s="466"/>
      <c r="E5" s="466"/>
      <c r="F5" s="466"/>
      <c r="G5" s="466"/>
      <c r="H5" s="466"/>
      <c r="I5" s="466">
        <v>635358</v>
      </c>
      <c r="J5" s="467"/>
      <c r="K5" s="471"/>
      <c r="L5" s="472">
        <v>76241</v>
      </c>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1014932</v>
      </c>
      <c r="D13" s="1759">
        <f t="shared" ref="D13:L13" si="0">SUM(D4:D12)</f>
        <v>110025</v>
      </c>
      <c r="E13" s="1759">
        <f t="shared" si="0"/>
        <v>227526</v>
      </c>
      <c r="F13" s="1759">
        <f t="shared" si="0"/>
        <v>659958</v>
      </c>
      <c r="G13" s="1759">
        <f t="shared" si="0"/>
        <v>187751</v>
      </c>
      <c r="H13" s="1759">
        <f t="shared" si="0"/>
        <v>258857</v>
      </c>
      <c r="I13" s="1759">
        <f t="shared" si="0"/>
        <v>1251486</v>
      </c>
      <c r="J13" s="1759">
        <f t="shared" si="0"/>
        <v>76638</v>
      </c>
      <c r="K13" s="1759">
        <f t="shared" si="0"/>
        <v>112964</v>
      </c>
      <c r="L13" s="1759">
        <f t="shared" si="0"/>
        <v>199911</v>
      </c>
      <c r="M13" s="468"/>
      <c r="N13" s="469"/>
    </row>
    <row r="14" spans="1:14" ht="18" customHeight="1" thickTop="1" x14ac:dyDescent="0.2">
      <c r="A14" s="2126" t="s">
        <v>149</v>
      </c>
      <c r="B14" s="2127"/>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223421</v>
      </c>
      <c r="N16" s="484"/>
    </row>
    <row r="17" spans="1:14" s="485" customFormat="1" ht="12.75" customHeight="1" x14ac:dyDescent="0.2">
      <c r="A17" s="482" t="s">
        <v>1470</v>
      </c>
      <c r="B17" s="483">
        <v>230</v>
      </c>
      <c r="C17" s="477"/>
      <c r="D17" s="477"/>
      <c r="E17" s="477"/>
      <c r="F17" s="477"/>
      <c r="G17" s="477"/>
      <c r="H17" s="477"/>
      <c r="I17" s="477"/>
      <c r="J17" s="477"/>
      <c r="K17" s="477"/>
      <c r="L17" s="477"/>
      <c r="M17" s="467">
        <v>13868462</v>
      </c>
      <c r="N17" s="484"/>
    </row>
    <row r="18" spans="1:14" s="485" customFormat="1" ht="12.75" customHeight="1" x14ac:dyDescent="0.2">
      <c r="A18" s="482" t="s">
        <v>1471</v>
      </c>
      <c r="B18" s="483">
        <v>240</v>
      </c>
      <c r="C18" s="477"/>
      <c r="D18" s="477"/>
      <c r="E18" s="477"/>
      <c r="F18" s="477"/>
      <c r="G18" s="477"/>
      <c r="H18" s="477"/>
      <c r="I18" s="477"/>
      <c r="J18" s="477"/>
      <c r="K18" s="477"/>
      <c r="L18" s="477"/>
      <c r="M18" s="467">
        <v>773280</v>
      </c>
      <c r="N18" s="484"/>
    </row>
    <row r="19" spans="1:14" s="485" customFormat="1" ht="12.75" customHeight="1" x14ac:dyDescent="0.2">
      <c r="A19" s="482" t="s">
        <v>1472</v>
      </c>
      <c r="B19" s="483">
        <v>250</v>
      </c>
      <c r="C19" s="477"/>
      <c r="D19" s="477"/>
      <c r="E19" s="477"/>
      <c r="F19" s="477"/>
      <c r="G19" s="477"/>
      <c r="H19" s="477"/>
      <c r="I19" s="477"/>
      <c r="J19" s="477"/>
      <c r="K19" s="477"/>
      <c r="L19" s="477"/>
      <c r="M19" s="467">
        <f>4926728+1666477</f>
        <v>6593205</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227526</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4227474</v>
      </c>
    </row>
    <row r="23" spans="1:14" ht="13.5" customHeight="1" thickBot="1" x14ac:dyDescent="0.25">
      <c r="A23" s="1758" t="s">
        <v>664</v>
      </c>
      <c r="B23" s="1763"/>
      <c r="C23" s="468"/>
      <c r="D23" s="468"/>
      <c r="E23" s="468"/>
      <c r="F23" s="468"/>
      <c r="G23" s="468"/>
      <c r="H23" s="468"/>
      <c r="I23" s="468"/>
      <c r="J23" s="468"/>
      <c r="K23" s="468"/>
      <c r="L23" s="468"/>
      <c r="M23" s="1710">
        <f>SUM(M15:M22)</f>
        <v>21458368</v>
      </c>
      <c r="N23" s="1710">
        <f>SUM(N21:N22)</f>
        <v>4455000</v>
      </c>
    </row>
    <row r="24" spans="1:14" ht="18" customHeight="1" thickTop="1" x14ac:dyDescent="0.2">
      <c r="A24" s="2128" t="s">
        <v>619</v>
      </c>
      <c r="B24" s="2129"/>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199911</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199911</v>
      </c>
      <c r="M34" s="468"/>
      <c r="N34" s="480"/>
    </row>
    <row r="35" spans="1:14" ht="18" customHeight="1" thickTop="1" x14ac:dyDescent="0.2">
      <c r="A35" s="2130" t="s">
        <v>550</v>
      </c>
      <c r="B35" s="2131"/>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4455000</v>
      </c>
    </row>
    <row r="37" spans="1:14" ht="13.5" thickBot="1" x14ac:dyDescent="0.25">
      <c r="A37" s="1758" t="s">
        <v>674</v>
      </c>
      <c r="B37" s="1763"/>
      <c r="C37" s="477"/>
      <c r="D37" s="477"/>
      <c r="E37" s="477"/>
      <c r="F37" s="477"/>
      <c r="G37" s="477"/>
      <c r="H37" s="477"/>
      <c r="I37" s="477"/>
      <c r="J37" s="477"/>
      <c r="K37" s="477"/>
      <c r="L37" s="480"/>
      <c r="M37" s="468"/>
      <c r="N37" s="1710">
        <f>SUM(N36:N36)</f>
        <v>4455000</v>
      </c>
    </row>
    <row r="38" spans="1:14" s="329" customFormat="1" ht="13.5" customHeight="1" thickTop="1" x14ac:dyDescent="0.2">
      <c r="A38" s="496" t="s">
        <v>440</v>
      </c>
      <c r="B38" s="483">
        <v>714</v>
      </c>
      <c r="C38" s="466"/>
      <c r="D38" s="466"/>
      <c r="E38" s="466">
        <v>227526</v>
      </c>
      <c r="F38" s="466"/>
      <c r="G38" s="466">
        <v>187751</v>
      </c>
      <c r="H38" s="466">
        <v>258857</v>
      </c>
      <c r="I38" s="466"/>
      <c r="J38" s="467">
        <v>76638</v>
      </c>
      <c r="K38" s="466">
        <v>112964</v>
      </c>
      <c r="L38" s="481"/>
      <c r="M38" s="497"/>
      <c r="N38" s="497"/>
    </row>
    <row r="39" spans="1:14" s="329" customFormat="1" ht="13.5" customHeight="1" x14ac:dyDescent="0.2">
      <c r="A39" s="496" t="s">
        <v>360</v>
      </c>
      <c r="B39" s="483">
        <v>730</v>
      </c>
      <c r="C39" s="466">
        <v>1014932</v>
      </c>
      <c r="D39" s="466">
        <v>110025</v>
      </c>
      <c r="E39" s="466"/>
      <c r="F39" s="466">
        <v>659958</v>
      </c>
      <c r="G39" s="466"/>
      <c r="H39" s="466"/>
      <c r="I39" s="466">
        <v>1251486</v>
      </c>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21458368</v>
      </c>
      <c r="N40" s="497"/>
    </row>
    <row r="41" spans="1:14" ht="13.5" customHeight="1" thickBot="1" x14ac:dyDescent="0.25">
      <c r="A41" s="1758" t="s">
        <v>676</v>
      </c>
      <c r="B41" s="1728"/>
      <c r="C41" s="1710">
        <f>(SUM(C34,C37,C38,C39))</f>
        <v>1014932</v>
      </c>
      <c r="D41" s="1710">
        <f t="shared" ref="D41:L41" si="2">SUM(D34,D37,D38:D39)</f>
        <v>110025</v>
      </c>
      <c r="E41" s="1710">
        <f t="shared" si="2"/>
        <v>227526</v>
      </c>
      <c r="F41" s="1710">
        <f t="shared" si="2"/>
        <v>659958</v>
      </c>
      <c r="G41" s="1710">
        <f t="shared" si="2"/>
        <v>187751</v>
      </c>
      <c r="H41" s="1710">
        <f t="shared" si="2"/>
        <v>258857</v>
      </c>
      <c r="I41" s="1710">
        <f t="shared" si="2"/>
        <v>1251486</v>
      </c>
      <c r="J41" s="1710">
        <f t="shared" si="2"/>
        <v>76638</v>
      </c>
      <c r="K41" s="1710">
        <f t="shared" si="2"/>
        <v>112964</v>
      </c>
      <c r="L41" s="1710">
        <f t="shared" si="2"/>
        <v>199911</v>
      </c>
      <c r="M41" s="1710">
        <f>SUM(M40)</f>
        <v>21458368</v>
      </c>
      <c r="N41" s="1710">
        <f>SUM(N37)</f>
        <v>4455000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54" activePane="bottomLeft" state="frozenSplit"/>
      <selection activeCell="X24" sqref="X24"/>
      <selection pane="bottomLeft" activeCell="X24" sqref="X2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0"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1"/>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2" t="s">
        <v>1237</v>
      </c>
      <c r="B3" s="2153"/>
      <c r="C3" s="1595"/>
      <c r="D3" s="1596"/>
      <c r="E3" s="1596"/>
      <c r="F3" s="1596"/>
      <c r="G3" s="1596"/>
      <c r="H3" s="1596"/>
      <c r="I3" s="1596"/>
      <c r="J3" s="1596"/>
      <c r="K3" s="1597"/>
      <c r="L3" s="506"/>
    </row>
    <row r="4" spans="1:13" ht="15.75" customHeight="1" x14ac:dyDescent="0.2">
      <c r="A4" s="1954" t="s">
        <v>1579</v>
      </c>
      <c r="B4" s="1955">
        <v>1000</v>
      </c>
      <c r="C4" s="1764">
        <f>'Revenues 9-14'!C109</f>
        <v>2676014</v>
      </c>
      <c r="D4" s="1764">
        <f>'Revenues 9-14'!D109</f>
        <v>563455</v>
      </c>
      <c r="E4" s="1764">
        <f>'Revenues 9-14'!E109</f>
        <v>411920</v>
      </c>
      <c r="F4" s="1764">
        <f>'Revenues 9-14'!F109</f>
        <v>240795</v>
      </c>
      <c r="G4" s="1764">
        <f>'Revenues 9-14'!G109</f>
        <v>143898</v>
      </c>
      <c r="H4" s="1764">
        <f>'Revenues 9-14'!H109</f>
        <v>126723</v>
      </c>
      <c r="I4" s="1764">
        <f>'Revenues 9-14'!I109</f>
        <v>52860</v>
      </c>
      <c r="J4" s="1764">
        <f>'Revenues 9-14'!J109</f>
        <v>211987</v>
      </c>
      <c r="K4" s="1764">
        <f>'Revenues 9-14'!K109</f>
        <v>49367</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4885049</v>
      </c>
      <c r="D6" s="1765">
        <f>'Revenues 9-14'!D173</f>
        <v>300000</v>
      </c>
      <c r="E6" s="1765">
        <f>'Revenues 9-14'!E173</f>
        <v>0</v>
      </c>
      <c r="F6" s="1765">
        <f>'Revenues 9-14'!F173</f>
        <v>253689</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936335</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8497398</v>
      </c>
      <c r="D8" s="1710">
        <f t="shared" ref="D8:K8" si="0">SUM(D4:D7)</f>
        <v>863455</v>
      </c>
      <c r="E8" s="1710">
        <f t="shared" si="0"/>
        <v>411920</v>
      </c>
      <c r="F8" s="1710">
        <f t="shared" si="0"/>
        <v>494484</v>
      </c>
      <c r="G8" s="1710">
        <f t="shared" si="0"/>
        <v>143898</v>
      </c>
      <c r="H8" s="1710">
        <f t="shared" si="0"/>
        <v>126723</v>
      </c>
      <c r="I8" s="1710">
        <f t="shared" si="0"/>
        <v>52860</v>
      </c>
      <c r="J8" s="1710">
        <f t="shared" si="0"/>
        <v>211987</v>
      </c>
      <c r="K8" s="1710">
        <f t="shared" si="0"/>
        <v>49367</v>
      </c>
      <c r="L8" s="347"/>
    </row>
    <row r="9" spans="1:13" ht="15.75" thickTop="1" x14ac:dyDescent="0.2">
      <c r="A9" s="514" t="s">
        <v>1752</v>
      </c>
      <c r="B9" s="515">
        <v>3998</v>
      </c>
      <c r="C9" s="481">
        <v>3474438</v>
      </c>
      <c r="D9" s="516"/>
      <c r="E9" s="481"/>
      <c r="F9" s="481"/>
      <c r="G9" s="517"/>
      <c r="H9" s="481"/>
      <c r="I9" s="509" t="s">
        <v>1231</v>
      </c>
      <c r="J9" s="478"/>
      <c r="K9" s="481"/>
      <c r="L9" s="347"/>
    </row>
    <row r="10" spans="1:13" s="519" customFormat="1" ht="13.5" thickBot="1" x14ac:dyDescent="0.25">
      <c r="A10" s="1758" t="s">
        <v>1235</v>
      </c>
      <c r="B10" s="1731"/>
      <c r="C10" s="1710">
        <f>SUM(C8:C9)</f>
        <v>11971836</v>
      </c>
      <c r="D10" s="1710">
        <f t="shared" ref="D10:K10" si="1">SUM(D8:D9)</f>
        <v>863455</v>
      </c>
      <c r="E10" s="1710">
        <f t="shared" si="1"/>
        <v>411920</v>
      </c>
      <c r="F10" s="1710">
        <f t="shared" si="1"/>
        <v>494484</v>
      </c>
      <c r="G10" s="1710">
        <f t="shared" si="1"/>
        <v>143898</v>
      </c>
      <c r="H10" s="1710">
        <f t="shared" si="1"/>
        <v>126723</v>
      </c>
      <c r="I10" s="1710">
        <f t="shared" si="1"/>
        <v>52860</v>
      </c>
      <c r="J10" s="1710">
        <f t="shared" si="1"/>
        <v>211987</v>
      </c>
      <c r="K10" s="1710">
        <f t="shared" si="1"/>
        <v>49367</v>
      </c>
      <c r="L10" s="518"/>
    </row>
    <row r="11" spans="1:13" s="519" customFormat="1" ht="16.7" customHeight="1" thickTop="1" x14ac:dyDescent="0.2">
      <c r="A11" s="2126" t="s">
        <v>1238</v>
      </c>
      <c r="B11" s="2127"/>
      <c r="C11" s="1592"/>
      <c r="D11" s="1593"/>
      <c r="E11" s="1593"/>
      <c r="F11" s="1593"/>
      <c r="G11" s="1593"/>
      <c r="H11" s="1593"/>
      <c r="I11" s="1593"/>
      <c r="J11" s="1593"/>
      <c r="K11" s="1594"/>
      <c r="L11" s="518"/>
    </row>
    <row r="12" spans="1:13" ht="15.75" customHeight="1" x14ac:dyDescent="0.2">
      <c r="A12" s="1598" t="s">
        <v>476</v>
      </c>
      <c r="B12" s="1600">
        <v>1000</v>
      </c>
      <c r="C12" s="1764">
        <f>'Expenditures 15-22'!K33</f>
        <v>5553964</v>
      </c>
      <c r="D12" s="520" t="s">
        <v>1231</v>
      </c>
      <c r="E12" s="468" t="s">
        <v>1231</v>
      </c>
      <c r="F12" s="468" t="s">
        <v>1231</v>
      </c>
      <c r="G12" s="1764">
        <f>'Expenditures 15-22'!K229</f>
        <v>110478</v>
      </c>
      <c r="H12" s="521"/>
      <c r="I12" s="468" t="s">
        <v>1231</v>
      </c>
      <c r="J12" s="468" t="s">
        <v>1231</v>
      </c>
      <c r="K12" s="521" t="s">
        <v>1231</v>
      </c>
      <c r="L12" s="347"/>
    </row>
    <row r="13" spans="1:13" ht="15.75" customHeight="1" x14ac:dyDescent="0.2">
      <c r="A13" s="1598" t="s">
        <v>477</v>
      </c>
      <c r="B13" s="1600">
        <v>2000</v>
      </c>
      <c r="C13" s="1765">
        <f>'Expenditures 15-22'!K74</f>
        <v>1699539</v>
      </c>
      <c r="D13" s="1765">
        <f>'Expenditures 15-22'!K129</f>
        <v>915572</v>
      </c>
      <c r="E13" s="469" t="s">
        <v>1231</v>
      </c>
      <c r="F13" s="1765">
        <f>'Expenditures 15-22'!K184</f>
        <v>453929</v>
      </c>
      <c r="G13" s="1765">
        <f>'Expenditures 15-22'!K279</f>
        <v>192901</v>
      </c>
      <c r="H13" s="1765">
        <f>'Expenditures 15-22'!K303</f>
        <v>884008</v>
      </c>
      <c r="I13" s="468" t="s">
        <v>1231</v>
      </c>
      <c r="J13" s="1765">
        <f>'Expenditures 15-22'!K330</f>
        <v>209147</v>
      </c>
      <c r="K13" s="1769">
        <f>'Expenditures 15-22'!K352</f>
        <v>28935</v>
      </c>
      <c r="L13" s="347"/>
    </row>
    <row r="14" spans="1:13" ht="15.75" customHeight="1" x14ac:dyDescent="0.2">
      <c r="A14" s="1598" t="s">
        <v>469</v>
      </c>
      <c r="B14" s="1600">
        <v>3000</v>
      </c>
      <c r="C14" s="1765">
        <f>'Expenditures 15-22'!K75</f>
        <v>28999</v>
      </c>
      <c r="D14" s="1765">
        <f>'Expenditures 15-22'!K130</f>
        <v>0</v>
      </c>
      <c r="E14" s="520" t="s">
        <v>1231</v>
      </c>
      <c r="F14" s="1765">
        <f>'Expenditures 15-22'!K185</f>
        <v>0</v>
      </c>
      <c r="G14" s="1765">
        <f>'Expenditures 15-22'!K280</f>
        <v>66</v>
      </c>
      <c r="H14" s="512"/>
      <c r="I14" s="468" t="s">
        <v>1231</v>
      </c>
      <c r="J14" s="468" t="s">
        <v>1231</v>
      </c>
      <c r="K14" s="512" t="s">
        <v>1231</v>
      </c>
      <c r="L14" s="347"/>
    </row>
    <row r="15" spans="1:13" ht="15.75" customHeight="1" x14ac:dyDescent="0.2">
      <c r="A15" s="1598" t="s">
        <v>109</v>
      </c>
      <c r="B15" s="1600">
        <v>4000</v>
      </c>
      <c r="C15" s="1765">
        <f>'Expenditures 15-22'!K102</f>
        <v>716402</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290366</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7998904</v>
      </c>
      <c r="D17" s="1710">
        <f t="shared" si="2"/>
        <v>915572</v>
      </c>
      <c r="E17" s="1710">
        <f t="shared" si="2"/>
        <v>290366</v>
      </c>
      <c r="F17" s="1710">
        <f t="shared" si="2"/>
        <v>453929</v>
      </c>
      <c r="G17" s="1710">
        <f t="shared" si="2"/>
        <v>303445</v>
      </c>
      <c r="H17" s="1710">
        <f t="shared" si="2"/>
        <v>884008</v>
      </c>
      <c r="I17" s="468"/>
      <c r="J17" s="1710">
        <f>SUM(J12:J16)</f>
        <v>209147</v>
      </c>
      <c r="K17" s="1710">
        <f>SUM(K12:K16)</f>
        <v>28935</v>
      </c>
      <c r="L17" s="347"/>
    </row>
    <row r="18" spans="1:12" ht="15" customHeight="1" thickTop="1" x14ac:dyDescent="0.2">
      <c r="A18" s="1766" t="s">
        <v>1753</v>
      </c>
      <c r="B18" s="1767">
        <v>4180</v>
      </c>
      <c r="C18" s="1764">
        <f t="shared" ref="C18:H18" si="3">C9</f>
        <v>3474438</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11473342</v>
      </c>
      <c r="D19" s="1710">
        <f t="shared" si="4"/>
        <v>915572</v>
      </c>
      <c r="E19" s="1710">
        <f t="shared" si="4"/>
        <v>290366</v>
      </c>
      <c r="F19" s="1710">
        <f t="shared" si="4"/>
        <v>453929</v>
      </c>
      <c r="G19" s="1710">
        <f t="shared" si="4"/>
        <v>303445</v>
      </c>
      <c r="H19" s="1710">
        <f t="shared" si="4"/>
        <v>884008</v>
      </c>
      <c r="I19" s="468"/>
      <c r="J19" s="1710">
        <f>SUM(J17:J18)</f>
        <v>209147</v>
      </c>
      <c r="K19" s="1710">
        <f>SUM(K17:K18)</f>
        <v>28935</v>
      </c>
      <c r="L19" s="347"/>
    </row>
    <row r="20" spans="1:12" ht="16.5" thickTop="1" thickBot="1" x14ac:dyDescent="0.25">
      <c r="A20" s="2142" t="s">
        <v>1754</v>
      </c>
      <c r="B20" s="2143"/>
      <c r="C20" s="1768">
        <f>C8-C17</f>
        <v>498494</v>
      </c>
      <c r="D20" s="1768">
        <f t="shared" ref="D20:K20" si="5">D8-D17</f>
        <v>-52117</v>
      </c>
      <c r="E20" s="1768">
        <f t="shared" si="5"/>
        <v>121554</v>
      </c>
      <c r="F20" s="1768">
        <f t="shared" si="5"/>
        <v>40555</v>
      </c>
      <c r="G20" s="1768">
        <f t="shared" si="5"/>
        <v>-159547</v>
      </c>
      <c r="H20" s="1768">
        <f t="shared" si="5"/>
        <v>-757285</v>
      </c>
      <c r="I20" s="1768">
        <f t="shared" si="5"/>
        <v>52860</v>
      </c>
      <c r="J20" s="1768">
        <f t="shared" si="5"/>
        <v>2840</v>
      </c>
      <c r="K20" s="1768">
        <f t="shared" si="5"/>
        <v>20432</v>
      </c>
      <c r="L20" s="347"/>
    </row>
    <row r="21" spans="1:12" ht="16.7" customHeight="1" thickTop="1" x14ac:dyDescent="0.2">
      <c r="A21" s="2154" t="s">
        <v>616</v>
      </c>
      <c r="B21" s="2155"/>
      <c r="C21" s="1592"/>
      <c r="D21" s="1593"/>
      <c r="E21" s="1593"/>
      <c r="F21" s="1593"/>
      <c r="G21" s="1593"/>
      <c r="H21" s="1593"/>
      <c r="I21" s="1593"/>
      <c r="J21" s="1593"/>
      <c r="K21" s="1594"/>
      <c r="L21" s="524"/>
    </row>
    <row r="22" spans="1:12" ht="15.75" customHeight="1" collapsed="1" x14ac:dyDescent="0.2">
      <c r="A22" s="2150" t="s">
        <v>617</v>
      </c>
      <c r="B22" s="2151"/>
      <c r="C22" s="477"/>
      <c r="D22" s="477"/>
      <c r="E22" s="477"/>
      <c r="F22" s="477"/>
      <c r="G22" s="477"/>
      <c r="H22" s="477"/>
      <c r="I22" s="477"/>
      <c r="J22" s="477"/>
      <c r="K22" s="477"/>
      <c r="L22" s="347"/>
    </row>
    <row r="23" spans="1:12" s="485" customFormat="1" ht="15.75" customHeight="1" x14ac:dyDescent="0.2">
      <c r="A23" s="2146" t="s">
        <v>311</v>
      </c>
      <c r="B23" s="2147"/>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1894</v>
      </c>
      <c r="B30" s="527">
        <v>7160</v>
      </c>
      <c r="C30" s="477"/>
      <c r="D30" s="467"/>
      <c r="E30" s="477"/>
      <c r="F30" s="477"/>
      <c r="G30" s="477"/>
      <c r="H30" s="477"/>
      <c r="I30" s="477"/>
      <c r="J30" s="477"/>
      <c r="K30" s="477"/>
      <c r="L30" s="524"/>
    </row>
    <row r="31" spans="1:12" s="485" customFormat="1" ht="26.25" x14ac:dyDescent="0.2">
      <c r="A31" s="1511" t="s">
        <v>1898</v>
      </c>
      <c r="B31" s="527">
        <v>7170</v>
      </c>
      <c r="C31" s="477"/>
      <c r="D31" s="477"/>
      <c r="E31" s="474"/>
      <c r="F31" s="477"/>
      <c r="G31" s="477"/>
      <c r="H31" s="477"/>
      <c r="I31" s="477"/>
      <c r="J31" s="477"/>
      <c r="K31" s="477"/>
      <c r="L31" s="524"/>
    </row>
    <row r="32" spans="1:12" s="485" customFormat="1" ht="15.75" customHeight="1" x14ac:dyDescent="0.2">
      <c r="A32" s="2148" t="s">
        <v>1038</v>
      </c>
      <c r="B32" s="2149"/>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6" t="s">
        <v>392</v>
      </c>
      <c r="B44" s="2157"/>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0" t="s">
        <v>110</v>
      </c>
      <c r="B45" s="2151"/>
      <c r="C45" s="528"/>
      <c r="D45" s="528"/>
      <c r="E45" s="528"/>
      <c r="F45" s="528"/>
      <c r="G45" s="528"/>
      <c r="H45" s="528"/>
      <c r="I45" s="528"/>
      <c r="J45" s="528"/>
      <c r="K45" s="528"/>
      <c r="L45" s="347"/>
    </row>
    <row r="46" spans="1:12" s="485" customFormat="1" ht="15.75" customHeight="1" x14ac:dyDescent="0.2">
      <c r="A46" s="2158" t="s">
        <v>111</v>
      </c>
      <c r="B46" s="2159"/>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1897</v>
      </c>
      <c r="B52" s="483">
        <v>8160</v>
      </c>
      <c r="C52" s="477"/>
      <c r="D52" s="477"/>
      <c r="E52" s="477"/>
      <c r="F52" s="477"/>
      <c r="G52" s="477"/>
      <c r="H52" s="477"/>
      <c r="I52" s="477"/>
      <c r="J52" s="477"/>
      <c r="K52" s="1765">
        <f>D30</f>
        <v>0</v>
      </c>
      <c r="L52" s="524"/>
    </row>
    <row r="53" spans="1:12" s="485" customFormat="1" ht="26.25" x14ac:dyDescent="0.2">
      <c r="A53" s="1512" t="s">
        <v>1896</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v>130000</v>
      </c>
      <c r="F75" s="532"/>
      <c r="G75" s="532"/>
      <c r="H75" s="532"/>
      <c r="I75" s="530"/>
      <c r="J75" s="530"/>
      <c r="K75" s="532"/>
      <c r="L75" s="524"/>
    </row>
    <row r="76" spans="1:12" s="485" customFormat="1" ht="14.25" thickTop="1" thickBot="1" x14ac:dyDescent="0.25">
      <c r="A76" s="2132" t="s">
        <v>460</v>
      </c>
      <c r="B76" s="2133"/>
      <c r="C76" s="1725">
        <f t="shared" ref="C76:K76" si="7">SUM(C47:C75)</f>
        <v>0</v>
      </c>
      <c r="D76" s="1725">
        <f t="shared" si="7"/>
        <v>0</v>
      </c>
      <c r="E76" s="1725">
        <f t="shared" si="7"/>
        <v>130000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4" t="s">
        <v>1239</v>
      </c>
      <c r="B77" s="2135"/>
      <c r="C77" s="1725">
        <f t="shared" ref="C77:K77" si="8">C44-C76</f>
        <v>0</v>
      </c>
      <c r="D77" s="1725">
        <f t="shared" si="8"/>
        <v>0</v>
      </c>
      <c r="E77" s="1725">
        <f t="shared" si="8"/>
        <v>-130000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38" t="s">
        <v>618</v>
      </c>
      <c r="B78" s="2139"/>
      <c r="C78" s="1724">
        <f t="shared" ref="C78:K78" si="9">C20+C77</f>
        <v>498494</v>
      </c>
      <c r="D78" s="1724">
        <f t="shared" si="9"/>
        <v>-52117</v>
      </c>
      <c r="E78" s="1724">
        <f t="shared" si="9"/>
        <v>-8446</v>
      </c>
      <c r="F78" s="1724">
        <f t="shared" si="9"/>
        <v>40555</v>
      </c>
      <c r="G78" s="1724">
        <f t="shared" si="9"/>
        <v>-159547</v>
      </c>
      <c r="H78" s="1724">
        <f t="shared" si="9"/>
        <v>-757285</v>
      </c>
      <c r="I78" s="1724">
        <f t="shared" si="9"/>
        <v>52860</v>
      </c>
      <c r="J78" s="1724">
        <f t="shared" si="9"/>
        <v>2840</v>
      </c>
      <c r="K78" s="1724">
        <f t="shared" si="9"/>
        <v>20432</v>
      </c>
      <c r="L78" s="533"/>
    </row>
    <row r="79" spans="1:12" ht="13.5" thickTop="1" x14ac:dyDescent="0.2">
      <c r="A79" s="1516" t="s">
        <v>2068</v>
      </c>
      <c r="B79" s="534"/>
      <c r="C79" s="478">
        <v>516438</v>
      </c>
      <c r="D79" s="535">
        <v>162142</v>
      </c>
      <c r="E79" s="535">
        <v>235972</v>
      </c>
      <c r="F79" s="535">
        <v>619403</v>
      </c>
      <c r="G79" s="535">
        <v>347298</v>
      </c>
      <c r="H79" s="535">
        <v>1016142</v>
      </c>
      <c r="I79" s="535">
        <v>1198626</v>
      </c>
      <c r="J79" s="535">
        <v>73798</v>
      </c>
      <c r="K79" s="535">
        <v>92532</v>
      </c>
      <c r="L79" s="347"/>
    </row>
    <row r="80" spans="1:12" x14ac:dyDescent="0.2">
      <c r="A80" s="2144" t="s">
        <v>1895</v>
      </c>
      <c r="B80" s="2145"/>
      <c r="C80" s="467"/>
      <c r="D80" s="467"/>
      <c r="E80" s="467"/>
      <c r="F80" s="467"/>
      <c r="G80" s="467"/>
      <c r="H80" s="467"/>
      <c r="I80" s="467"/>
      <c r="J80" s="467"/>
      <c r="K80" s="467"/>
      <c r="L80" s="347"/>
    </row>
    <row r="81" spans="1:12" ht="13.5" thickBot="1" x14ac:dyDescent="0.25">
      <c r="A81" s="2136" t="s">
        <v>2069</v>
      </c>
      <c r="B81" s="2137"/>
      <c r="C81" s="1710">
        <f>(SUM(C78:C80))</f>
        <v>1014932</v>
      </c>
      <c r="D81" s="1710">
        <f>SUM(D78:D80)</f>
        <v>110025</v>
      </c>
      <c r="E81" s="1710">
        <f t="shared" ref="E81:K81" si="10">SUM(E78:E80)</f>
        <v>227526</v>
      </c>
      <c r="F81" s="1710">
        <f t="shared" si="10"/>
        <v>659958</v>
      </c>
      <c r="G81" s="1710">
        <f t="shared" si="10"/>
        <v>187751</v>
      </c>
      <c r="H81" s="1710">
        <f t="shared" si="10"/>
        <v>258857</v>
      </c>
      <c r="I81" s="1710">
        <f t="shared" si="10"/>
        <v>1251486</v>
      </c>
      <c r="J81" s="1710">
        <f t="shared" si="10"/>
        <v>76638</v>
      </c>
      <c r="K81" s="1710">
        <f t="shared" si="10"/>
        <v>112964</v>
      </c>
      <c r="L81" s="347"/>
    </row>
    <row r="82" spans="1:12" ht="0.75" customHeight="1" thickTop="1" thickBot="1" x14ac:dyDescent="0.25">
      <c r="A82" s="536" t="s">
        <v>361</v>
      </c>
      <c r="B82" s="537"/>
      <c r="C82" s="538">
        <f>(C81-C79)</f>
        <v>498494</v>
      </c>
      <c r="D82" s="538">
        <f t="shared" ref="D82:K82" si="11">(D81-D79)</f>
        <v>-52117</v>
      </c>
      <c r="E82" s="538">
        <f t="shared" si="11"/>
        <v>-8446</v>
      </c>
      <c r="F82" s="538">
        <f t="shared" si="11"/>
        <v>40555</v>
      </c>
      <c r="G82" s="538">
        <f t="shared" si="11"/>
        <v>-159547</v>
      </c>
      <c r="H82" s="538">
        <f t="shared" si="11"/>
        <v>-757285</v>
      </c>
      <c r="I82" s="538">
        <f t="shared" si="11"/>
        <v>52860</v>
      </c>
      <c r="J82" s="538">
        <f t="shared" si="11"/>
        <v>2840</v>
      </c>
      <c r="K82" s="538">
        <f t="shared" si="11"/>
        <v>20432</v>
      </c>
    </row>
    <row r="83" spans="1:12" ht="14.25" hidden="1" thickTop="1" thickBot="1" x14ac:dyDescent="0.25">
      <c r="A83" s="539" t="s">
        <v>362</v>
      </c>
      <c r="B83" s="464"/>
      <c r="C83" s="540">
        <f>C82/C81</f>
        <v>0.49115999889647777</v>
      </c>
      <c r="D83" s="540">
        <f t="shared" ref="D83:K83" si="12">D82/D81</f>
        <v>-0.47368325380595322</v>
      </c>
      <c r="E83" s="540">
        <f t="shared" si="12"/>
        <v>-3.712103232158083E-2</v>
      </c>
      <c r="F83" s="540">
        <f t="shared" si="12"/>
        <v>6.1450880207528355E-2</v>
      </c>
      <c r="G83" s="540">
        <f t="shared" si="12"/>
        <v>-0.84977976149261525</v>
      </c>
      <c r="H83" s="540">
        <f t="shared" si="12"/>
        <v>-2.9254955438717127</v>
      </c>
      <c r="I83" s="540">
        <f t="shared" si="12"/>
        <v>4.2237787717960891E-2</v>
      </c>
      <c r="J83" s="540">
        <f t="shared" si="12"/>
        <v>3.7057334481588766E-2</v>
      </c>
      <c r="K83" s="540">
        <f t="shared" si="12"/>
        <v>0.18087178216068836</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X24" sqref="X24"/>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0" t="s">
        <v>1902</v>
      </c>
      <c r="B1" s="452"/>
      <c r="C1" s="453" t="s">
        <v>445</v>
      </c>
      <c r="D1" s="453" t="s">
        <v>446</v>
      </c>
      <c r="E1" s="453" t="s">
        <v>447</v>
      </c>
      <c r="F1" s="453" t="s">
        <v>448</v>
      </c>
      <c r="G1" s="453" t="s">
        <v>449</v>
      </c>
      <c r="H1" s="453" t="s">
        <v>450</v>
      </c>
      <c r="I1" s="453" t="s">
        <v>451</v>
      </c>
      <c r="J1" s="453" t="s">
        <v>452</v>
      </c>
      <c r="K1" s="453" t="s">
        <v>780</v>
      </c>
    </row>
    <row r="2" spans="1:12" ht="36" x14ac:dyDescent="0.2">
      <c r="A2" s="2141"/>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2110184</v>
      </c>
      <c r="D5" s="481">
        <v>484596</v>
      </c>
      <c r="E5" s="466">
        <v>247446</v>
      </c>
      <c r="F5" s="548">
        <v>225400</v>
      </c>
      <c r="G5" s="466">
        <v>1008</v>
      </c>
      <c r="H5" s="466"/>
      <c r="I5" s="466">
        <v>48999</v>
      </c>
      <c r="J5" s="467">
        <v>211779</v>
      </c>
      <c r="K5" s="466">
        <v>48996</v>
      </c>
    </row>
    <row r="6" spans="1:12" ht="15" x14ac:dyDescent="0.2">
      <c r="A6" s="463" t="s">
        <v>1761</v>
      </c>
      <c r="B6" s="470">
        <v>1130</v>
      </c>
      <c r="C6" s="466"/>
      <c r="D6" s="466"/>
      <c r="E6" s="475"/>
      <c r="F6" s="475"/>
      <c r="G6" s="468"/>
      <c r="H6" s="468"/>
      <c r="I6" s="468"/>
      <c r="J6" s="468"/>
      <c r="K6" s="468"/>
    </row>
    <row r="7" spans="1:12" x14ac:dyDescent="0.2">
      <c r="A7" s="463" t="s">
        <v>112</v>
      </c>
      <c r="B7" s="549">
        <v>1140</v>
      </c>
      <c r="C7" s="466">
        <v>38679</v>
      </c>
      <c r="D7" s="466"/>
      <c r="E7" s="468"/>
      <c r="F7" s="467"/>
      <c r="G7" s="467"/>
      <c r="H7" s="467"/>
      <c r="I7" s="468"/>
      <c r="J7" s="468"/>
      <c r="K7" s="468"/>
    </row>
    <row r="8" spans="1:12" x14ac:dyDescent="0.2">
      <c r="A8" s="463" t="s">
        <v>433</v>
      </c>
      <c r="B8" s="470">
        <v>1150</v>
      </c>
      <c r="C8" s="475"/>
      <c r="D8" s="475"/>
      <c r="E8" s="477"/>
      <c r="F8" s="477"/>
      <c r="G8" s="481">
        <v>131791</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2148863</v>
      </c>
      <c r="D12" s="1729">
        <f t="shared" si="0"/>
        <v>484596</v>
      </c>
      <c r="E12" s="1729">
        <f t="shared" si="0"/>
        <v>247446</v>
      </c>
      <c r="F12" s="1729">
        <f t="shared" si="0"/>
        <v>225400</v>
      </c>
      <c r="G12" s="1729">
        <f t="shared" si="0"/>
        <v>132799</v>
      </c>
      <c r="H12" s="1729">
        <f t="shared" si="0"/>
        <v>0</v>
      </c>
      <c r="I12" s="1729">
        <f t="shared" si="0"/>
        <v>48999</v>
      </c>
      <c r="J12" s="1729">
        <f t="shared" si="0"/>
        <v>211779</v>
      </c>
      <c r="K12" s="1710">
        <f t="shared" si="0"/>
        <v>48996</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175115</v>
      </c>
      <c r="D16" s="466"/>
      <c r="E16" s="466"/>
      <c r="F16" s="466"/>
      <c r="G16" s="466">
        <v>10117</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175115</v>
      </c>
      <c r="D18" s="1732">
        <f t="shared" ref="D18:K18" si="1">SUM(D14:D17)</f>
        <v>0</v>
      </c>
      <c r="E18" s="1732">
        <f t="shared" si="1"/>
        <v>0</v>
      </c>
      <c r="F18" s="1732">
        <f t="shared" si="1"/>
        <v>0</v>
      </c>
      <c r="G18" s="1732">
        <f t="shared" si="1"/>
        <v>10117</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v>6155</v>
      </c>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6155</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v>7741</v>
      </c>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7741</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f>2+3937</f>
        <v>3939</v>
      </c>
      <c r="D65" s="466">
        <f>1+751</f>
        <v>752</v>
      </c>
      <c r="E65" s="466">
        <f>-1+643</f>
        <v>642</v>
      </c>
      <c r="F65" s="467">
        <v>2213</v>
      </c>
      <c r="G65" s="466">
        <v>982</v>
      </c>
      <c r="H65" s="466">
        <v>1376</v>
      </c>
      <c r="I65" s="466">
        <f>1+3860</f>
        <v>3861</v>
      </c>
      <c r="J65" s="467">
        <f>2+206</f>
        <v>208</v>
      </c>
      <c r="K65" s="466">
        <v>371</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3939</v>
      </c>
      <c r="D67" s="1710">
        <f t="shared" ref="D67:K67" si="2">SUM(D65:D66)</f>
        <v>752</v>
      </c>
      <c r="E67" s="1710">
        <f t="shared" si="2"/>
        <v>642</v>
      </c>
      <c r="F67" s="1710">
        <f t="shared" si="2"/>
        <v>2213</v>
      </c>
      <c r="G67" s="1710">
        <f t="shared" si="2"/>
        <v>982</v>
      </c>
      <c r="H67" s="1710">
        <f t="shared" si="2"/>
        <v>1376</v>
      </c>
      <c r="I67" s="1710">
        <f t="shared" si="2"/>
        <v>3861</v>
      </c>
      <c r="J67" s="1710">
        <f t="shared" si="2"/>
        <v>208</v>
      </c>
      <c r="K67" s="1710">
        <f t="shared" si="2"/>
        <v>371</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99847</v>
      </c>
      <c r="D69" s="468"/>
      <c r="E69" s="468"/>
      <c r="F69" s="468"/>
      <c r="G69" s="468"/>
      <c r="H69" s="468"/>
      <c r="I69" s="468"/>
      <c r="J69" s="468"/>
      <c r="K69" s="468"/>
    </row>
    <row r="70" spans="1:11" ht="12.75" customHeight="1" x14ac:dyDescent="0.2">
      <c r="A70" s="463" t="s">
        <v>1054</v>
      </c>
      <c r="B70" s="470">
        <v>1612</v>
      </c>
      <c r="C70" s="551">
        <v>11393</v>
      </c>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111240</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30024</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f>16219+36320+21911</f>
        <v>74450</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104474</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59994</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59994</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900</v>
      </c>
      <c r="D95" s="551">
        <v>23400</v>
      </c>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v>985</v>
      </c>
      <c r="D98" s="466"/>
      <c r="E98" s="512"/>
      <c r="F98" s="466">
        <v>3866</v>
      </c>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v>163832</v>
      </c>
      <c r="F103" s="468"/>
      <c r="G103" s="468"/>
      <c r="H103" s="489">
        <v>125347</v>
      </c>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64349</v>
      </c>
      <c r="D107" s="466">
        <v>54707</v>
      </c>
      <c r="E107" s="466"/>
      <c r="F107" s="466">
        <v>1575</v>
      </c>
      <c r="G107" s="466"/>
      <c r="H107" s="466"/>
      <c r="I107" s="466"/>
      <c r="J107" s="467"/>
      <c r="K107" s="466"/>
    </row>
    <row r="108" spans="1:12" ht="12.75" customHeight="1" thickBot="1" x14ac:dyDescent="0.25">
      <c r="A108" s="1730" t="s">
        <v>508</v>
      </c>
      <c r="B108" s="1734"/>
      <c r="C108" s="1729">
        <f>SUM(C95:C107)</f>
        <v>66234</v>
      </c>
      <c r="D108" s="1729">
        <f t="shared" ref="D108:K108" si="3">SUM(D95:D107)</f>
        <v>78107</v>
      </c>
      <c r="E108" s="1729">
        <f t="shared" si="3"/>
        <v>163832</v>
      </c>
      <c r="F108" s="1729">
        <f t="shared" si="3"/>
        <v>5441</v>
      </c>
      <c r="G108" s="1729">
        <f t="shared" si="3"/>
        <v>0</v>
      </c>
      <c r="H108" s="1729">
        <f t="shared" si="3"/>
        <v>125347</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2676014</v>
      </c>
      <c r="D109" s="1737">
        <f t="shared" si="4"/>
        <v>563455</v>
      </c>
      <c r="E109" s="1737">
        <f t="shared" si="4"/>
        <v>411920</v>
      </c>
      <c r="F109" s="1737">
        <f t="shared" si="4"/>
        <v>240795</v>
      </c>
      <c r="G109" s="1737">
        <f t="shared" si="4"/>
        <v>143898</v>
      </c>
      <c r="H109" s="1737">
        <f t="shared" si="4"/>
        <v>126723</v>
      </c>
      <c r="I109" s="1737">
        <f t="shared" si="4"/>
        <v>52860</v>
      </c>
      <c r="J109" s="1737">
        <f t="shared" si="4"/>
        <v>211987</v>
      </c>
      <c r="K109" s="1724">
        <f t="shared" si="4"/>
        <v>49367</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4319266</v>
      </c>
      <c r="D117" s="481">
        <v>300000</v>
      </c>
      <c r="E117" s="466"/>
      <c r="F117" s="481"/>
      <c r="G117" s="481"/>
      <c r="H117" s="466"/>
      <c r="I117" s="468"/>
      <c r="J117" s="467"/>
      <c r="K117" s="466"/>
    </row>
    <row r="118" spans="1:11" ht="12.75" customHeight="1" x14ac:dyDescent="0.2">
      <c r="A118" s="463" t="s">
        <v>1899</v>
      </c>
      <c r="B118" s="562">
        <v>3002</v>
      </c>
      <c r="C118" s="551"/>
      <c r="D118" s="466"/>
      <c r="E118" s="466"/>
      <c r="F118" s="466"/>
      <c r="G118" s="466"/>
      <c r="H118" s="466"/>
      <c r="I118" s="468"/>
      <c r="J118" s="467"/>
      <c r="K118" s="466"/>
    </row>
    <row r="119" spans="1:11" ht="12.75" customHeight="1" x14ac:dyDescent="0.2">
      <c r="A119" s="463" t="s">
        <v>1900</v>
      </c>
      <c r="B119" s="562">
        <v>3005</v>
      </c>
      <c r="C119" s="551"/>
      <c r="D119" s="466"/>
      <c r="E119" s="466"/>
      <c r="F119" s="466"/>
      <c r="G119" s="466"/>
      <c r="H119" s="466"/>
      <c r="I119" s="468"/>
      <c r="J119" s="467"/>
      <c r="K119" s="466"/>
    </row>
    <row r="120" spans="1:11" x14ac:dyDescent="0.2">
      <c r="A120" s="1518" t="s">
        <v>1901</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4319266</v>
      </c>
      <c r="D121" s="1729">
        <f t="shared" si="5"/>
        <v>300000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74058</v>
      </c>
      <c r="D124" s="561"/>
      <c r="E124" s="468"/>
      <c r="F124" s="548"/>
      <c r="G124" s="468"/>
      <c r="H124" s="468"/>
      <c r="I124" s="468"/>
      <c r="J124" s="468"/>
      <c r="K124" s="468"/>
    </row>
    <row r="125" spans="1:11" ht="12.75" customHeight="1" x14ac:dyDescent="0.2">
      <c r="A125" s="463" t="s">
        <v>1521</v>
      </c>
      <c r="B125" s="562">
        <v>3105</v>
      </c>
      <c r="C125" s="466">
        <v>80453</v>
      </c>
      <c r="D125" s="561"/>
      <c r="E125" s="468"/>
      <c r="F125" s="466"/>
      <c r="G125" s="468"/>
      <c r="H125" s="468"/>
      <c r="I125" s="468"/>
      <c r="J125" s="468"/>
      <c r="K125" s="468"/>
    </row>
    <row r="126" spans="1:11" ht="12.75" customHeight="1" x14ac:dyDescent="0.2">
      <c r="A126" s="463" t="s">
        <v>922</v>
      </c>
      <c r="B126" s="562">
        <v>3110</v>
      </c>
      <c r="C126" s="551">
        <v>37779</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2561</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194851</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24375</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3226</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27601</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3781</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26293</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f>4607+106329</f>
        <v>110936</v>
      </c>
      <c r="G151" s="467"/>
      <c r="H151" s="468"/>
      <c r="I151" s="468"/>
      <c r="J151" s="468"/>
      <c r="K151" s="468"/>
    </row>
    <row r="152" spans="1:11" ht="12.75" customHeight="1" x14ac:dyDescent="0.2">
      <c r="A152" s="463" t="s">
        <v>1117</v>
      </c>
      <c r="B152" s="562">
        <v>3510</v>
      </c>
      <c r="C152" s="551"/>
      <c r="D152" s="466"/>
      <c r="E152" s="561"/>
      <c r="F152" s="466">
        <v>142753</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253689</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313201</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56</v>
      </c>
      <c r="D171" s="580"/>
      <c r="E171" s="580"/>
      <c r="F171" s="580"/>
      <c r="G171" s="581"/>
      <c r="H171" s="582"/>
      <c r="I171" s="581"/>
      <c r="J171" s="581"/>
      <c r="K171" s="582"/>
    </row>
    <row r="172" spans="1:11" ht="12.75" customHeight="1" thickTop="1" thickBot="1" x14ac:dyDescent="0.25">
      <c r="A172" s="2160" t="s">
        <v>418</v>
      </c>
      <c r="B172" s="2161"/>
      <c r="C172" s="1744">
        <f t="shared" ref="C172:K172" si="6">SUM(C131,C140,C144,C145:C149,C154,C155:C170,C171)</f>
        <v>565783</v>
      </c>
      <c r="D172" s="1744">
        <f t="shared" si="6"/>
        <v>0</v>
      </c>
      <c r="E172" s="1744">
        <f t="shared" si="6"/>
        <v>0</v>
      </c>
      <c r="F172" s="1744">
        <f t="shared" si="6"/>
        <v>253689</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4885049</v>
      </c>
      <c r="D173" s="1737">
        <f>SUM(D121,D172)</f>
        <v>300000</v>
      </c>
      <c r="E173" s="1737">
        <f>SUM(E121,E172)</f>
        <v>0</v>
      </c>
      <c r="F173" s="1737">
        <f t="shared" ref="F173:K173" si="7">SUM(F121,F172)</f>
        <v>253689</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2" t="s">
        <v>1572</v>
      </c>
      <c r="B175" s="2163"/>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6" t="s">
        <v>1764</v>
      </c>
      <c r="B178" s="2167"/>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0" t="s">
        <v>1763</v>
      </c>
      <c r="B179" s="2171"/>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8" t="s">
        <v>818</v>
      </c>
      <c r="B184" s="2169"/>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4" t="s">
        <v>1903</v>
      </c>
      <c r="B185" s="2165"/>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188286</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52979</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241265</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232316</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232316</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15426</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331543</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346969</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v>11166</v>
      </c>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11166</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54467</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f>60+16077</f>
        <v>16137</v>
      </c>
      <c r="D270" s="576"/>
      <c r="E270" s="468"/>
      <c r="F270" s="576"/>
      <c r="G270" s="576"/>
      <c r="H270" s="468"/>
      <c r="I270" s="468"/>
      <c r="J270" s="468"/>
      <c r="K270" s="468"/>
    </row>
    <row r="271" spans="1:11" ht="12.75" customHeight="1" thickTop="1" thickBot="1" x14ac:dyDescent="0.25">
      <c r="A271" s="463" t="s">
        <v>395</v>
      </c>
      <c r="B271" s="470">
        <v>4992</v>
      </c>
      <c r="C271" s="575">
        <f>-60+34075</f>
        <v>34015</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936335</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936335</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8497398</v>
      </c>
      <c r="D275" s="1737">
        <f t="shared" si="12"/>
        <v>863455</v>
      </c>
      <c r="E275" s="1737">
        <f t="shared" si="12"/>
        <v>411920</v>
      </c>
      <c r="F275" s="1737">
        <f t="shared" si="12"/>
        <v>494484</v>
      </c>
      <c r="G275" s="1737">
        <f t="shared" si="12"/>
        <v>143898</v>
      </c>
      <c r="H275" s="1737">
        <f t="shared" si="12"/>
        <v>126723</v>
      </c>
      <c r="I275" s="1737">
        <f t="shared" si="12"/>
        <v>52860</v>
      </c>
      <c r="J275" s="1737">
        <f t="shared" si="12"/>
        <v>211987</v>
      </c>
      <c r="K275" s="1724">
        <f t="shared" si="12"/>
        <v>49367</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72" activePane="bottomLeft" state="frozen"/>
      <selection activeCell="X24" sqref="X24"/>
      <selection pane="bottomLeft" activeCell="X24" sqref="X24"/>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0" t="s">
        <v>1902</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4"/>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0" t="s">
        <v>315</v>
      </c>
      <c r="B3" s="2181"/>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f>2175383+22427+33635+6012+1027448+26970</f>
        <v>3291875</v>
      </c>
      <c r="D5" s="466">
        <f>340562+4216+36750+360-1491+24191+167888+17902+30488</f>
        <v>620866</v>
      </c>
      <c r="E5" s="466">
        <f>62+2213+170+50</f>
        <v>2495</v>
      </c>
      <c r="F5" s="466">
        <f>8326+5544+2500+11000+503</f>
        <v>27873</v>
      </c>
      <c r="G5" s="466">
        <v>10564</v>
      </c>
      <c r="H5" s="466">
        <f>750+400+400</f>
        <v>1550</v>
      </c>
      <c r="I5" s="467"/>
      <c r="J5" s="467"/>
      <c r="K5" s="1693">
        <f>SUM(C5:J5)</f>
        <v>3955223</v>
      </c>
      <c r="L5" s="466">
        <v>3933550</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f>140529+1636</f>
        <v>142165</v>
      </c>
      <c r="D7" s="467">
        <f>11267+1583</f>
        <v>12850</v>
      </c>
      <c r="E7" s="467">
        <v>1491</v>
      </c>
      <c r="F7" s="467">
        <v>22156</v>
      </c>
      <c r="G7" s="467"/>
      <c r="H7" s="467">
        <v>18584</v>
      </c>
      <c r="I7" s="467"/>
      <c r="J7" s="467"/>
      <c r="K7" s="1693">
        <f t="shared" ref="K7:K32" si="0">SUM(C7:J7)</f>
        <v>197246</v>
      </c>
      <c r="L7" s="466">
        <v>171635</v>
      </c>
    </row>
    <row r="8" spans="1:14" x14ac:dyDescent="0.2">
      <c r="A8" s="1526" t="s">
        <v>166</v>
      </c>
      <c r="B8" s="615">
        <v>1200</v>
      </c>
      <c r="C8" s="466">
        <f>447535+100186</f>
        <v>547721</v>
      </c>
      <c r="D8" s="466">
        <f>72122+7979+7187+432</f>
        <v>87720</v>
      </c>
      <c r="E8" s="466">
        <v>1604</v>
      </c>
      <c r="F8" s="466"/>
      <c r="G8" s="466"/>
      <c r="H8" s="466"/>
      <c r="I8" s="467"/>
      <c r="J8" s="467"/>
      <c r="K8" s="1693">
        <f t="shared" si="0"/>
        <v>637045</v>
      </c>
      <c r="L8" s="466">
        <v>650033</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88599</v>
      </c>
      <c r="D10" s="466">
        <f>4820+117</f>
        <v>4937</v>
      </c>
      <c r="E10" s="466">
        <v>4270</v>
      </c>
      <c r="F10" s="466">
        <v>67487</v>
      </c>
      <c r="G10" s="466"/>
      <c r="H10" s="466"/>
      <c r="I10" s="467"/>
      <c r="J10" s="467"/>
      <c r="K10" s="1693">
        <f t="shared" si="0"/>
        <v>165293</v>
      </c>
      <c r="L10" s="466">
        <v>173953</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v>272047</v>
      </c>
      <c r="D13" s="466">
        <f>48565+4327</f>
        <v>52892</v>
      </c>
      <c r="E13" s="466">
        <f>1536+1148+35</f>
        <v>2719</v>
      </c>
      <c r="F13" s="466">
        <f>10292+24382+2656+3762+2529+4565</f>
        <v>48186</v>
      </c>
      <c r="G13" s="466">
        <v>2767</v>
      </c>
      <c r="H13" s="466"/>
      <c r="I13" s="467"/>
      <c r="J13" s="467"/>
      <c r="K13" s="1693">
        <f t="shared" si="0"/>
        <v>378611</v>
      </c>
      <c r="L13" s="466">
        <v>370476</v>
      </c>
    </row>
    <row r="14" spans="1:14" x14ac:dyDescent="0.2">
      <c r="A14" s="1526" t="s">
        <v>1020</v>
      </c>
      <c r="B14" s="615">
        <v>1500</v>
      </c>
      <c r="C14" s="466">
        <f>146270+5723</f>
        <v>151993</v>
      </c>
      <c r="D14" s="466">
        <f>12524+2478</f>
        <v>15002</v>
      </c>
      <c r="E14" s="466">
        <f>2168+4796+342+5905+19805+10161</f>
        <v>43177</v>
      </c>
      <c r="F14" s="466">
        <f>1907+291+395+1161+2157</f>
        <v>5911</v>
      </c>
      <c r="G14" s="466"/>
      <c r="H14" s="466">
        <f>3038+925+500</f>
        <v>4463</v>
      </c>
      <c r="I14" s="467"/>
      <c r="J14" s="467"/>
      <c r="K14" s="1693">
        <f t="shared" si="0"/>
        <v>220546</v>
      </c>
      <c r="L14" s="466">
        <v>222737</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4494400</v>
      </c>
      <c r="D33" s="1692">
        <f t="shared" ref="D33:L33" si="1">SUM(D5:D32)</f>
        <v>794267</v>
      </c>
      <c r="E33" s="1692">
        <f t="shared" si="1"/>
        <v>55756</v>
      </c>
      <c r="F33" s="1692">
        <f t="shared" si="1"/>
        <v>171613</v>
      </c>
      <c r="G33" s="1692">
        <f t="shared" si="1"/>
        <v>13331</v>
      </c>
      <c r="H33" s="1692">
        <f t="shared" si="1"/>
        <v>24597</v>
      </c>
      <c r="I33" s="1692">
        <f t="shared" si="1"/>
        <v>0</v>
      </c>
      <c r="J33" s="1692">
        <f t="shared" si="1"/>
        <v>0</v>
      </c>
      <c r="K33" s="1692">
        <f t="shared" si="1"/>
        <v>5553964</v>
      </c>
      <c r="L33" s="1692">
        <f t="shared" si="1"/>
        <v>5522384</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v>4500</v>
      </c>
      <c r="K36" s="1693">
        <f t="shared" ref="K36:K41" si="2">SUM(C36:J36)</f>
        <v>4500</v>
      </c>
      <c r="L36" s="466"/>
    </row>
    <row r="37" spans="1:14" x14ac:dyDescent="0.2">
      <c r="A37" s="1526" t="s">
        <v>1151</v>
      </c>
      <c r="B37" s="615">
        <v>2120</v>
      </c>
      <c r="C37" s="466">
        <v>117160</v>
      </c>
      <c r="D37" s="466">
        <f>16636+1954</f>
        <v>18590</v>
      </c>
      <c r="E37" s="466"/>
      <c r="F37" s="466">
        <v>2570</v>
      </c>
      <c r="G37" s="466"/>
      <c r="H37" s="466">
        <v>224</v>
      </c>
      <c r="I37" s="467"/>
      <c r="J37" s="467"/>
      <c r="K37" s="1693">
        <f t="shared" si="2"/>
        <v>138544</v>
      </c>
      <c r="L37" s="466">
        <v>108896</v>
      </c>
    </row>
    <row r="38" spans="1:14" x14ac:dyDescent="0.2">
      <c r="A38" s="1526" t="s">
        <v>207</v>
      </c>
      <c r="B38" s="615">
        <v>2130</v>
      </c>
      <c r="C38" s="466">
        <v>31921</v>
      </c>
      <c r="D38" s="466">
        <v>5079</v>
      </c>
      <c r="E38" s="466">
        <f>1772+259</f>
        <v>2031</v>
      </c>
      <c r="F38" s="466">
        <v>885</v>
      </c>
      <c r="G38" s="466"/>
      <c r="H38" s="466"/>
      <c r="I38" s="467"/>
      <c r="J38" s="467"/>
      <c r="K38" s="1693">
        <f t="shared" si="2"/>
        <v>39916</v>
      </c>
      <c r="L38" s="466">
        <v>43288</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1768</v>
      </c>
      <c r="B41" s="615">
        <v>2190</v>
      </c>
      <c r="C41" s="466"/>
      <c r="D41" s="466"/>
      <c r="E41" s="466"/>
      <c r="F41" s="466"/>
      <c r="G41" s="466"/>
      <c r="H41" s="466">
        <v>134</v>
      </c>
      <c r="I41" s="467"/>
      <c r="J41" s="467"/>
      <c r="K41" s="1693">
        <f t="shared" si="2"/>
        <v>134</v>
      </c>
      <c r="L41" s="466">
        <v>1000</v>
      </c>
    </row>
    <row r="42" spans="1:14" ht="12.75" customHeight="1" thickBot="1" x14ac:dyDescent="0.25">
      <c r="A42" s="1690" t="s">
        <v>581</v>
      </c>
      <c r="B42" s="1691" t="s">
        <v>740</v>
      </c>
      <c r="C42" s="1692">
        <f>SUM(C36:C41)</f>
        <v>149081</v>
      </c>
      <c r="D42" s="1692">
        <f t="shared" ref="D42:L42" si="3">SUM(D36:D41)</f>
        <v>23669</v>
      </c>
      <c r="E42" s="1692">
        <f t="shared" si="3"/>
        <v>2031</v>
      </c>
      <c r="F42" s="1692">
        <f t="shared" si="3"/>
        <v>3455</v>
      </c>
      <c r="G42" s="1692">
        <f t="shared" si="3"/>
        <v>0</v>
      </c>
      <c r="H42" s="1692">
        <f t="shared" si="3"/>
        <v>358</v>
      </c>
      <c r="I42" s="1692">
        <f t="shared" si="3"/>
        <v>0</v>
      </c>
      <c r="J42" s="1692">
        <f t="shared" si="3"/>
        <v>4500</v>
      </c>
      <c r="K42" s="1692">
        <f t="shared" si="3"/>
        <v>183094</v>
      </c>
      <c r="L42" s="1692">
        <f t="shared" si="3"/>
        <v>153184</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f>1000+628</f>
        <v>1628</v>
      </c>
      <c r="D44" s="481"/>
      <c r="E44" s="481">
        <f>16884+2011+14557+15588</f>
        <v>49040</v>
      </c>
      <c r="F44" s="481"/>
      <c r="G44" s="481"/>
      <c r="H44" s="481"/>
      <c r="I44" s="467"/>
      <c r="J44" s="467"/>
      <c r="K44" s="1694">
        <f>SUM(C44:J44)</f>
        <v>50668</v>
      </c>
      <c r="L44" s="481">
        <v>80692</v>
      </c>
    </row>
    <row r="45" spans="1:14" x14ac:dyDescent="0.2">
      <c r="A45" s="1526" t="s">
        <v>869</v>
      </c>
      <c r="B45" s="615">
        <v>2220</v>
      </c>
      <c r="C45" s="466">
        <v>13713</v>
      </c>
      <c r="D45" s="466"/>
      <c r="E45" s="466"/>
      <c r="F45" s="466">
        <v>2239</v>
      </c>
      <c r="G45" s="466"/>
      <c r="H45" s="466"/>
      <c r="I45" s="467"/>
      <c r="J45" s="467"/>
      <c r="K45" s="1694">
        <f>SUM(C45:J45)</f>
        <v>15952</v>
      </c>
      <c r="L45" s="466">
        <v>17708</v>
      </c>
    </row>
    <row r="46" spans="1:14" x14ac:dyDescent="0.2">
      <c r="A46" s="1526" t="s">
        <v>870</v>
      </c>
      <c r="B46" s="615">
        <v>2230</v>
      </c>
      <c r="C46" s="466"/>
      <c r="D46" s="466"/>
      <c r="E46" s="466">
        <v>16025</v>
      </c>
      <c r="F46" s="466"/>
      <c r="G46" s="466"/>
      <c r="H46" s="466"/>
      <c r="I46" s="467"/>
      <c r="J46" s="467"/>
      <c r="K46" s="1694">
        <f>SUM(C46:J46)</f>
        <v>16025</v>
      </c>
      <c r="L46" s="466">
        <v>3000</v>
      </c>
    </row>
    <row r="47" spans="1:14" ht="12.75" customHeight="1" thickBot="1" x14ac:dyDescent="0.25">
      <c r="A47" s="1690" t="s">
        <v>582</v>
      </c>
      <c r="B47" s="1691" t="s">
        <v>32</v>
      </c>
      <c r="C47" s="1692">
        <f>SUM(C44:C46)</f>
        <v>15341</v>
      </c>
      <c r="D47" s="1692">
        <f t="shared" ref="D47:K47" si="4">SUM(D44:D46)</f>
        <v>0</v>
      </c>
      <c r="E47" s="1692">
        <f t="shared" si="4"/>
        <v>65065</v>
      </c>
      <c r="F47" s="1692">
        <f t="shared" si="4"/>
        <v>2239</v>
      </c>
      <c r="G47" s="1692">
        <f t="shared" si="4"/>
        <v>0</v>
      </c>
      <c r="H47" s="1692">
        <f t="shared" si="4"/>
        <v>0</v>
      </c>
      <c r="I47" s="1692">
        <f t="shared" si="4"/>
        <v>0</v>
      </c>
      <c r="J47" s="1692">
        <f t="shared" si="4"/>
        <v>0</v>
      </c>
      <c r="K47" s="1692">
        <f t="shared" si="4"/>
        <v>82645</v>
      </c>
      <c r="L47" s="1692">
        <f>SUM(L44:L46)</f>
        <v>101400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f>357+1870+4831+5083</f>
        <v>12141</v>
      </c>
      <c r="D49" s="481"/>
      <c r="E49" s="481">
        <f>5265+47592+10501</f>
        <v>63358</v>
      </c>
      <c r="F49" s="481">
        <v>2304</v>
      </c>
      <c r="G49" s="481"/>
      <c r="H49" s="481">
        <v>3844</v>
      </c>
      <c r="I49" s="467"/>
      <c r="J49" s="467"/>
      <c r="K49" s="1694">
        <f>SUM(C49:J49)</f>
        <v>81647</v>
      </c>
      <c r="L49" s="481">
        <v>80356</v>
      </c>
    </row>
    <row r="50" spans="1:14" x14ac:dyDescent="0.2">
      <c r="A50" s="1526" t="s">
        <v>872</v>
      </c>
      <c r="B50" s="615">
        <v>2320</v>
      </c>
      <c r="C50" s="466">
        <v>142672</v>
      </c>
      <c r="D50" s="466">
        <f>33876+2093</f>
        <v>35969</v>
      </c>
      <c r="E50" s="466">
        <v>3707</v>
      </c>
      <c r="F50" s="466">
        <f>655+1515</f>
        <v>2170</v>
      </c>
      <c r="G50" s="466"/>
      <c r="H50" s="466"/>
      <c r="I50" s="467"/>
      <c r="J50" s="467"/>
      <c r="K50" s="1694">
        <f>SUM(C50:J50)</f>
        <v>184518</v>
      </c>
      <c r="L50" s="466">
        <v>187630</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154813</v>
      </c>
      <c r="D53" s="1692">
        <f t="shared" ref="D53:L53" si="5">SUM(D49:D52)</f>
        <v>35969</v>
      </c>
      <c r="E53" s="1692">
        <f t="shared" si="5"/>
        <v>67065</v>
      </c>
      <c r="F53" s="1692">
        <f t="shared" si="5"/>
        <v>4474</v>
      </c>
      <c r="G53" s="1692">
        <f t="shared" si="5"/>
        <v>0</v>
      </c>
      <c r="H53" s="1692">
        <f t="shared" si="5"/>
        <v>3844</v>
      </c>
      <c r="I53" s="1692">
        <f t="shared" si="5"/>
        <v>0</v>
      </c>
      <c r="J53" s="1692">
        <f t="shared" si="5"/>
        <v>0</v>
      </c>
      <c r="K53" s="1692">
        <f t="shared" si="5"/>
        <v>266165</v>
      </c>
      <c r="L53" s="1692">
        <f t="shared" si="5"/>
        <v>267986</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373549</v>
      </c>
      <c r="D55" s="481">
        <f>63310+4064</f>
        <v>67374</v>
      </c>
      <c r="E55" s="481">
        <f>2900+2900+86</f>
        <v>5886</v>
      </c>
      <c r="F55" s="481">
        <v>968</v>
      </c>
      <c r="G55" s="481">
        <v>235</v>
      </c>
      <c r="H55" s="481">
        <v>1387</v>
      </c>
      <c r="I55" s="467"/>
      <c r="J55" s="467"/>
      <c r="K55" s="1694">
        <f>SUM(C55:J55)</f>
        <v>449399</v>
      </c>
      <c r="L55" s="481">
        <v>451411</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373549</v>
      </c>
      <c r="D57" s="1696">
        <f t="shared" ref="D57:K57" si="6">SUM(D55:D56)</f>
        <v>67374</v>
      </c>
      <c r="E57" s="1696">
        <f t="shared" si="6"/>
        <v>5886</v>
      </c>
      <c r="F57" s="1696">
        <f t="shared" si="6"/>
        <v>968</v>
      </c>
      <c r="G57" s="1696">
        <f t="shared" si="6"/>
        <v>235</v>
      </c>
      <c r="H57" s="1696">
        <f t="shared" si="6"/>
        <v>1387</v>
      </c>
      <c r="I57" s="1696">
        <f t="shared" si="6"/>
        <v>0</v>
      </c>
      <c r="J57" s="1696">
        <f t="shared" si="6"/>
        <v>0</v>
      </c>
      <c r="K57" s="1696">
        <f t="shared" si="6"/>
        <v>449399</v>
      </c>
      <c r="L57" s="1692">
        <f>SUM(L55:L56)</f>
        <v>451411</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80844</v>
      </c>
      <c r="D60" s="466">
        <f>5079+90</f>
        <v>5169</v>
      </c>
      <c r="E60" s="466">
        <f>3734+8175+13140+23562+108</f>
        <v>48719</v>
      </c>
      <c r="F60" s="466">
        <f>20817+235</f>
        <v>21052</v>
      </c>
      <c r="G60" s="466"/>
      <c r="H60" s="466">
        <f>5470+11282</f>
        <v>16752</v>
      </c>
      <c r="I60" s="467"/>
      <c r="J60" s="467"/>
      <c r="K60" s="1694">
        <f t="shared" si="7"/>
        <v>172536</v>
      </c>
      <c r="L60" s="466">
        <v>190540</v>
      </c>
      <c r="M60" s="610"/>
      <c r="N60" s="610"/>
    </row>
    <row r="61" spans="1:14" s="343" customFormat="1" x14ac:dyDescent="0.2">
      <c r="A61" s="1526" t="s">
        <v>206</v>
      </c>
      <c r="B61" s="615">
        <v>2540</v>
      </c>
      <c r="C61" s="466"/>
      <c r="D61" s="466"/>
      <c r="E61" s="466"/>
      <c r="F61" s="466"/>
      <c r="G61" s="466">
        <v>16811</v>
      </c>
      <c r="H61" s="466"/>
      <c r="I61" s="467"/>
      <c r="J61" s="467"/>
      <c r="K61" s="1694">
        <f t="shared" si="7"/>
        <v>16811</v>
      </c>
      <c r="L61" s="466">
        <v>15500</v>
      </c>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f>99124+6939+73950</f>
        <v>180013</v>
      </c>
      <c r="D63" s="466">
        <f>12698+90+5079</f>
        <v>17867</v>
      </c>
      <c r="E63" s="466">
        <f>37864+3015+375+1496+690</f>
        <v>43440</v>
      </c>
      <c r="F63" s="466">
        <f>7259+225255+1224+8307</f>
        <v>242045</v>
      </c>
      <c r="G63" s="466">
        <f>6105+2622+35442</f>
        <v>44169</v>
      </c>
      <c r="H63" s="466"/>
      <c r="I63" s="467"/>
      <c r="J63" s="467"/>
      <c r="K63" s="1694">
        <f t="shared" si="7"/>
        <v>527534</v>
      </c>
      <c r="L63" s="466">
        <v>421513</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260857</v>
      </c>
      <c r="D65" s="1692">
        <f t="shared" ref="D65:L65" si="8">SUM(D59:D64)</f>
        <v>23036</v>
      </c>
      <c r="E65" s="1692">
        <f t="shared" si="8"/>
        <v>92159</v>
      </c>
      <c r="F65" s="1692">
        <f t="shared" si="8"/>
        <v>263097</v>
      </c>
      <c r="G65" s="1692">
        <f t="shared" si="8"/>
        <v>60980</v>
      </c>
      <c r="H65" s="1692">
        <f t="shared" si="8"/>
        <v>16752</v>
      </c>
      <c r="I65" s="1692">
        <f t="shared" si="8"/>
        <v>0</v>
      </c>
      <c r="J65" s="1692">
        <f t="shared" si="8"/>
        <v>0</v>
      </c>
      <c r="K65" s="1692">
        <f t="shared" si="8"/>
        <v>716881</v>
      </c>
      <c r="L65" s="1692">
        <f t="shared" si="8"/>
        <v>627553</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v>205830</v>
      </c>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205830</v>
      </c>
      <c r="M72" s="610"/>
      <c r="N72" s="610"/>
    </row>
    <row r="73" spans="1:14" s="343" customFormat="1" ht="14.25" thickTop="1" thickBot="1" x14ac:dyDescent="0.25">
      <c r="A73" s="1532" t="s">
        <v>1037</v>
      </c>
      <c r="B73" s="633" t="s">
        <v>595</v>
      </c>
      <c r="C73" s="573"/>
      <c r="D73" s="573"/>
      <c r="E73" s="573"/>
      <c r="F73" s="573">
        <v>1355</v>
      </c>
      <c r="G73" s="573"/>
      <c r="H73" s="573"/>
      <c r="I73" s="531"/>
      <c r="J73" s="531"/>
      <c r="K73" s="1692">
        <f>SUM(C73:J73)</f>
        <v>1355</v>
      </c>
      <c r="L73" s="576">
        <v>1250</v>
      </c>
      <c r="M73" s="610"/>
      <c r="N73" s="610"/>
    </row>
    <row r="74" spans="1:14" ht="12.75" customHeight="1" thickTop="1" thickBot="1" x14ac:dyDescent="0.25">
      <c r="A74" s="1690" t="s">
        <v>865</v>
      </c>
      <c r="B74" s="1698">
        <v>2000</v>
      </c>
      <c r="C74" s="1699">
        <f>SUM(C42,C47,C53,C57,C65,C72,C73)</f>
        <v>953641</v>
      </c>
      <c r="D74" s="1699">
        <f t="shared" ref="D74:K74" si="10">SUM(D42,D47,D53,D57,D65,D72,D73)</f>
        <v>150048</v>
      </c>
      <c r="E74" s="1699">
        <f t="shared" si="10"/>
        <v>232206</v>
      </c>
      <c r="F74" s="1699">
        <f t="shared" si="10"/>
        <v>275588</v>
      </c>
      <c r="G74" s="1699">
        <f t="shared" si="10"/>
        <v>61215</v>
      </c>
      <c r="H74" s="1699">
        <f t="shared" si="10"/>
        <v>22341</v>
      </c>
      <c r="I74" s="1699">
        <f t="shared" si="10"/>
        <v>0</v>
      </c>
      <c r="J74" s="1699">
        <f t="shared" si="10"/>
        <v>4500</v>
      </c>
      <c r="K74" s="1699">
        <f t="shared" si="10"/>
        <v>1699539</v>
      </c>
      <c r="L74" s="1699">
        <f>SUM(L42,L47,L53,L57,L65,L72,L73)</f>
        <v>1808614</v>
      </c>
    </row>
    <row r="75" spans="1:14" s="259" customFormat="1" ht="15.75" customHeight="1" thickTop="1" thickBot="1" x14ac:dyDescent="0.25">
      <c r="A75" s="1632" t="s">
        <v>49</v>
      </c>
      <c r="B75" s="1633" t="s">
        <v>596</v>
      </c>
      <c r="C75" s="573">
        <f>3163+1793</f>
        <v>4956</v>
      </c>
      <c r="D75" s="573">
        <f>703+35+375+61</f>
        <v>1174</v>
      </c>
      <c r="E75" s="573">
        <f>2788+1525</f>
        <v>4313</v>
      </c>
      <c r="F75" s="573">
        <f>18491+65</f>
        <v>18556</v>
      </c>
      <c r="G75" s="573"/>
      <c r="H75" s="573"/>
      <c r="I75" s="531"/>
      <c r="J75" s="531"/>
      <c r="K75" s="1692">
        <f>SUM(C75:J75)</f>
        <v>28999</v>
      </c>
      <c r="L75" s="576">
        <v>27102</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f>4138+5600</f>
        <v>9738</v>
      </c>
      <c r="F79" s="617"/>
      <c r="G79" s="617"/>
      <c r="H79" s="466"/>
      <c r="I79" s="477"/>
      <c r="J79" s="477"/>
      <c r="K79" s="1693">
        <f t="shared" si="11"/>
        <v>9738</v>
      </c>
      <c r="L79" s="466">
        <v>5600</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9738</v>
      </c>
      <c r="F84" s="617"/>
      <c r="G84" s="617"/>
      <c r="H84" s="1692">
        <f>SUM(H78:H83)</f>
        <v>0</v>
      </c>
      <c r="I84" s="477"/>
      <c r="J84" s="477"/>
      <c r="K84" s="1692">
        <f>SUM(K78:K83)</f>
        <v>9738</v>
      </c>
      <c r="L84" s="1692">
        <f>SUM(L78:L83)</f>
        <v>5600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v>706664</v>
      </c>
      <c r="I86" s="477"/>
      <c r="J86" s="477"/>
      <c r="K86" s="1699">
        <f t="shared" ref="K86:K98" si="12">H86</f>
        <v>706664</v>
      </c>
      <c r="L86" s="530">
        <v>648926</v>
      </c>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706664</v>
      </c>
      <c r="I92" s="477"/>
      <c r="J92" s="477"/>
      <c r="K92" s="1699">
        <f t="shared" si="12"/>
        <v>706664</v>
      </c>
      <c r="L92" s="1692">
        <f>SUM(L85:L91)</f>
        <v>648926</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9738</v>
      </c>
      <c r="F102" s="617"/>
      <c r="G102" s="617"/>
      <c r="H102" s="1699">
        <f>SUM(H84,H92,H100,H101)</f>
        <v>706664</v>
      </c>
      <c r="I102" s="477"/>
      <c r="J102" s="477"/>
      <c r="K102" s="1699">
        <f>SUM(K84,K92,K100,K101)</f>
        <v>716402</v>
      </c>
      <c r="L102" s="1699">
        <f>SUM(L84,L92,L100,L101)</f>
        <v>654526</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5452997</v>
      </c>
      <c r="D114" s="1692">
        <f t="shared" ref="D114:K114" si="13">SUM(D33,D74,D75,D102,D112,D113)</f>
        <v>945489</v>
      </c>
      <c r="E114" s="1692">
        <f t="shared" si="13"/>
        <v>302013</v>
      </c>
      <c r="F114" s="1692">
        <f t="shared" si="13"/>
        <v>465757</v>
      </c>
      <c r="G114" s="1692">
        <f t="shared" si="13"/>
        <v>74546</v>
      </c>
      <c r="H114" s="1692">
        <f>SUM(H33,H74,H75,H102,H112,H113)</f>
        <v>753602</v>
      </c>
      <c r="I114" s="1692">
        <f t="shared" si="13"/>
        <v>0</v>
      </c>
      <c r="J114" s="1692">
        <f t="shared" si="13"/>
        <v>4500</v>
      </c>
      <c r="K114" s="1692">
        <f t="shared" si="13"/>
        <v>7998904</v>
      </c>
      <c r="L114" s="1692">
        <f>SUM(L33,L74,L75,L102,L112,L113)</f>
        <v>8012626</v>
      </c>
    </row>
    <row r="115" spans="1:14" ht="13.5" thickTop="1" x14ac:dyDescent="0.2">
      <c r="A115" s="2172" t="s">
        <v>1053</v>
      </c>
      <c r="B115" s="2173"/>
      <c r="C115" s="619"/>
      <c r="D115" s="619"/>
      <c r="E115" s="619"/>
      <c r="F115" s="619"/>
      <c r="G115" s="619"/>
      <c r="H115" s="619"/>
      <c r="I115" s="619"/>
      <c r="J115" s="619"/>
      <c r="K115" s="1706">
        <f>'Revenues 9-14'!C275-'Expenditures 15-22'!K114</f>
        <v>498494</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7" t="s">
        <v>314</v>
      </c>
      <c r="B117" s="2178"/>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f>274462+42696</f>
        <v>317158</v>
      </c>
      <c r="D124" s="466">
        <f>36955+8331</f>
        <v>45286</v>
      </c>
      <c r="E124" s="466">
        <f>11092+38109+290+26514+37016</f>
        <v>113021</v>
      </c>
      <c r="F124" s="466">
        <f>71305+139779</f>
        <v>211084</v>
      </c>
      <c r="G124" s="466">
        <f>170496+49066+9461</f>
        <v>229023</v>
      </c>
      <c r="H124" s="466"/>
      <c r="I124" s="467"/>
      <c r="J124" s="467"/>
      <c r="K124" s="1692">
        <f>SUM(C124:J124)</f>
        <v>915572</v>
      </c>
      <c r="L124" s="466">
        <v>1016692</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317158</v>
      </c>
      <c r="D127" s="1692">
        <f t="shared" ref="D127:L127" si="14">SUM(D122:D126)</f>
        <v>45286</v>
      </c>
      <c r="E127" s="1692">
        <f t="shared" si="14"/>
        <v>113021</v>
      </c>
      <c r="F127" s="1692">
        <f t="shared" si="14"/>
        <v>211084</v>
      </c>
      <c r="G127" s="1692">
        <f t="shared" si="14"/>
        <v>229023</v>
      </c>
      <c r="H127" s="1692">
        <f t="shared" si="14"/>
        <v>0</v>
      </c>
      <c r="I127" s="1692">
        <f t="shared" si="14"/>
        <v>0</v>
      </c>
      <c r="J127" s="1692">
        <f t="shared" si="14"/>
        <v>0</v>
      </c>
      <c r="K127" s="1692">
        <f t="shared" si="14"/>
        <v>915572</v>
      </c>
      <c r="L127" s="1692">
        <f t="shared" si="14"/>
        <v>1016692</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317158</v>
      </c>
      <c r="D129" s="1699">
        <f t="shared" ref="D129:L129" si="15">SUM(D120,D127,D128)</f>
        <v>45286</v>
      </c>
      <c r="E129" s="1699">
        <f t="shared" si="15"/>
        <v>113021</v>
      </c>
      <c r="F129" s="1699">
        <f t="shared" si="15"/>
        <v>211084</v>
      </c>
      <c r="G129" s="1699">
        <f t="shared" si="15"/>
        <v>229023</v>
      </c>
      <c r="H129" s="1699">
        <f t="shared" si="15"/>
        <v>0</v>
      </c>
      <c r="I129" s="1699">
        <f t="shared" si="15"/>
        <v>0</v>
      </c>
      <c r="J129" s="1699">
        <f t="shared" si="15"/>
        <v>0</v>
      </c>
      <c r="K129" s="1699">
        <f t="shared" si="15"/>
        <v>915572</v>
      </c>
      <c r="L129" s="1699">
        <f t="shared" si="15"/>
        <v>1016692</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1953</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89" t="s">
        <v>641</v>
      </c>
      <c r="B151" s="2169"/>
      <c r="C151" s="1692">
        <f>SUM(C129,C130,C139,C149,C150)</f>
        <v>317158</v>
      </c>
      <c r="D151" s="1692">
        <f t="shared" ref="D151:K151" si="16">SUM(D129,D130,D139,D149,D150)</f>
        <v>45286</v>
      </c>
      <c r="E151" s="1692">
        <f t="shared" si="16"/>
        <v>113021</v>
      </c>
      <c r="F151" s="1692">
        <f t="shared" si="16"/>
        <v>211084</v>
      </c>
      <c r="G151" s="1692">
        <f t="shared" si="16"/>
        <v>229023</v>
      </c>
      <c r="H151" s="1692">
        <f t="shared" si="16"/>
        <v>0</v>
      </c>
      <c r="I151" s="1692">
        <f t="shared" si="16"/>
        <v>0</v>
      </c>
      <c r="J151" s="1692">
        <f t="shared" si="16"/>
        <v>0</v>
      </c>
      <c r="K151" s="1692">
        <f t="shared" si="16"/>
        <v>915572</v>
      </c>
      <c r="L151" s="1692">
        <f>SUM(L129,L130,L139,L149,L150)</f>
        <v>1016692</v>
      </c>
    </row>
    <row r="152" spans="1:14" ht="12.75" customHeight="1" thickTop="1" x14ac:dyDescent="0.2">
      <c r="A152" s="2192" t="s">
        <v>1240</v>
      </c>
      <c r="B152" s="2193"/>
      <c r="C152" s="619"/>
      <c r="D152" s="619"/>
      <c r="E152" s="619"/>
      <c r="F152" s="619"/>
      <c r="G152" s="619"/>
      <c r="H152" s="619"/>
      <c r="I152" s="619"/>
      <c r="J152" s="617"/>
      <c r="K152" s="1706">
        <f>'Revenues 9-14'!D275-'Expenditures 15-22'!K151</f>
        <v>-52117</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7" t="s">
        <v>642</v>
      </c>
      <c r="B154" s="2179"/>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1954</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1953</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1955</v>
      </c>
      <c r="C158" s="617"/>
      <c r="D158" s="617"/>
      <c r="E158" s="617"/>
      <c r="F158" s="617"/>
      <c r="G158" s="617"/>
      <c r="H158" s="467"/>
      <c r="I158" s="617"/>
      <c r="J158" s="617"/>
      <c r="K158" s="1693">
        <f>H158</f>
        <v>0</v>
      </c>
      <c r="L158" s="467"/>
      <c r="M158" s="620"/>
      <c r="N158" s="620"/>
    </row>
    <row r="159" spans="1:14" s="621" customFormat="1" ht="12" x14ac:dyDescent="0.2">
      <c r="A159" s="1849" t="s">
        <v>1956</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1957</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194066</v>
      </c>
      <c r="I169" s="617"/>
      <c r="J169" s="617"/>
      <c r="K169" s="1693">
        <f>SUM(C169:H169)</f>
        <v>194066</v>
      </c>
      <c r="L169" s="657">
        <v>193713</v>
      </c>
    </row>
    <row r="170" spans="1:14" ht="33.75" customHeight="1" x14ac:dyDescent="0.2">
      <c r="A170" s="670" t="s">
        <v>1769</v>
      </c>
      <c r="B170" s="672" t="s">
        <v>31</v>
      </c>
      <c r="C170" s="617"/>
      <c r="D170" s="617"/>
      <c r="E170" s="617"/>
      <c r="F170" s="617"/>
      <c r="G170" s="617"/>
      <c r="H170" s="569">
        <v>95000</v>
      </c>
      <c r="I170" s="617"/>
      <c r="J170" s="617"/>
      <c r="K170" s="1693">
        <f>SUM(C170:J170)</f>
        <v>95000</v>
      </c>
      <c r="L170" s="569">
        <v>95000</v>
      </c>
    </row>
    <row r="171" spans="1:14" ht="15.75" customHeight="1" x14ac:dyDescent="0.2">
      <c r="A171" s="622" t="s">
        <v>790</v>
      </c>
      <c r="B171" s="673" t="s">
        <v>86</v>
      </c>
      <c r="C171" s="617"/>
      <c r="D171" s="617"/>
      <c r="E171" s="466"/>
      <c r="F171" s="617"/>
      <c r="G171" s="617"/>
      <c r="H171" s="569">
        <v>1300</v>
      </c>
      <c r="I171" s="477"/>
      <c r="J171" s="617"/>
      <c r="K171" s="1693">
        <f>SUM(C171:J171)</f>
        <v>1300</v>
      </c>
      <c r="L171" s="569">
        <v>1000</v>
      </c>
    </row>
    <row r="172" spans="1:14" ht="12.75" customHeight="1" thickBot="1" x14ac:dyDescent="0.25">
      <c r="A172" s="1690" t="s">
        <v>659</v>
      </c>
      <c r="B172" s="1691" t="s">
        <v>513</v>
      </c>
      <c r="C172" s="617"/>
      <c r="D172" s="617"/>
      <c r="E172" s="1699">
        <f>SUM(E168,E169,E170,E171)</f>
        <v>0</v>
      </c>
      <c r="F172" s="617"/>
      <c r="G172" s="617"/>
      <c r="H172" s="1699">
        <f>SUM(H168,H169,H170,H171)</f>
        <v>290366</v>
      </c>
      <c r="I172" s="639"/>
      <c r="J172" s="617"/>
      <c r="K172" s="1699">
        <f>SUM(K168,K169,K170,K171)</f>
        <v>290366</v>
      </c>
      <c r="L172" s="1699">
        <f>SUM(L168,L169,L170,L171)</f>
        <v>289713</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290366</v>
      </c>
      <c r="I174" s="639"/>
      <c r="J174" s="617"/>
      <c r="K174" s="1699">
        <f>SUM(K160,K172,K173)</f>
        <v>290366</v>
      </c>
      <c r="L174" s="1699">
        <f>SUM(L160,L172,L173)</f>
        <v>289713</v>
      </c>
    </row>
    <row r="175" spans="1:14" ht="13.5" thickTop="1" x14ac:dyDescent="0.2">
      <c r="A175" s="2172" t="s">
        <v>1053</v>
      </c>
      <c r="B175" s="2173"/>
      <c r="C175" s="617"/>
      <c r="D175" s="617"/>
      <c r="E175" s="617"/>
      <c r="F175" s="617"/>
      <c r="G175" s="617"/>
      <c r="H175" s="619"/>
      <c r="I175" s="617"/>
      <c r="J175" s="617"/>
      <c r="K175" s="1706">
        <f>'Revenues 9-14'!E275-'Expenditures 15-22'!K174</f>
        <v>121554</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f>107568+3689+20898+62415+47455</f>
        <v>242025</v>
      </c>
      <c r="D182" s="466">
        <f>492+229+54+9203+129</f>
        <v>10107</v>
      </c>
      <c r="E182" s="466">
        <f>34563+10210</f>
        <v>44773</v>
      </c>
      <c r="F182" s="466">
        <f>75991+995+118+387</f>
        <v>77491</v>
      </c>
      <c r="G182" s="466">
        <v>79393</v>
      </c>
      <c r="H182" s="466">
        <v>140</v>
      </c>
      <c r="I182" s="467"/>
      <c r="J182" s="467"/>
      <c r="K182" s="1693">
        <f>SUM(C182:J182)</f>
        <v>453929</v>
      </c>
      <c r="L182" s="466">
        <v>484358</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242025</v>
      </c>
      <c r="D184" s="1699">
        <f t="shared" ref="D184:J184" si="17">SUM(D180,D182,D183)</f>
        <v>10107</v>
      </c>
      <c r="E184" s="1699">
        <f t="shared" si="17"/>
        <v>44773</v>
      </c>
      <c r="F184" s="1699">
        <f t="shared" si="17"/>
        <v>77491</v>
      </c>
      <c r="G184" s="1699">
        <f t="shared" si="17"/>
        <v>79393</v>
      </c>
      <c r="H184" s="1699">
        <f t="shared" si="17"/>
        <v>140</v>
      </c>
      <c r="I184" s="1699">
        <f t="shared" si="17"/>
        <v>0</v>
      </c>
      <c r="J184" s="1699">
        <f t="shared" si="17"/>
        <v>0</v>
      </c>
      <c r="K184" s="1699">
        <f>SUM(K180,K182,K183)</f>
        <v>453929</v>
      </c>
      <c r="L184" s="1699">
        <f>SUM(L180, L182:L183)</f>
        <v>484358</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242025</v>
      </c>
      <c r="D210" s="1692">
        <f>SUM(D184,D185)</f>
        <v>10107</v>
      </c>
      <c r="E210" s="1692">
        <f>SUM(E184,E185,E196)</f>
        <v>44773</v>
      </c>
      <c r="F210" s="1692">
        <f>SUM(F184,F185)</f>
        <v>77491</v>
      </c>
      <c r="G210" s="1692">
        <f>SUM(G184,G185)</f>
        <v>79393</v>
      </c>
      <c r="H210" s="1692">
        <f>SUM(H184,H185,H196,H208,H209)</f>
        <v>140</v>
      </c>
      <c r="I210" s="1692">
        <f>SUM(I184,I185)</f>
        <v>0</v>
      </c>
      <c r="J210" s="1692">
        <f>SUM(J184,J185)</f>
        <v>0</v>
      </c>
      <c r="K210" s="1693">
        <f>SUM(K184,K185,K196,K208,K209)</f>
        <v>453929</v>
      </c>
      <c r="L210" s="1692">
        <f>SUM(L184,L185,L196,L208,L209)</f>
        <v>484358</v>
      </c>
    </row>
    <row r="211" spans="1:14" ht="13.5" thickTop="1" x14ac:dyDescent="0.2">
      <c r="A211" s="2172" t="s">
        <v>1053</v>
      </c>
      <c r="B211" s="2173"/>
      <c r="C211" s="619"/>
      <c r="D211" s="619"/>
      <c r="E211" s="619"/>
      <c r="F211" s="619"/>
      <c r="G211" s="619"/>
      <c r="H211" s="619"/>
      <c r="I211" s="617"/>
      <c r="J211" s="617"/>
      <c r="K211" s="1706">
        <f>'Revenues 9-14'!F275-'Expenditures 15-22'!K210</f>
        <v>40555</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4" t="s">
        <v>1022</v>
      </c>
      <c r="B213" s="2195"/>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f>3417+1720+283+31007+287+81+2059+977+14596</f>
        <v>54427</v>
      </c>
      <c r="E215" s="617"/>
      <c r="F215" s="617"/>
      <c r="G215" s="617"/>
      <c r="H215" s="617"/>
      <c r="I215" s="617"/>
      <c r="J215" s="617"/>
      <c r="K215" s="1693">
        <f>D215</f>
        <v>54427</v>
      </c>
      <c r="L215" s="466">
        <v>51432</v>
      </c>
    </row>
    <row r="216" spans="1:14" x14ac:dyDescent="0.2">
      <c r="A216" s="1526" t="s">
        <v>165</v>
      </c>
      <c r="B216" s="615" t="s">
        <v>1024</v>
      </c>
      <c r="C216" s="617"/>
      <c r="D216" s="467">
        <f>5010+2384+2047</f>
        <v>9441</v>
      </c>
      <c r="E216" s="617"/>
      <c r="F216" s="617"/>
      <c r="G216" s="617"/>
      <c r="H216" s="617"/>
      <c r="I216" s="617"/>
      <c r="J216" s="617"/>
      <c r="K216" s="1693">
        <f t="shared" ref="K216:K228" si="19">D216</f>
        <v>9441</v>
      </c>
      <c r="L216" s="466">
        <v>9447</v>
      </c>
    </row>
    <row r="217" spans="1:14" x14ac:dyDescent="0.2">
      <c r="A217" s="1526" t="s">
        <v>166</v>
      </c>
      <c r="B217" s="615">
        <v>1200</v>
      </c>
      <c r="C217" s="617"/>
      <c r="D217" s="466">
        <f>9587+4528+6081+1409</f>
        <v>21605</v>
      </c>
      <c r="E217" s="617"/>
      <c r="F217" s="617"/>
      <c r="G217" s="617"/>
      <c r="H217" s="617"/>
      <c r="I217" s="617"/>
      <c r="J217" s="617"/>
      <c r="K217" s="1693">
        <f t="shared" si="19"/>
        <v>21605</v>
      </c>
      <c r="L217" s="466">
        <v>21889</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f>10756+5096+1296</f>
        <v>17148</v>
      </c>
      <c r="E219" s="617"/>
      <c r="F219" s="617"/>
      <c r="G219" s="617"/>
      <c r="H219" s="617"/>
      <c r="I219" s="617"/>
      <c r="J219" s="617"/>
      <c r="K219" s="1693">
        <f t="shared" si="19"/>
        <v>17148</v>
      </c>
      <c r="L219" s="466">
        <v>20158</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v>3672</v>
      </c>
      <c r="E222" s="617"/>
      <c r="F222" s="617"/>
      <c r="G222" s="617"/>
      <c r="H222" s="617"/>
      <c r="I222" s="617"/>
      <c r="J222" s="617"/>
      <c r="K222" s="1693">
        <f t="shared" si="19"/>
        <v>3672</v>
      </c>
      <c r="L222" s="466">
        <v>3900</v>
      </c>
    </row>
    <row r="223" spans="1:14" x14ac:dyDescent="0.2">
      <c r="A223" s="1526" t="s">
        <v>1020</v>
      </c>
      <c r="B223" s="615">
        <v>1500</v>
      </c>
      <c r="C223" s="617"/>
      <c r="D223" s="466">
        <f>1115+915+2155</f>
        <v>4185</v>
      </c>
      <c r="E223" s="617"/>
      <c r="F223" s="617"/>
      <c r="G223" s="617"/>
      <c r="H223" s="617"/>
      <c r="I223" s="617"/>
      <c r="J223" s="617"/>
      <c r="K223" s="1693">
        <f t="shared" si="19"/>
        <v>4185</v>
      </c>
      <c r="L223" s="466"/>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110478</v>
      </c>
      <c r="E229" s="617"/>
      <c r="F229" s="617"/>
      <c r="G229" s="617"/>
      <c r="H229" s="617"/>
      <c r="I229" s="617"/>
      <c r="J229" s="617"/>
      <c r="K229" s="1692">
        <f>SUM(K215:K228)</f>
        <v>110478</v>
      </c>
      <c r="L229" s="1692">
        <f>SUM(L215:L228)</f>
        <v>106826</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v>1484</v>
      </c>
      <c r="E233" s="617"/>
      <c r="F233" s="617"/>
      <c r="G233" s="617"/>
      <c r="H233" s="617"/>
      <c r="I233" s="617"/>
      <c r="J233" s="617"/>
      <c r="K233" s="1693">
        <f t="shared" si="20"/>
        <v>1484</v>
      </c>
      <c r="L233" s="466">
        <v>974</v>
      </c>
    </row>
    <row r="234" spans="1:12" x14ac:dyDescent="0.2">
      <c r="A234" s="1526" t="s">
        <v>207</v>
      </c>
      <c r="B234" s="615">
        <v>2130</v>
      </c>
      <c r="C234" s="617"/>
      <c r="D234" s="466">
        <f>3502+1647+385</f>
        <v>5534</v>
      </c>
      <c r="E234" s="617"/>
      <c r="F234" s="617"/>
      <c r="G234" s="617"/>
      <c r="H234" s="617"/>
      <c r="I234" s="617"/>
      <c r="J234" s="617"/>
      <c r="K234" s="1693">
        <f t="shared" si="20"/>
        <v>5534</v>
      </c>
      <c r="L234" s="466">
        <v>6657</v>
      </c>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7018</v>
      </c>
      <c r="E238" s="617"/>
      <c r="F238" s="617"/>
      <c r="G238" s="617"/>
      <c r="H238" s="617"/>
      <c r="I238" s="617"/>
      <c r="J238" s="617"/>
      <c r="K238" s="1692">
        <f>SUM(K232:K237)</f>
        <v>7018</v>
      </c>
      <c r="L238" s="1692">
        <f>SUM(L232:L237)</f>
        <v>7631</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f>2+9</f>
        <v>11</v>
      </c>
      <c r="E240" s="617"/>
      <c r="F240" s="617"/>
      <c r="G240" s="617"/>
      <c r="H240" s="617"/>
      <c r="I240" s="617"/>
      <c r="J240" s="617"/>
      <c r="K240" s="1694">
        <f>D240</f>
        <v>11</v>
      </c>
      <c r="L240" s="481"/>
    </row>
    <row r="241" spans="1:12" x14ac:dyDescent="0.2">
      <c r="A241" s="1526" t="s">
        <v>869</v>
      </c>
      <c r="B241" s="615">
        <v>2220</v>
      </c>
      <c r="C241" s="617"/>
      <c r="D241" s="466">
        <f>1806+850+199</f>
        <v>2855</v>
      </c>
      <c r="E241" s="617"/>
      <c r="F241" s="617"/>
      <c r="G241" s="617"/>
      <c r="H241" s="617"/>
      <c r="I241" s="617"/>
      <c r="J241" s="617"/>
      <c r="K241" s="1694">
        <f>D241</f>
        <v>2855</v>
      </c>
      <c r="L241" s="466">
        <v>2888</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2866</v>
      </c>
      <c r="E243" s="617"/>
      <c r="F243" s="617"/>
      <c r="G243" s="617"/>
      <c r="H243" s="617"/>
      <c r="I243" s="617"/>
      <c r="J243" s="617"/>
      <c r="K243" s="1692">
        <f>SUM(K240:K242)</f>
        <v>2866</v>
      </c>
      <c r="L243" s="1692">
        <f>SUM(L240:L242)</f>
        <v>2888</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f>47+21+5+174+619+653+115+290+305+27+68+71</f>
        <v>2395</v>
      </c>
      <c r="E245" s="617"/>
      <c r="F245" s="617"/>
      <c r="G245" s="617"/>
      <c r="H245" s="617"/>
      <c r="I245" s="617"/>
      <c r="J245" s="617"/>
      <c r="K245" s="1694">
        <f>D245</f>
        <v>2395</v>
      </c>
      <c r="L245" s="481">
        <v>2087</v>
      </c>
    </row>
    <row r="246" spans="1:12" x14ac:dyDescent="0.2">
      <c r="A246" s="1526" t="s">
        <v>872</v>
      </c>
      <c r="B246" s="615">
        <v>2320</v>
      </c>
      <c r="C246" s="617"/>
      <c r="D246" s="466">
        <f>1573+725+2038</f>
        <v>4336</v>
      </c>
      <c r="E246" s="617"/>
      <c r="F246" s="617"/>
      <c r="G246" s="617"/>
      <c r="H246" s="617"/>
      <c r="I246" s="617"/>
      <c r="J246" s="617"/>
      <c r="K246" s="1694">
        <f t="shared" ref="K246:K256" si="21">D246</f>
        <v>4336</v>
      </c>
      <c r="L246" s="466">
        <v>4375</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1905</v>
      </c>
      <c r="B249" s="684" t="s">
        <v>300</v>
      </c>
      <c r="C249" s="617"/>
      <c r="D249" s="474"/>
      <c r="E249" s="617"/>
      <c r="F249" s="617"/>
      <c r="G249" s="617"/>
      <c r="H249" s="617"/>
      <c r="I249" s="617"/>
      <c r="J249" s="617"/>
      <c r="K249" s="1694">
        <f t="shared" si="21"/>
        <v>0</v>
      </c>
      <c r="L249" s="466"/>
    </row>
    <row r="250" spans="1:12" x14ac:dyDescent="0.2">
      <c r="A250" s="1527" t="s">
        <v>1906</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6731</v>
      </c>
      <c r="E257" s="617"/>
      <c r="F257" s="617"/>
      <c r="G257" s="617"/>
      <c r="H257" s="617"/>
      <c r="I257" s="617"/>
      <c r="J257" s="617"/>
      <c r="K257" s="1692">
        <f>SUM(K245:K256)</f>
        <v>6731</v>
      </c>
      <c r="L257" s="1692">
        <f>SUM(L245:L256)</f>
        <v>6462</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f>14892+7000+5314</f>
        <v>27206</v>
      </c>
      <c r="E259" s="617"/>
      <c r="F259" s="617"/>
      <c r="G259" s="617"/>
      <c r="H259" s="617"/>
      <c r="I259" s="617"/>
      <c r="J259" s="617"/>
      <c r="K259" s="1694">
        <f>D259</f>
        <v>27206</v>
      </c>
      <c r="L259" s="481">
        <v>23234</v>
      </c>
    </row>
    <row r="260" spans="1:14" s="598" customFormat="1" x14ac:dyDescent="0.2">
      <c r="A260" s="1544" t="s">
        <v>1904</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27206</v>
      </c>
      <c r="E261" s="617"/>
      <c r="F261" s="617"/>
      <c r="G261" s="617"/>
      <c r="H261" s="617"/>
      <c r="I261" s="617"/>
      <c r="J261" s="617"/>
      <c r="K261" s="1692">
        <f>SUM(K259:K260)</f>
        <v>27206</v>
      </c>
      <c r="L261" s="1692">
        <f>SUM(L259:L260)</f>
        <v>23234</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f>10383+4858+1136+5</f>
        <v>16382</v>
      </c>
      <c r="E264" s="617"/>
      <c r="F264" s="617"/>
      <c r="G264" s="617"/>
      <c r="H264" s="617"/>
      <c r="I264" s="617"/>
      <c r="J264" s="617"/>
      <c r="K264" s="1694">
        <f t="shared" ref="K264:K269" si="22">D264</f>
        <v>16382</v>
      </c>
      <c r="L264" s="466">
        <v>16810</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f>39225+19239+4499</f>
        <v>62963</v>
      </c>
      <c r="E266" s="617"/>
      <c r="F266" s="617"/>
      <c r="G266" s="617"/>
      <c r="H266" s="617"/>
      <c r="I266" s="617"/>
      <c r="J266" s="617"/>
      <c r="K266" s="1694">
        <f t="shared" si="22"/>
        <v>62963</v>
      </c>
      <c r="L266" s="466">
        <v>67335</v>
      </c>
    </row>
    <row r="267" spans="1:14" x14ac:dyDescent="0.2">
      <c r="A267" s="1526" t="s">
        <v>1010</v>
      </c>
      <c r="B267" s="615">
        <v>2550</v>
      </c>
      <c r="C267" s="617"/>
      <c r="D267" s="466">
        <f>3887+6669+1560+1110+1295+303+8055+3794+887+5870+2942+688</f>
        <v>37060</v>
      </c>
      <c r="E267" s="617"/>
      <c r="F267" s="617"/>
      <c r="G267" s="617"/>
      <c r="H267" s="617"/>
      <c r="I267" s="617"/>
      <c r="J267" s="617"/>
      <c r="K267" s="1694">
        <f t="shared" si="22"/>
        <v>37060</v>
      </c>
      <c r="L267" s="466">
        <v>29700</v>
      </c>
    </row>
    <row r="268" spans="1:14" x14ac:dyDescent="0.2">
      <c r="A268" s="1526" t="s">
        <v>102</v>
      </c>
      <c r="B268" s="615">
        <v>2560</v>
      </c>
      <c r="C268" s="617"/>
      <c r="D268" s="466">
        <f>10291+6386+1494+9175+4319+1010</f>
        <v>32675</v>
      </c>
      <c r="E268" s="617"/>
      <c r="F268" s="617"/>
      <c r="G268" s="617"/>
      <c r="H268" s="617"/>
      <c r="I268" s="617"/>
      <c r="J268" s="617"/>
      <c r="K268" s="1694">
        <f t="shared" si="22"/>
        <v>32675</v>
      </c>
      <c r="L268" s="466">
        <v>33270</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149080</v>
      </c>
      <c r="E270" s="617"/>
      <c r="F270" s="617"/>
      <c r="G270" s="617"/>
      <c r="H270" s="617"/>
      <c r="I270" s="617"/>
      <c r="J270" s="617"/>
      <c r="K270" s="1692">
        <f>SUM(K263:K269)</f>
        <v>149080</v>
      </c>
      <c r="L270" s="1692">
        <f>SUM(L263:L269)</f>
        <v>147115</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192901</v>
      </c>
      <c r="E279" s="617"/>
      <c r="F279" s="617"/>
      <c r="G279" s="617"/>
      <c r="H279" s="617"/>
      <c r="I279" s="617"/>
      <c r="J279" s="617"/>
      <c r="K279" s="1699">
        <f>SUM(K238,K243,K257,K261,K270,K277,K278)</f>
        <v>192901</v>
      </c>
      <c r="L279" s="1699">
        <f>SUM(L238,L243,L257,L261,L270,L277,L278)</f>
        <v>187330</v>
      </c>
    </row>
    <row r="280" spans="1:12" ht="15.75" customHeight="1" thickTop="1" thickBot="1" x14ac:dyDescent="0.25">
      <c r="A280" s="1646" t="s">
        <v>930</v>
      </c>
      <c r="B280" s="1635">
        <v>3000</v>
      </c>
      <c r="C280" s="617"/>
      <c r="D280" s="576">
        <f>24+42</f>
        <v>66</v>
      </c>
      <c r="E280" s="617"/>
      <c r="F280" s="617"/>
      <c r="G280" s="617"/>
      <c r="H280" s="617"/>
      <c r="I280" s="617"/>
      <c r="J280" s="617"/>
      <c r="K280" s="1701">
        <f>D280</f>
        <v>66</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1953</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0" t="s">
        <v>526</v>
      </c>
      <c r="B295" s="2191"/>
      <c r="C295" s="617"/>
      <c r="D295" s="1692">
        <f>SUM(D229,D279,D280,D285)</f>
        <v>303445</v>
      </c>
      <c r="E295" s="617"/>
      <c r="F295" s="617"/>
      <c r="G295" s="617"/>
      <c r="H295" s="1692">
        <f>H293</f>
        <v>0</v>
      </c>
      <c r="I295" s="617"/>
      <c r="J295" s="617"/>
      <c r="K295" s="1692">
        <f>SUM(K229,K279,K280,K285,K293,K294)</f>
        <v>303445</v>
      </c>
      <c r="L295" s="1692">
        <f>SUM(L229,L279,L280,L285,L293,L294)</f>
        <v>294156</v>
      </c>
    </row>
    <row r="296" spans="1:14" ht="13.5" thickTop="1" x14ac:dyDescent="0.2">
      <c r="A296" s="2172" t="s">
        <v>1053</v>
      </c>
      <c r="B296" s="2173"/>
      <c r="C296" s="617"/>
      <c r="D296" s="619"/>
      <c r="E296" s="617"/>
      <c r="F296" s="617"/>
      <c r="G296" s="617"/>
      <c r="H296" s="688"/>
      <c r="I296" s="617"/>
      <c r="J296" s="617"/>
      <c r="K296" s="1706">
        <f>'Revenues 9-14'!G275-'Expenditures 15-22'!K295</f>
        <v>-159547</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2" t="s">
        <v>145</v>
      </c>
      <c r="B298" s="2176"/>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f>884009-1</f>
        <v>884008</v>
      </c>
      <c r="H301" s="466"/>
      <c r="I301" s="467"/>
      <c r="J301" s="467"/>
      <c r="K301" s="1693">
        <f>SUM(C301:J301)</f>
        <v>884008</v>
      </c>
      <c r="L301" s="467">
        <v>884009</v>
      </c>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884008</v>
      </c>
      <c r="H303" s="1699">
        <f t="shared" si="23"/>
        <v>0</v>
      </c>
      <c r="I303" s="1699">
        <f t="shared" si="23"/>
        <v>0</v>
      </c>
      <c r="J303" s="1699">
        <f t="shared" si="23"/>
        <v>0</v>
      </c>
      <c r="K303" s="1699">
        <f t="shared" si="23"/>
        <v>884008</v>
      </c>
      <c r="L303" s="1699">
        <f t="shared" si="23"/>
        <v>884009</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1958</v>
      </c>
      <c r="B306" s="691" t="s">
        <v>1953</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7" t="s">
        <v>295</v>
      </c>
      <c r="B312" s="2188"/>
      <c r="C312" s="1692">
        <f>SUM(C303)</f>
        <v>0</v>
      </c>
      <c r="D312" s="1692">
        <f>SUM(D303)</f>
        <v>0</v>
      </c>
      <c r="E312" s="1692">
        <f>SUM(E303,E310)</f>
        <v>0</v>
      </c>
      <c r="F312" s="1692">
        <f>SUM(F303)</f>
        <v>0</v>
      </c>
      <c r="G312" s="1692">
        <f>SUM(G303)</f>
        <v>884008</v>
      </c>
      <c r="H312" s="1692">
        <f>SUM(H303,H310)</f>
        <v>0</v>
      </c>
      <c r="I312" s="1692">
        <f>SUM(I303)</f>
        <v>0</v>
      </c>
      <c r="J312" s="1692">
        <f>SUM(J303)</f>
        <v>0</v>
      </c>
      <c r="K312" s="1692">
        <f>SUM(K303,K310,K311)</f>
        <v>884008</v>
      </c>
      <c r="L312" s="1692">
        <f>SUM(L303,L310,L311)</f>
        <v>884009</v>
      </c>
      <c r="M312" s="666"/>
      <c r="N312" s="666"/>
    </row>
    <row r="313" spans="1:14" ht="13.5" thickTop="1" x14ac:dyDescent="0.2">
      <c r="A313" s="2183" t="s">
        <v>1053</v>
      </c>
      <c r="B313" s="2184"/>
      <c r="C313" s="627"/>
      <c r="D313" s="627"/>
      <c r="E313" s="627"/>
      <c r="F313" s="627"/>
      <c r="G313" s="627"/>
      <c r="H313" s="627"/>
      <c r="I313" s="627"/>
      <c r="J313" s="627"/>
      <c r="K313" s="1707">
        <f>'Revenues 9-14'!H275-'Expenditures 15-22'!K312</f>
        <v>-757285</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6" t="s">
        <v>151</v>
      </c>
      <c r="B315" s="2197"/>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8" t="s">
        <v>954</v>
      </c>
      <c r="B317" s="2197"/>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1905</v>
      </c>
      <c r="B320" s="699" t="s">
        <v>300</v>
      </c>
      <c r="C320" s="467"/>
      <c r="D320" s="467"/>
      <c r="E320" s="467"/>
      <c r="F320" s="467"/>
      <c r="G320" s="467"/>
      <c r="H320" s="467"/>
      <c r="I320" s="467"/>
      <c r="J320" s="467"/>
      <c r="K320" s="1693">
        <f t="shared" ref="K320:K327" si="24">SUM(C320:J320)</f>
        <v>0</v>
      </c>
      <c r="L320" s="467"/>
      <c r="M320" s="666"/>
      <c r="N320" s="666"/>
    </row>
    <row r="321" spans="1:14" s="675" customFormat="1" x14ac:dyDescent="0.2">
      <c r="A321" s="1541" t="s">
        <v>318</v>
      </c>
      <c r="B321" s="698" t="s">
        <v>301</v>
      </c>
      <c r="C321" s="467"/>
      <c r="D321" s="467"/>
      <c r="E321" s="467">
        <f>103606+1320</f>
        <v>104926</v>
      </c>
      <c r="F321" s="467"/>
      <c r="G321" s="467"/>
      <c r="H321" s="467"/>
      <c r="I321" s="467"/>
      <c r="J321" s="467"/>
      <c r="K321" s="1693">
        <f t="shared" si="24"/>
        <v>104926</v>
      </c>
      <c r="L321" s="467">
        <v>113381</v>
      </c>
      <c r="M321" s="666"/>
      <c r="N321" s="666"/>
    </row>
    <row r="322" spans="1:14" s="675" customFormat="1" x14ac:dyDescent="0.2">
      <c r="A322" s="1541" t="s">
        <v>256</v>
      </c>
      <c r="B322" s="698" t="s">
        <v>302</v>
      </c>
      <c r="C322" s="467"/>
      <c r="D322" s="467"/>
      <c r="E322" s="467"/>
      <c r="F322" s="467"/>
      <c r="G322" s="467"/>
      <c r="H322" s="467"/>
      <c r="I322" s="467"/>
      <c r="J322" s="467"/>
      <c r="K322" s="1693">
        <f t="shared" si="24"/>
        <v>0</v>
      </c>
      <c r="L322" s="467"/>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5024</v>
      </c>
      <c r="F327" s="467"/>
      <c r="G327" s="467"/>
      <c r="H327" s="467"/>
      <c r="I327" s="467"/>
      <c r="J327" s="467"/>
      <c r="K327" s="1693">
        <f t="shared" si="24"/>
        <v>5024</v>
      </c>
      <c r="L327" s="467"/>
      <c r="M327" s="666"/>
      <c r="N327" s="666"/>
    </row>
    <row r="328" spans="1:14" s="675" customFormat="1" x14ac:dyDescent="0.2">
      <c r="A328" s="1542" t="s">
        <v>492</v>
      </c>
      <c r="B328" s="691" t="s">
        <v>1194</v>
      </c>
      <c r="C328" s="474"/>
      <c r="D328" s="474"/>
      <c r="E328" s="474">
        <v>98871</v>
      </c>
      <c r="F328" s="474"/>
      <c r="G328" s="474"/>
      <c r="H328" s="474"/>
      <c r="I328" s="474"/>
      <c r="J328" s="474"/>
      <c r="K328" s="1721">
        <f>SUM(C328:J328)</f>
        <v>98871</v>
      </c>
      <c r="L328" s="474">
        <v>98811</v>
      </c>
      <c r="M328" s="666"/>
      <c r="N328" s="666"/>
    </row>
    <row r="329" spans="1:14" s="675" customFormat="1" x14ac:dyDescent="0.2">
      <c r="A329" s="1542" t="s">
        <v>1195</v>
      </c>
      <c r="B329" s="691" t="s">
        <v>1196</v>
      </c>
      <c r="C329" s="474"/>
      <c r="D329" s="474"/>
      <c r="E329" s="474">
        <v>326</v>
      </c>
      <c r="F329" s="474"/>
      <c r="G329" s="474"/>
      <c r="H329" s="474"/>
      <c r="I329" s="474"/>
      <c r="J329" s="474"/>
      <c r="K329" s="1721">
        <f>SUM(C329:J329)</f>
        <v>326</v>
      </c>
      <c r="L329" s="474">
        <v>1526</v>
      </c>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209147</v>
      </c>
      <c r="F330" s="1692">
        <f t="shared" si="25"/>
        <v>0</v>
      </c>
      <c r="G330" s="1692">
        <f t="shared" si="25"/>
        <v>0</v>
      </c>
      <c r="H330" s="1692">
        <f t="shared" si="25"/>
        <v>0</v>
      </c>
      <c r="I330" s="1692">
        <f t="shared" si="25"/>
        <v>0</v>
      </c>
      <c r="J330" s="1692">
        <f t="shared" si="25"/>
        <v>0</v>
      </c>
      <c r="K330" s="1692">
        <f>SUM(K319:K329)</f>
        <v>209147</v>
      </c>
      <c r="L330" s="1692">
        <f>SUM(L319:L329)</f>
        <v>213718</v>
      </c>
      <c r="M330" s="666"/>
      <c r="N330" s="666"/>
    </row>
    <row r="331" spans="1:14" s="675" customFormat="1" ht="12.75" customHeight="1" thickTop="1" x14ac:dyDescent="0.2">
      <c r="A331" s="1854" t="s">
        <v>1959</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1953</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1955</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1960</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0</v>
      </c>
      <c r="D342" s="1692">
        <f>SUM(D330)</f>
        <v>0</v>
      </c>
      <c r="E342" s="1692">
        <f>SUM(E330)</f>
        <v>209147</v>
      </c>
      <c r="F342" s="1692">
        <f>SUM(F330)</f>
        <v>0</v>
      </c>
      <c r="G342" s="1692">
        <f>SUM(G330)</f>
        <v>0</v>
      </c>
      <c r="H342" s="1692">
        <f>SUM(H330,H334,H340)</f>
        <v>0</v>
      </c>
      <c r="I342" s="1692">
        <f>SUM(I330)</f>
        <v>0</v>
      </c>
      <c r="J342" s="1692">
        <f>SUM(J330)</f>
        <v>0</v>
      </c>
      <c r="K342" s="1692">
        <f>SUM(K330,K334,K340)</f>
        <v>209147</v>
      </c>
      <c r="L342" s="1699">
        <f>SUM(L330,L340,L341)</f>
        <v>213718</v>
      </c>
    </row>
    <row r="343" spans="1:14" ht="12.75" customHeight="1" thickTop="1" x14ac:dyDescent="0.2">
      <c r="A343" s="2185" t="s">
        <v>1053</v>
      </c>
      <c r="B343" s="2186"/>
      <c r="C343" s="617"/>
      <c r="D343" s="617"/>
      <c r="E343" s="617"/>
      <c r="F343" s="617"/>
      <c r="G343" s="617"/>
      <c r="H343" s="617"/>
      <c r="I343" s="617"/>
      <c r="J343" s="617"/>
      <c r="K343" s="1706">
        <f>'Revenues 9-14'!J275-'Expenditures 15-22'!K342</f>
        <v>2840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5" t="s">
        <v>1023</v>
      </c>
      <c r="B345" s="2176"/>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v>17993</v>
      </c>
      <c r="F348" s="466"/>
      <c r="G348" s="466"/>
      <c r="H348" s="466"/>
      <c r="I348" s="467"/>
      <c r="J348" s="467"/>
      <c r="K348" s="1693">
        <f>SUM(C348:J348)</f>
        <v>17993</v>
      </c>
      <c r="L348" s="466">
        <v>20000</v>
      </c>
    </row>
    <row r="349" spans="1:14" x14ac:dyDescent="0.2">
      <c r="A349" s="1526" t="s">
        <v>206</v>
      </c>
      <c r="B349" s="615">
        <v>2540</v>
      </c>
      <c r="C349" s="466"/>
      <c r="D349" s="466"/>
      <c r="E349" s="466">
        <v>10732</v>
      </c>
      <c r="F349" s="466">
        <v>210</v>
      </c>
      <c r="G349" s="466"/>
      <c r="H349" s="466"/>
      <c r="I349" s="467"/>
      <c r="J349" s="467"/>
      <c r="K349" s="1693">
        <f>SUM(C349:J349)</f>
        <v>10942</v>
      </c>
      <c r="L349" s="466">
        <v>15000</v>
      </c>
    </row>
    <row r="350" spans="1:14" ht="12.75" customHeight="1" thickBot="1" x14ac:dyDescent="0.25">
      <c r="A350" s="1690" t="s">
        <v>743</v>
      </c>
      <c r="B350" s="1691" t="s">
        <v>35</v>
      </c>
      <c r="C350" s="1692">
        <f>SUM(C348:C349)</f>
        <v>0</v>
      </c>
      <c r="D350" s="1692">
        <f t="shared" ref="D350:L350" si="26">SUM(D348:D349)</f>
        <v>0</v>
      </c>
      <c r="E350" s="1692">
        <f t="shared" si="26"/>
        <v>28725</v>
      </c>
      <c r="F350" s="1692">
        <f t="shared" si="26"/>
        <v>210</v>
      </c>
      <c r="G350" s="1692">
        <f t="shared" si="26"/>
        <v>0</v>
      </c>
      <c r="H350" s="1692">
        <f t="shared" si="26"/>
        <v>0</v>
      </c>
      <c r="I350" s="1692">
        <f t="shared" si="26"/>
        <v>0</v>
      </c>
      <c r="J350" s="1692">
        <f t="shared" si="26"/>
        <v>0</v>
      </c>
      <c r="K350" s="1692">
        <f t="shared" si="26"/>
        <v>28935</v>
      </c>
      <c r="L350" s="1692">
        <f t="shared" si="26"/>
        <v>35000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28725</v>
      </c>
      <c r="F352" s="1692">
        <f t="shared" si="27"/>
        <v>210</v>
      </c>
      <c r="G352" s="1692">
        <f t="shared" si="27"/>
        <v>0</v>
      </c>
      <c r="H352" s="1692">
        <f t="shared" si="27"/>
        <v>0</v>
      </c>
      <c r="I352" s="1692">
        <f t="shared" si="27"/>
        <v>0</v>
      </c>
      <c r="J352" s="1692">
        <f t="shared" si="27"/>
        <v>0</v>
      </c>
      <c r="K352" s="1692">
        <f t="shared" si="27"/>
        <v>28935</v>
      </c>
      <c r="L352" s="1692">
        <f t="shared" si="27"/>
        <v>35000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1961</v>
      </c>
      <c r="B354" s="684" t="s">
        <v>1953</v>
      </c>
      <c r="C354" s="617"/>
      <c r="D354" s="617"/>
      <c r="E354" s="617"/>
      <c r="F354" s="617"/>
      <c r="G354" s="617"/>
      <c r="H354" s="474"/>
      <c r="I354" s="702"/>
      <c r="J354" s="617"/>
      <c r="K354" s="1721">
        <f>H354</f>
        <v>0</v>
      </c>
      <c r="L354" s="471"/>
    </row>
    <row r="355" spans="1:14" ht="12.75" customHeight="1" x14ac:dyDescent="0.2">
      <c r="A355" s="1535" t="s">
        <v>1962</v>
      </c>
      <c r="B355" s="691" t="s">
        <v>1955</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28725</v>
      </c>
      <c r="F367" s="1692">
        <f t="shared" si="28"/>
        <v>210</v>
      </c>
      <c r="G367" s="1692">
        <f t="shared" si="28"/>
        <v>0</v>
      </c>
      <c r="H367" s="1692">
        <f t="shared" si="28"/>
        <v>0</v>
      </c>
      <c r="I367" s="1692">
        <f t="shared" si="28"/>
        <v>0</v>
      </c>
      <c r="J367" s="1692">
        <f t="shared" si="28"/>
        <v>0</v>
      </c>
      <c r="K367" s="1692">
        <f t="shared" si="28"/>
        <v>28935</v>
      </c>
      <c r="L367" s="1692">
        <f t="shared" si="28"/>
        <v>35000</v>
      </c>
    </row>
    <row r="368" spans="1:14" ht="13.5" thickTop="1" x14ac:dyDescent="0.2">
      <c r="A368" s="2172" t="s">
        <v>1053</v>
      </c>
      <c r="B368" s="2173"/>
      <c r="C368" s="655"/>
      <c r="D368" s="655"/>
      <c r="E368" s="627"/>
      <c r="F368" s="627"/>
      <c r="G368" s="627"/>
      <c r="H368" s="627"/>
      <c r="I368" s="627"/>
      <c r="J368" s="624"/>
      <c r="K368" s="1693">
        <f>'Revenues 9-14'!K275-'Expenditures 15-22'!K367</f>
        <v>20432</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2"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90" zoomScaleNormal="90" workbookViewId="0">
      <selection activeCell="X24" sqref="X24"/>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199" t="s">
        <v>1902</v>
      </c>
      <c r="B2" s="1550" t="s">
        <v>2032</v>
      </c>
      <c r="C2" s="715" t="s">
        <v>1907</v>
      </c>
      <c r="D2" s="715" t="s">
        <v>1908</v>
      </c>
      <c r="E2" s="715" t="s">
        <v>1909</v>
      </c>
      <c r="F2" s="715" t="s">
        <v>1910</v>
      </c>
    </row>
    <row r="3" spans="1:6" ht="12" customHeight="1" x14ac:dyDescent="0.2">
      <c r="A3" s="2200"/>
      <c r="B3" s="1547"/>
      <c r="C3" s="1548"/>
      <c r="D3" s="1549" t="s">
        <v>274</v>
      </c>
      <c r="E3" s="1548"/>
      <c r="F3" s="1549" t="s">
        <v>275</v>
      </c>
    </row>
    <row r="4" spans="1:6" ht="13.7" customHeight="1" x14ac:dyDescent="0.2">
      <c r="A4" s="716" t="s">
        <v>1217</v>
      </c>
      <c r="B4" s="1771">
        <f>'Revenues 9-14'!C5</f>
        <v>2110184</v>
      </c>
      <c r="C4" s="1546">
        <v>20779</v>
      </c>
      <c r="D4" s="1774">
        <f>B4-C4</f>
        <v>2089405</v>
      </c>
      <c r="E4" s="1546">
        <f>1504500+675861-3</f>
        <v>2180358</v>
      </c>
      <c r="F4" s="1774">
        <f>E4-C4</f>
        <v>2159579</v>
      </c>
    </row>
    <row r="5" spans="1:6" ht="13.7" customHeight="1" x14ac:dyDescent="0.2">
      <c r="A5" s="716" t="s">
        <v>925</v>
      </c>
      <c r="B5" s="1772">
        <f>'Revenues 9-14'!D5</f>
        <v>484596</v>
      </c>
      <c r="C5" s="585">
        <v>4772</v>
      </c>
      <c r="D5" s="1775">
        <f t="shared" ref="D5:D18" si="0">B5-C5</f>
        <v>479824</v>
      </c>
      <c r="E5" s="585">
        <f>316702+167288</f>
        <v>483990</v>
      </c>
      <c r="F5" s="1775">
        <f>E5-C5</f>
        <v>479218</v>
      </c>
    </row>
    <row r="6" spans="1:6" ht="13.7" customHeight="1" x14ac:dyDescent="0.2">
      <c r="A6" s="716" t="s">
        <v>431</v>
      </c>
      <c r="B6" s="1772">
        <f>'Revenues 9-14'!E5</f>
        <v>247446</v>
      </c>
      <c r="C6" s="585">
        <v>2437</v>
      </c>
      <c r="D6" s="1775">
        <f t="shared" si="0"/>
        <v>245009</v>
      </c>
      <c r="E6" s="585">
        <f>101914+50894</f>
        <v>152808</v>
      </c>
      <c r="F6" s="1775">
        <f t="shared" ref="F6:F18" si="1">E6-C6</f>
        <v>150371</v>
      </c>
    </row>
    <row r="7" spans="1:6" ht="13.7" customHeight="1" x14ac:dyDescent="0.2">
      <c r="A7" s="716" t="s">
        <v>157</v>
      </c>
      <c r="B7" s="1772">
        <f>'Revenues 9-14'!F5</f>
        <v>225400</v>
      </c>
      <c r="C7" s="585">
        <v>2219</v>
      </c>
      <c r="D7" s="1775">
        <f t="shared" si="0"/>
        <v>223181</v>
      </c>
      <c r="E7" s="585">
        <f>147401+73506</f>
        <v>220907</v>
      </c>
      <c r="F7" s="1775">
        <f t="shared" si="1"/>
        <v>218688</v>
      </c>
    </row>
    <row r="8" spans="1:6" ht="13.7" customHeight="1" x14ac:dyDescent="0.2">
      <c r="A8" s="716" t="s">
        <v>1241</v>
      </c>
      <c r="B8" s="1772">
        <f>'Revenues 9-14'!G5</f>
        <v>1008</v>
      </c>
      <c r="C8" s="585">
        <v>10</v>
      </c>
      <c r="D8" s="1775">
        <f t="shared" si="0"/>
        <v>998</v>
      </c>
      <c r="E8" s="585">
        <f>661+371</f>
        <v>1032</v>
      </c>
      <c r="F8" s="1775">
        <f t="shared" si="1"/>
        <v>1022</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48999</v>
      </c>
      <c r="C10" s="585">
        <v>482</v>
      </c>
      <c r="D10" s="1775">
        <f t="shared" si="0"/>
        <v>48517</v>
      </c>
      <c r="E10" s="585">
        <f>32023+16940</f>
        <v>48963</v>
      </c>
      <c r="F10" s="1775">
        <f t="shared" si="1"/>
        <v>48481</v>
      </c>
    </row>
    <row r="11" spans="1:6" x14ac:dyDescent="0.2">
      <c r="A11" s="716" t="s">
        <v>429</v>
      </c>
      <c r="B11" s="1772">
        <f>'Revenues 9-14'!J5</f>
        <v>211779</v>
      </c>
      <c r="C11" s="585">
        <v>2085</v>
      </c>
      <c r="D11" s="1775">
        <f t="shared" si="0"/>
        <v>209694</v>
      </c>
      <c r="E11" s="585">
        <f>138401+73135</f>
        <v>211536</v>
      </c>
      <c r="F11" s="1775">
        <f t="shared" si="1"/>
        <v>209451</v>
      </c>
    </row>
    <row r="12" spans="1:6" ht="13.7" customHeight="1" x14ac:dyDescent="0.2">
      <c r="A12" s="716" t="s">
        <v>159</v>
      </c>
      <c r="B12" s="1772">
        <f>'Revenues 9-14'!K5</f>
        <v>48996</v>
      </c>
      <c r="C12" s="585">
        <v>482</v>
      </c>
      <c r="D12" s="1775">
        <f t="shared" si="0"/>
        <v>48514</v>
      </c>
      <c r="E12" s="585">
        <f>32023+16940</f>
        <v>48963</v>
      </c>
      <c r="F12" s="1775">
        <f t="shared" si="1"/>
        <v>48481</v>
      </c>
    </row>
    <row r="13" spans="1:6" ht="13.7" customHeight="1" x14ac:dyDescent="0.2">
      <c r="A13" s="716" t="s">
        <v>993</v>
      </c>
      <c r="B13" s="1772">
        <f>SUM('Revenues 9-14'!C6:D6)</f>
        <v>0</v>
      </c>
      <c r="C13" s="585"/>
      <c r="D13" s="1775">
        <f t="shared" si="0"/>
        <v>0</v>
      </c>
      <c r="E13" s="585"/>
      <c r="F13" s="1775">
        <f t="shared" si="1"/>
        <v>0</v>
      </c>
    </row>
    <row r="14" spans="1:6" ht="13.7" customHeight="1" x14ac:dyDescent="0.2">
      <c r="A14" s="716" t="s">
        <v>430</v>
      </c>
      <c r="B14" s="1772">
        <f>SUM('Revenues 9-14'!C7:D7,'Revenues 9-14'!F7:H7)</f>
        <v>38679</v>
      </c>
      <c r="C14" s="585">
        <v>381</v>
      </c>
      <c r="D14" s="1775">
        <f t="shared" si="0"/>
        <v>38298</v>
      </c>
      <c r="E14" s="585">
        <f>25277+13382</f>
        <v>38659</v>
      </c>
      <c r="F14" s="1775">
        <f t="shared" si="1"/>
        <v>38278</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131791</v>
      </c>
      <c r="C16" s="585">
        <v>1298</v>
      </c>
      <c r="D16" s="1775">
        <f t="shared" si="0"/>
        <v>130493</v>
      </c>
      <c r="E16" s="585">
        <f>86130+45557</f>
        <v>131687</v>
      </c>
      <c r="F16" s="1775">
        <f t="shared" si="1"/>
        <v>130389</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v>83700</v>
      </c>
      <c r="F18" s="1775">
        <f t="shared" si="1"/>
        <v>83700</v>
      </c>
    </row>
    <row r="19" spans="1:6" ht="13.7" customHeight="1" thickBot="1" x14ac:dyDescent="0.25">
      <c r="A19" s="1776" t="s">
        <v>1223</v>
      </c>
      <c r="B19" s="1773">
        <f>SUM(B4:B18)</f>
        <v>3548878</v>
      </c>
      <c r="C19" s="1773">
        <f>SUM(C4:C18)</f>
        <v>34945</v>
      </c>
      <c r="D19" s="1773">
        <f>SUM(D4:D18)</f>
        <v>3513933</v>
      </c>
      <c r="E19" s="1773">
        <f>SUM(E4:E18)</f>
        <v>3602603</v>
      </c>
      <c r="F19" s="1773">
        <f>SUM(F4:F18)</f>
        <v>3567658</v>
      </c>
    </row>
    <row r="20" spans="1:6" ht="13.5" thickTop="1" x14ac:dyDescent="0.2">
      <c r="B20" s="714"/>
      <c r="F20" s="717"/>
    </row>
    <row r="21" spans="1:6" x14ac:dyDescent="0.2">
      <c r="A21" s="718" t="s">
        <v>1912</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E29" colorId="8" zoomScale="110" zoomScaleNormal="110" workbookViewId="0">
      <selection activeCell="X24" sqref="X24"/>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1" t="s">
        <v>650</v>
      </c>
      <c r="B1" s="2219"/>
      <c r="C1" s="722"/>
    </row>
    <row r="2" spans="1:7" ht="33.75" x14ac:dyDescent="0.2">
      <c r="A2" s="2226" t="s">
        <v>1902</v>
      </c>
      <c r="B2" s="2227"/>
      <c r="C2" s="1909" t="s">
        <v>2033</v>
      </c>
      <c r="D2" s="724" t="s">
        <v>2040</v>
      </c>
      <c r="E2" s="724" t="s">
        <v>2041</v>
      </c>
      <c r="F2" s="1909" t="s">
        <v>2034</v>
      </c>
    </row>
    <row r="3" spans="1:7" ht="15.75" customHeight="1" x14ac:dyDescent="0.2">
      <c r="A3" s="2228" t="s">
        <v>1176</v>
      </c>
      <c r="B3" s="2229"/>
      <c r="C3" s="2222"/>
      <c r="D3" s="2223"/>
      <c r="E3" s="2223"/>
      <c r="F3" s="2224"/>
    </row>
    <row r="4" spans="1:7" ht="12.75" customHeight="1" thickBot="1" x14ac:dyDescent="0.25">
      <c r="A4" s="2216" t="s">
        <v>651</v>
      </c>
      <c r="B4" s="2217"/>
      <c r="C4" s="581"/>
      <c r="D4" s="581"/>
      <c r="E4" s="581"/>
      <c r="F4" s="1777">
        <f>SUM(C4+D4)-E4</f>
        <v>0</v>
      </c>
    </row>
    <row r="5" spans="1:7" ht="15.75" customHeight="1" thickTop="1" x14ac:dyDescent="0.2">
      <c r="A5" s="2220" t="s">
        <v>1172</v>
      </c>
      <c r="B5" s="2215"/>
      <c r="C5" s="2209"/>
      <c r="D5" s="2210"/>
      <c r="E5" s="2210"/>
      <c r="F5" s="2211"/>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2" t="s">
        <v>652</v>
      </c>
      <c r="B15" s="2213"/>
      <c r="C15" s="1777">
        <f>SUM(C6:C14)</f>
        <v>0</v>
      </c>
      <c r="D15" s="1777">
        <f>SUM(D6:D14)</f>
        <v>0</v>
      </c>
      <c r="E15" s="1777">
        <f>SUM(E6:E14)</f>
        <v>0</v>
      </c>
      <c r="F15" s="1777">
        <f>SUM(F6:F14)</f>
        <v>0</v>
      </c>
      <c r="G15" s="552"/>
    </row>
    <row r="16" spans="1:7" s="202" customFormat="1" ht="15.75" customHeight="1" thickTop="1" x14ac:dyDescent="0.2">
      <c r="A16" s="2225" t="s">
        <v>1173</v>
      </c>
      <c r="B16" s="2215"/>
      <c r="C16" s="2209"/>
      <c r="D16" s="2210"/>
      <c r="E16" s="2210"/>
      <c r="F16" s="2211"/>
    </row>
    <row r="17" spans="1:11" ht="12.75" customHeight="1" thickBot="1" x14ac:dyDescent="0.25">
      <c r="A17" s="2207" t="s">
        <v>66</v>
      </c>
      <c r="B17" s="2208"/>
      <c r="C17" s="727"/>
      <c r="D17" s="585"/>
      <c r="E17" s="727"/>
      <c r="F17" s="1777">
        <f>SUM(C17+D17)-E17</f>
        <v>0</v>
      </c>
    </row>
    <row r="18" spans="1:11" ht="12.75" customHeight="1" thickTop="1" thickBot="1" x14ac:dyDescent="0.25">
      <c r="A18" s="2207" t="s">
        <v>6</v>
      </c>
      <c r="B18" s="2208"/>
      <c r="C18" s="727"/>
      <c r="D18" s="585"/>
      <c r="E18" s="727"/>
      <c r="F18" s="1777">
        <f>SUM(C18+D18)-E18</f>
        <v>0</v>
      </c>
    </row>
    <row r="19" spans="1:11" ht="12.75" customHeight="1" thickTop="1" thickBot="1" x14ac:dyDescent="0.25">
      <c r="A19" s="2207" t="s">
        <v>406</v>
      </c>
      <c r="B19" s="2208"/>
      <c r="C19" s="727"/>
      <c r="D19" s="585"/>
      <c r="E19" s="727"/>
      <c r="F19" s="1777">
        <f>SUM(C19+D19)-E19</f>
        <v>0</v>
      </c>
    </row>
    <row r="20" spans="1:11" ht="12.75" customHeight="1" thickTop="1" thickBot="1" x14ac:dyDescent="0.25">
      <c r="A20" s="2207" t="s">
        <v>468</v>
      </c>
      <c r="B20" s="2208"/>
      <c r="C20" s="727"/>
      <c r="D20" s="585"/>
      <c r="E20" s="727"/>
      <c r="F20" s="1777">
        <f>SUM(C20+D20)-E20</f>
        <v>0</v>
      </c>
    </row>
    <row r="21" spans="1:11" ht="14.25" thickTop="1" thickBot="1" x14ac:dyDescent="0.25">
      <c r="A21" s="2212" t="s">
        <v>653</v>
      </c>
      <c r="B21" s="2213"/>
      <c r="C21" s="1777">
        <f>SUM(C17:C20)</f>
        <v>0</v>
      </c>
      <c r="D21" s="1777">
        <f>SUM(D17:D20)</f>
        <v>0</v>
      </c>
      <c r="E21" s="1777">
        <f>SUM(E17:E20)</f>
        <v>0</v>
      </c>
      <c r="F21" s="1777">
        <f>SUM(F17:F20)</f>
        <v>0</v>
      </c>
      <c r="G21" s="552"/>
    </row>
    <row r="22" spans="1:11" ht="15.75" customHeight="1" thickTop="1" x14ac:dyDescent="0.2">
      <c r="A22" s="2214" t="s">
        <v>1174</v>
      </c>
      <c r="B22" s="2215"/>
      <c r="C22" s="2209"/>
      <c r="D22" s="2210"/>
      <c r="E22" s="2210"/>
      <c r="F22" s="2211"/>
    </row>
    <row r="23" spans="1:11" ht="13.5" thickBot="1" x14ac:dyDescent="0.25">
      <c r="A23" s="2216" t="s">
        <v>654</v>
      </c>
      <c r="B23" s="2217"/>
      <c r="C23" s="581"/>
      <c r="D23" s="581"/>
      <c r="E23" s="581"/>
      <c r="F23" s="1777">
        <f>SUM(C23+D23)-E23</f>
        <v>0</v>
      </c>
      <c r="G23" s="552"/>
    </row>
    <row r="24" spans="1:11" ht="15.75" customHeight="1" thickTop="1" x14ac:dyDescent="0.2">
      <c r="A24" s="2214" t="s">
        <v>1175</v>
      </c>
      <c r="B24" s="2215"/>
      <c r="C24" s="2209"/>
      <c r="D24" s="2210"/>
      <c r="E24" s="2210"/>
      <c r="F24" s="2211"/>
    </row>
    <row r="25" spans="1:11" ht="13.5" thickBot="1" x14ac:dyDescent="0.25">
      <c r="A25" s="2216" t="s">
        <v>655</v>
      </c>
      <c r="B25" s="2217"/>
      <c r="C25" s="581"/>
      <c r="D25" s="581"/>
      <c r="E25" s="581"/>
      <c r="F25" s="1777">
        <f>SUM(C25+D25)-E25</f>
        <v>0</v>
      </c>
      <c r="G25" s="552"/>
    </row>
    <row r="26" spans="1:11" ht="15.75" customHeight="1" thickTop="1" x14ac:dyDescent="0.2">
      <c r="A26" s="2220" t="s">
        <v>678</v>
      </c>
      <c r="B26" s="2215"/>
      <c r="C26" s="728"/>
      <c r="D26" s="728"/>
      <c r="E26" s="728"/>
      <c r="F26" s="729"/>
    </row>
    <row r="27" spans="1:11" ht="13.5" thickBot="1" x14ac:dyDescent="0.25">
      <c r="A27" s="2212" t="s">
        <v>1130</v>
      </c>
      <c r="B27" s="2213"/>
      <c r="C27" s="585"/>
      <c r="D27" s="585"/>
      <c r="E27" s="585"/>
      <c r="F27" s="1777">
        <f>SUM(C27+D27)-E27</f>
        <v>0</v>
      </c>
      <c r="G27" s="552"/>
    </row>
    <row r="28" spans="1:11" ht="7.5" customHeight="1" thickTop="1" x14ac:dyDescent="0.2">
      <c r="A28" s="594"/>
    </row>
    <row r="29" spans="1:11" ht="23.25" customHeight="1" x14ac:dyDescent="0.2">
      <c r="A29" s="2218" t="s">
        <v>603</v>
      </c>
      <c r="B29" s="2219"/>
      <c r="C29" s="730"/>
      <c r="D29" s="730"/>
      <c r="E29" s="730"/>
      <c r="F29" s="730"/>
      <c r="G29" s="730"/>
      <c r="H29" s="730"/>
      <c r="I29" s="730"/>
      <c r="J29" s="730"/>
    </row>
    <row r="30" spans="1:11" ht="33.75" x14ac:dyDescent="0.2">
      <c r="A30" s="1551" t="s">
        <v>1131</v>
      </c>
      <c r="B30" s="731" t="s">
        <v>1186</v>
      </c>
      <c r="C30" s="1910" t="s">
        <v>604</v>
      </c>
      <c r="D30" s="1910" t="s">
        <v>1772</v>
      </c>
      <c r="E30" s="1910" t="s">
        <v>2035</v>
      </c>
      <c r="F30" s="1910" t="s">
        <v>2036</v>
      </c>
      <c r="G30" s="1910" t="s">
        <v>2039</v>
      </c>
      <c r="H30" s="1910" t="s">
        <v>2037</v>
      </c>
      <c r="I30" s="1910" t="s">
        <v>2038</v>
      </c>
      <c r="J30" s="1911" t="s">
        <v>2</v>
      </c>
      <c r="K30" s="732"/>
    </row>
    <row r="31" spans="1:11" ht="12" customHeight="1" x14ac:dyDescent="0.2">
      <c r="A31" s="733" t="s">
        <v>2101</v>
      </c>
      <c r="B31" s="734">
        <v>42410</v>
      </c>
      <c r="C31" s="735">
        <v>1700000</v>
      </c>
      <c r="D31" s="736">
        <v>2</v>
      </c>
      <c r="E31" s="735">
        <v>1700000</v>
      </c>
      <c r="F31" s="735"/>
      <c r="G31" s="735"/>
      <c r="H31" s="735">
        <v>95000</v>
      </c>
      <c r="I31" s="1778">
        <f>((E31+F31)-H31)+G31</f>
        <v>1605000</v>
      </c>
      <c r="J31" s="735">
        <v>1605000</v>
      </c>
      <c r="K31" s="737"/>
    </row>
    <row r="32" spans="1:11" ht="12" customHeight="1" x14ac:dyDescent="0.2">
      <c r="A32" s="733" t="s">
        <v>2102</v>
      </c>
      <c r="B32" s="734">
        <v>42809</v>
      </c>
      <c r="C32" s="735">
        <v>2790000</v>
      </c>
      <c r="D32" s="736">
        <v>2</v>
      </c>
      <c r="E32" s="735">
        <v>2850000</v>
      </c>
      <c r="F32" s="735"/>
      <c r="G32" s="735"/>
      <c r="H32" s="735"/>
      <c r="I32" s="1778">
        <f>((E32+F32)-H32)+G32</f>
        <v>2850000</v>
      </c>
      <c r="J32" s="735">
        <f>4455000-1605000-357526+130000</f>
        <v>2622474</v>
      </c>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4490000</v>
      </c>
      <c r="D49" s="746"/>
      <c r="E49" s="1778">
        <f t="shared" ref="E49:J49" si="2">SUM(E31:E48)</f>
        <v>4550000</v>
      </c>
      <c r="F49" s="1778">
        <f t="shared" si="2"/>
        <v>0</v>
      </c>
      <c r="G49" s="1778">
        <f t="shared" si="2"/>
        <v>0</v>
      </c>
      <c r="H49" s="1778">
        <f t="shared" si="2"/>
        <v>95000</v>
      </c>
      <c r="I49" s="1778">
        <f t="shared" si="2"/>
        <v>4455000</v>
      </c>
      <c r="J49" s="1778">
        <f t="shared" si="2"/>
        <v>4227474</v>
      </c>
      <c r="K49" s="738"/>
    </row>
    <row r="50" spans="1:11" ht="6" customHeight="1" x14ac:dyDescent="0.2">
      <c r="A50" s="747"/>
      <c r="B50" s="737"/>
      <c r="C50" s="737"/>
      <c r="D50" s="737"/>
      <c r="E50" s="737"/>
      <c r="F50" s="737"/>
      <c r="G50" s="737"/>
      <c r="H50" s="737"/>
      <c r="I50" s="737"/>
      <c r="J50" s="747"/>
    </row>
    <row r="51" spans="1:11" x14ac:dyDescent="0.2">
      <c r="A51" s="748" t="s">
        <v>1911</v>
      </c>
      <c r="B51" s="747"/>
      <c r="C51" s="738"/>
      <c r="D51" s="738"/>
      <c r="E51" s="738"/>
      <c r="F51" s="738"/>
      <c r="G51" s="738"/>
      <c r="H51" s="737"/>
      <c r="I51" s="737"/>
      <c r="J51" s="747"/>
    </row>
    <row r="52" spans="1:11" ht="11.25" customHeight="1" x14ac:dyDescent="0.2">
      <c r="A52" s="749" t="s">
        <v>968</v>
      </c>
      <c r="B52" s="2201" t="s">
        <v>605</v>
      </c>
      <c r="C52" s="2202"/>
      <c r="D52" s="2202"/>
      <c r="E52" s="750" t="s">
        <v>900</v>
      </c>
      <c r="F52" s="2203"/>
      <c r="G52" s="2204"/>
      <c r="H52" s="737"/>
      <c r="I52" s="737"/>
      <c r="J52" s="747"/>
    </row>
    <row r="53" spans="1:11" ht="11.25" customHeight="1" x14ac:dyDescent="0.2">
      <c r="A53" s="751" t="s">
        <v>969</v>
      </c>
      <c r="B53" s="752" t="s">
        <v>1008</v>
      </c>
      <c r="C53" s="747"/>
      <c r="D53" s="738"/>
      <c r="E53" s="750" t="s">
        <v>518</v>
      </c>
      <c r="F53" s="2205"/>
      <c r="G53" s="2206"/>
      <c r="H53" s="737"/>
      <c r="I53" s="737"/>
      <c r="J53" s="747"/>
    </row>
    <row r="54" spans="1:11" ht="11.25" customHeight="1" x14ac:dyDescent="0.2">
      <c r="A54" s="753" t="s">
        <v>970</v>
      </c>
      <c r="B54" s="748" t="s">
        <v>1009</v>
      </c>
      <c r="C54" s="747"/>
      <c r="D54" s="738"/>
      <c r="E54" s="750" t="s">
        <v>519</v>
      </c>
      <c r="F54" s="2205"/>
      <c r="G54" s="2206"/>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9" colorId="8" zoomScale="110" zoomScaleNormal="110" workbookViewId="0">
      <selection activeCell="X24" sqref="X2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0" t="s">
        <v>911</v>
      </c>
      <c r="B1" s="2231"/>
      <c r="C1" s="2231"/>
      <c r="D1" s="2231"/>
      <c r="E1" s="2231"/>
      <c r="F1" s="2231"/>
      <c r="G1" s="2232"/>
      <c r="H1" s="1552"/>
      <c r="I1" s="761"/>
      <c r="J1" s="433"/>
    </row>
    <row r="2" spans="1:11" ht="26.25" x14ac:dyDescent="0.2">
      <c r="A2" s="2249" t="s">
        <v>1776</v>
      </c>
      <c r="B2" s="2250"/>
      <c r="C2" s="2250"/>
      <c r="D2" s="2250"/>
      <c r="E2" s="2251"/>
      <c r="F2" s="762" t="s">
        <v>960</v>
      </c>
      <c r="G2" s="763" t="s">
        <v>1773</v>
      </c>
      <c r="H2" s="763" t="s">
        <v>430</v>
      </c>
      <c r="I2" s="763" t="s">
        <v>1220</v>
      </c>
      <c r="J2" s="763" t="s">
        <v>1916</v>
      </c>
      <c r="K2" s="763" t="s">
        <v>140</v>
      </c>
    </row>
    <row r="3" spans="1:11" x14ac:dyDescent="0.2">
      <c r="A3" s="2252" t="s">
        <v>1698</v>
      </c>
      <c r="B3" s="2253"/>
      <c r="C3" s="2253"/>
      <c r="D3" s="2253"/>
      <c r="E3" s="2254"/>
      <c r="F3" s="764"/>
      <c r="G3" s="765"/>
      <c r="H3" s="765"/>
      <c r="I3" s="765"/>
      <c r="J3" s="766"/>
      <c r="K3" s="766"/>
    </row>
    <row r="4" spans="1:11" x14ac:dyDescent="0.2">
      <c r="A4" s="2255" t="s">
        <v>387</v>
      </c>
      <c r="B4" s="2256"/>
      <c r="C4" s="2256"/>
      <c r="D4" s="2256"/>
      <c r="E4" s="2202"/>
      <c r="F4" s="767"/>
      <c r="G4" s="768"/>
      <c r="H4" s="769"/>
      <c r="I4" s="768"/>
      <c r="J4" s="770"/>
      <c r="K4" s="770"/>
    </row>
    <row r="5" spans="1:11" x14ac:dyDescent="0.2">
      <c r="A5" s="2233" t="s">
        <v>1129</v>
      </c>
      <c r="B5" s="2234"/>
      <c r="C5" s="2234"/>
      <c r="D5" s="2234"/>
      <c r="E5" s="2235"/>
      <c r="F5" s="771" t="s">
        <v>903</v>
      </c>
      <c r="G5" s="772"/>
      <c r="H5" s="765">
        <v>38679</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v>289179</v>
      </c>
      <c r="K8" s="770"/>
    </row>
    <row r="9" spans="1:11" x14ac:dyDescent="0.2">
      <c r="A9" s="779" t="s">
        <v>140</v>
      </c>
      <c r="B9" s="780"/>
      <c r="C9" s="780"/>
      <c r="D9" s="780"/>
      <c r="E9" s="781"/>
      <c r="F9" s="778" t="s">
        <v>908</v>
      </c>
      <c r="G9" s="783"/>
      <c r="H9" s="772"/>
      <c r="I9" s="772"/>
      <c r="J9" s="782"/>
      <c r="K9" s="766">
        <v>26293</v>
      </c>
    </row>
    <row r="10" spans="1:11" x14ac:dyDescent="0.2">
      <c r="A10" s="2233" t="s">
        <v>1917</v>
      </c>
      <c r="B10" s="2234"/>
      <c r="C10" s="2234"/>
      <c r="D10" s="2234"/>
      <c r="E10" s="2236"/>
      <c r="F10" s="784" t="s">
        <v>917</v>
      </c>
      <c r="G10" s="783"/>
      <c r="H10" s="785"/>
      <c r="I10" s="765"/>
      <c r="J10" s="766"/>
      <c r="K10" s="766"/>
    </row>
    <row r="11" spans="1:11" x14ac:dyDescent="0.2">
      <c r="A11" s="2233" t="s">
        <v>162</v>
      </c>
      <c r="B11" s="2234"/>
      <c r="C11" s="2234"/>
      <c r="D11" s="2234"/>
      <c r="E11" s="2235"/>
      <c r="F11" s="771" t="s">
        <v>907</v>
      </c>
      <c r="G11" s="772"/>
      <c r="H11" s="765"/>
      <c r="I11" s="765"/>
      <c r="J11" s="766"/>
      <c r="K11" s="774"/>
    </row>
    <row r="12" spans="1:11" ht="13.5" thickBot="1" x14ac:dyDescent="0.25">
      <c r="A12" s="2260" t="s">
        <v>961</v>
      </c>
      <c r="B12" s="2261"/>
      <c r="C12" s="2261"/>
      <c r="D12" s="2261"/>
      <c r="E12" s="2262"/>
      <c r="F12" s="1779"/>
      <c r="G12" s="1780">
        <f>SUM(G5:G11)</f>
        <v>0</v>
      </c>
      <c r="H12" s="1780">
        <f>SUM(H5:H11)</f>
        <v>38679</v>
      </c>
      <c r="I12" s="1780">
        <f>SUM(I5:I11)</f>
        <v>0</v>
      </c>
      <c r="J12" s="1780">
        <f>SUM(J5:J11)</f>
        <v>289179</v>
      </c>
      <c r="K12" s="1780">
        <f>SUM(K5:K11)</f>
        <v>26293</v>
      </c>
    </row>
    <row r="13" spans="1:11" ht="13.5" thickTop="1" x14ac:dyDescent="0.2">
      <c r="A13" s="2257" t="s">
        <v>388</v>
      </c>
      <c r="B13" s="2258"/>
      <c r="C13" s="2258"/>
      <c r="D13" s="2258"/>
      <c r="E13" s="2259"/>
      <c r="F13" s="786"/>
      <c r="G13" s="787"/>
      <c r="H13" s="788"/>
      <c r="I13" s="789"/>
      <c r="J13" s="789"/>
      <c r="K13" s="789"/>
    </row>
    <row r="14" spans="1:11" x14ac:dyDescent="0.2">
      <c r="A14" s="2240" t="s">
        <v>476</v>
      </c>
      <c r="B14" s="2240"/>
      <c r="C14" s="2240"/>
      <c r="D14" s="2240"/>
      <c r="E14" s="2241"/>
      <c r="F14" s="790" t="s">
        <v>909</v>
      </c>
      <c r="G14" s="783"/>
      <c r="H14" s="765">
        <v>38679</v>
      </c>
      <c r="I14" s="772"/>
      <c r="J14" s="774"/>
      <c r="K14" s="766">
        <v>26293</v>
      </c>
    </row>
    <row r="15" spans="1:11" x14ac:dyDescent="0.2">
      <c r="A15" s="2234" t="s">
        <v>4</v>
      </c>
      <c r="B15" s="2234"/>
      <c r="C15" s="2234"/>
      <c r="D15" s="2234"/>
      <c r="E15" s="2235"/>
      <c r="F15" s="790" t="s">
        <v>910</v>
      </c>
      <c r="G15" s="772"/>
      <c r="H15" s="765"/>
      <c r="I15" s="765"/>
      <c r="J15" s="766">
        <v>289179</v>
      </c>
      <c r="K15" s="766"/>
    </row>
    <row r="16" spans="1:11" x14ac:dyDescent="0.2">
      <c r="A16" s="2234" t="s">
        <v>316</v>
      </c>
      <c r="B16" s="2234"/>
      <c r="C16" s="2234"/>
      <c r="D16" s="2234"/>
      <c r="E16" s="2235"/>
      <c r="F16" s="790" t="s">
        <v>980</v>
      </c>
      <c r="G16" s="773"/>
      <c r="H16" s="768"/>
      <c r="I16" s="768"/>
      <c r="J16" s="770"/>
      <c r="K16" s="770"/>
    </row>
    <row r="17" spans="1:11" x14ac:dyDescent="0.2">
      <c r="A17" s="2265" t="s">
        <v>992</v>
      </c>
      <c r="B17" s="2265"/>
      <c r="C17" s="2265"/>
      <c r="D17" s="2265"/>
      <c r="E17" s="2266"/>
      <c r="F17" s="791"/>
      <c r="G17" s="792"/>
      <c r="H17" s="793"/>
      <c r="I17" s="793"/>
      <c r="J17" s="794"/>
      <c r="K17" s="795"/>
    </row>
    <row r="18" spans="1:11" x14ac:dyDescent="0.2">
      <c r="A18" s="2244" t="s">
        <v>386</v>
      </c>
      <c r="B18" s="2245"/>
      <c r="C18" s="2245"/>
      <c r="D18" s="2245"/>
      <c r="E18" s="2246"/>
      <c r="F18" s="790" t="s">
        <v>989</v>
      </c>
      <c r="G18" s="783"/>
      <c r="H18" s="783"/>
      <c r="I18" s="783"/>
      <c r="J18" s="766"/>
      <c r="K18" s="796"/>
    </row>
    <row r="19" spans="1:11" ht="21.75" customHeight="1" x14ac:dyDescent="0.2">
      <c r="A19" s="2242" t="s">
        <v>1913</v>
      </c>
      <c r="B19" s="2242"/>
      <c r="C19" s="2242"/>
      <c r="D19" s="2242"/>
      <c r="E19" s="2243"/>
      <c r="F19" s="790" t="s">
        <v>990</v>
      </c>
      <c r="G19" s="783"/>
      <c r="H19" s="783"/>
      <c r="I19" s="783"/>
      <c r="J19" s="766"/>
      <c r="K19" s="796"/>
    </row>
    <row r="20" spans="1:11" x14ac:dyDescent="0.2">
      <c r="A20" s="2244" t="s">
        <v>1918</v>
      </c>
      <c r="B20" s="2245"/>
      <c r="C20" s="2245"/>
      <c r="D20" s="2245"/>
      <c r="E20" s="2246"/>
      <c r="F20" s="790" t="s">
        <v>991</v>
      </c>
      <c r="G20" s="783"/>
      <c r="H20" s="783"/>
      <c r="I20" s="783"/>
      <c r="J20" s="766"/>
      <c r="K20" s="796"/>
    </row>
    <row r="21" spans="1:11" ht="13.5" thickBot="1" x14ac:dyDescent="0.25">
      <c r="A21" s="2263" t="s">
        <v>659</v>
      </c>
      <c r="B21" s="2263"/>
      <c r="C21" s="2263"/>
      <c r="D21" s="2263"/>
      <c r="E21" s="2263"/>
      <c r="F21" s="1781"/>
      <c r="G21" s="793"/>
      <c r="H21" s="797"/>
      <c r="I21" s="797"/>
      <c r="J21" s="1782">
        <f>SUM(J18:J20)</f>
        <v>0</v>
      </c>
      <c r="K21" s="794"/>
    </row>
    <row r="22" spans="1:11" ht="13.5" thickTop="1" x14ac:dyDescent="0.2">
      <c r="A22" s="2234" t="s">
        <v>1919</v>
      </c>
      <c r="B22" s="2234"/>
      <c r="C22" s="2234"/>
      <c r="D22" s="2234"/>
      <c r="E22" s="2235"/>
      <c r="F22" s="790" t="s">
        <v>917</v>
      </c>
      <c r="G22" s="783"/>
      <c r="H22" s="765"/>
      <c r="I22" s="765"/>
      <c r="J22" s="798"/>
      <c r="K22" s="766"/>
    </row>
    <row r="23" spans="1:11" ht="13.5" thickBot="1" x14ac:dyDescent="0.25">
      <c r="A23" s="2264" t="s">
        <v>962</v>
      </c>
      <c r="B23" s="2263"/>
      <c r="C23" s="2263"/>
      <c r="D23" s="2263"/>
      <c r="E23" s="2263"/>
      <c r="F23" s="1783"/>
      <c r="G23" s="1780">
        <f>SUM(G14:G16,G21,G22)</f>
        <v>0</v>
      </c>
      <c r="H23" s="1780">
        <f>SUM(H14:H16,H21,H22)</f>
        <v>38679</v>
      </c>
      <c r="I23" s="1780">
        <f>SUM(I14:I16,I21,I22)</f>
        <v>0</v>
      </c>
      <c r="J23" s="1780">
        <f>SUM(J14:J16,J21,J22)</f>
        <v>289179</v>
      </c>
      <c r="K23" s="1780">
        <f>SUM(K14:K16,K21,K22)</f>
        <v>26293</v>
      </c>
    </row>
    <row r="24" spans="1:11" ht="14.25" thickTop="1" thickBot="1" x14ac:dyDescent="0.25">
      <c r="A24" s="2264" t="s">
        <v>2021</v>
      </c>
      <c r="B24" s="2263"/>
      <c r="C24" s="2263"/>
      <c r="D24" s="2263"/>
      <c r="E24" s="2263"/>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2031</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37"/>
      <c r="I31" s="2238"/>
      <c r="J31" s="2238"/>
      <c r="K31" s="2238"/>
    </row>
    <row r="32" spans="1:11" x14ac:dyDescent="0.2">
      <c r="A32" s="810"/>
      <c r="B32" s="237"/>
      <c r="C32" s="237"/>
      <c r="D32" s="237"/>
      <c r="E32" s="806"/>
      <c r="F32" s="812" t="s">
        <v>561</v>
      </c>
      <c r="G32" s="765"/>
      <c r="H32" s="2239"/>
      <c r="I32" s="2238"/>
      <c r="J32" s="2238"/>
      <c r="K32" s="2238"/>
    </row>
    <row r="33" spans="1:11" ht="1.5" customHeight="1" x14ac:dyDescent="0.2">
      <c r="A33" s="813" t="s">
        <v>1231</v>
      </c>
      <c r="B33" s="364"/>
      <c r="C33" s="364"/>
      <c r="D33" s="364"/>
      <c r="E33" s="364"/>
      <c r="F33" s="364"/>
      <c r="G33" s="814"/>
      <c r="H33" s="2239"/>
      <c r="I33" s="2238"/>
      <c r="J33" s="2238"/>
      <c r="K33" s="2238"/>
    </row>
    <row r="34" spans="1:11" x14ac:dyDescent="0.2">
      <c r="A34" s="815" t="s">
        <v>1920</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4" t="s">
        <v>562</v>
      </c>
      <c r="B41" s="2247"/>
      <c r="C41" s="2247"/>
      <c r="D41" s="2247"/>
      <c r="E41" s="2247"/>
      <c r="F41" s="2248"/>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1914</v>
      </c>
      <c r="B46" s="408" t="s">
        <v>1774</v>
      </c>
    </row>
    <row r="47" spans="1:11" s="824" customFormat="1" ht="12.75" customHeight="1" x14ac:dyDescent="0.2">
      <c r="A47" s="822"/>
      <c r="B47" s="823" t="s">
        <v>1775</v>
      </c>
      <c r="E47" s="823"/>
      <c r="K47" s="825"/>
    </row>
    <row r="48" spans="1:11" ht="12.75" customHeight="1" x14ac:dyDescent="0.2">
      <c r="A48" s="1554"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C4" colorId="8" zoomScale="110" zoomScaleNormal="110" workbookViewId="0">
      <selection activeCell="X24" sqref="X24"/>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9" t="s">
        <v>2030</v>
      </c>
      <c r="B1" s="2270"/>
      <c r="C1" s="2271"/>
      <c r="D1" s="827"/>
      <c r="E1" s="828"/>
      <c r="F1" s="828"/>
      <c r="G1" s="829"/>
      <c r="H1" s="830"/>
      <c r="I1" s="831"/>
      <c r="J1" s="2267"/>
      <c r="K1" s="2268"/>
      <c r="L1" s="2268"/>
    </row>
    <row r="2" spans="1:14" ht="69.75" customHeight="1" x14ac:dyDescent="0.2">
      <c r="A2" s="832" t="s">
        <v>1777</v>
      </c>
      <c r="B2" s="833" t="s">
        <v>396</v>
      </c>
      <c r="C2" s="834" t="s">
        <v>2025</v>
      </c>
      <c r="D2" s="834" t="s">
        <v>2022</v>
      </c>
      <c r="E2" s="834" t="s">
        <v>2023</v>
      </c>
      <c r="F2" s="834" t="s">
        <v>2024</v>
      </c>
      <c r="G2" s="834" t="s">
        <v>626</v>
      </c>
      <c r="H2" s="834" t="s">
        <v>2026</v>
      </c>
      <c r="I2" s="834" t="s">
        <v>2027</v>
      </c>
      <c r="J2" s="834" t="s">
        <v>2042</v>
      </c>
      <c r="K2" s="834" t="s">
        <v>2028</v>
      </c>
      <c r="L2" s="834" t="s">
        <v>2029</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223421</v>
      </c>
      <c r="D5" s="842"/>
      <c r="E5" s="842"/>
      <c r="F5" s="1782">
        <f>(C5+D5)-E5</f>
        <v>223421</v>
      </c>
      <c r="G5" s="838"/>
      <c r="H5" s="843"/>
      <c r="I5" s="843"/>
      <c r="J5" s="843"/>
      <c r="K5" s="794"/>
      <c r="L5" s="1791">
        <f>F5-K5</f>
        <v>223421</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12984453</v>
      </c>
      <c r="D8" s="845">
        <v>884009</v>
      </c>
      <c r="E8" s="845"/>
      <c r="F8" s="1782">
        <f>(C8+D8)-E8</f>
        <v>13868462</v>
      </c>
      <c r="G8" s="844">
        <v>50</v>
      </c>
      <c r="H8" s="766">
        <v>5328737</v>
      </c>
      <c r="I8" s="766">
        <v>161954</v>
      </c>
      <c r="J8" s="766"/>
      <c r="K8" s="1791">
        <f>(H8+I8)-J8</f>
        <v>5490691</v>
      </c>
      <c r="L8" s="1791">
        <f>F8-K8</f>
        <v>8377771</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773280</v>
      </c>
      <c r="D10" s="847"/>
      <c r="E10" s="847"/>
      <c r="F10" s="1786">
        <f>(C10+D10)-E10</f>
        <v>773280</v>
      </c>
      <c r="G10" s="844">
        <v>20</v>
      </c>
      <c r="H10" s="848">
        <v>391675</v>
      </c>
      <c r="I10" s="848">
        <v>19080</v>
      </c>
      <c r="J10" s="848"/>
      <c r="K10" s="1791">
        <f>(H10+I10)-J10</f>
        <v>410755</v>
      </c>
      <c r="L10" s="1791">
        <f>F10-K10</f>
        <v>362525</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4623159</v>
      </c>
      <c r="D12" s="845">
        <v>303569</v>
      </c>
      <c r="E12" s="845"/>
      <c r="F12" s="1782">
        <f>(C12+D12)-E12</f>
        <v>4926728</v>
      </c>
      <c r="G12" s="844">
        <v>10</v>
      </c>
      <c r="H12" s="766">
        <v>3313772</v>
      </c>
      <c r="I12" s="766">
        <v>146117</v>
      </c>
      <c r="J12" s="766"/>
      <c r="K12" s="1791">
        <f>(H12+I12)-J12</f>
        <v>3459889</v>
      </c>
      <c r="L12" s="1791">
        <f>F12-K12</f>
        <v>1466839</v>
      </c>
    </row>
    <row r="13" spans="1:14" ht="14.25" thickTop="1" thickBot="1" x14ac:dyDescent="0.25">
      <c r="A13" s="849" t="s">
        <v>1184</v>
      </c>
      <c r="B13" s="841">
        <v>252</v>
      </c>
      <c r="C13" s="845">
        <v>1708221</v>
      </c>
      <c r="D13" s="845">
        <v>79393</v>
      </c>
      <c r="E13" s="845">
        <v>121137</v>
      </c>
      <c r="F13" s="1782">
        <f>(C13+D13)-E13</f>
        <v>1666477</v>
      </c>
      <c r="G13" s="844">
        <v>5</v>
      </c>
      <c r="H13" s="766">
        <v>1314164</v>
      </c>
      <c r="I13" s="766">
        <v>74637</v>
      </c>
      <c r="J13" s="766">
        <v>121137</v>
      </c>
      <c r="K13" s="1791">
        <f>(H13+I13)-J13</f>
        <v>1267664</v>
      </c>
      <c r="L13" s="1791">
        <f>F13-K13</f>
        <v>398813</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20312534</v>
      </c>
      <c r="D16" s="1782">
        <f>SUM(D3,D5:D6,D8:D10,D12:D15)</f>
        <v>1266971</v>
      </c>
      <c r="E16" s="1782">
        <f>SUM(E3,E5:E6,E8:E10,E12:E15)</f>
        <v>121137</v>
      </c>
      <c r="F16" s="1782">
        <f>SUM(F3,F5:F6,F8:F10,F12:F15)</f>
        <v>21458368</v>
      </c>
      <c r="G16" s="844"/>
      <c r="H16" s="1782">
        <f>SUM(H3,H6,H8:H10,H12:H14,)</f>
        <v>10348348</v>
      </c>
      <c r="I16" s="1782">
        <f>SUM(I3,I6,I8:I10,I12:I14,)</f>
        <v>401788</v>
      </c>
      <c r="J16" s="1782">
        <f>SUM(J3,J6,J8:J10,J12:J14,)</f>
        <v>121137</v>
      </c>
      <c r="K16" s="1782">
        <f>(H16+I16)-J16</f>
        <v>10628999</v>
      </c>
      <c r="L16" s="1782">
        <f>F16-K16</f>
        <v>10829369</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401788</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X24" sqref="X24"/>
      <selection pane="bottomLeft" activeCell="A29" sqref="A29:XFD2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5" t="s">
        <v>1699</v>
      </c>
      <c r="B1" s="2276"/>
      <c r="C1" s="2276"/>
      <c r="D1" s="2276"/>
      <c r="E1" s="2276"/>
      <c r="F1" s="2277"/>
      <c r="G1" s="856"/>
    </row>
    <row r="2" spans="1:7" ht="15" customHeight="1" thickBot="1" x14ac:dyDescent="0.25">
      <c r="A2" s="2278" t="s">
        <v>498</v>
      </c>
      <c r="B2" s="2279"/>
      <c r="C2" s="2279"/>
      <c r="D2" s="2279"/>
      <c r="E2" s="2279"/>
      <c r="F2" s="2280"/>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1"/>
      <c r="B5" s="2282"/>
      <c r="C5" s="2282"/>
      <c r="D5" s="2282"/>
      <c r="E5" s="2282"/>
      <c r="F5" s="2282"/>
    </row>
    <row r="6" spans="1:7" ht="13.5" customHeight="1" thickBot="1" x14ac:dyDescent="0.25">
      <c r="A6" s="2272" t="s">
        <v>1166</v>
      </c>
      <c r="B6" s="2273"/>
      <c r="C6" s="2273"/>
      <c r="D6" s="2273"/>
      <c r="E6" s="2273"/>
      <c r="F6" s="2274"/>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7998904</v>
      </c>
      <c r="G8" s="866"/>
    </row>
    <row r="9" spans="1:7" x14ac:dyDescent="0.2">
      <c r="A9" s="870" t="s">
        <v>480</v>
      </c>
      <c r="B9" s="871" t="s">
        <v>1985</v>
      </c>
      <c r="C9" s="872"/>
      <c r="D9" s="870" t="s">
        <v>522</v>
      </c>
      <c r="E9" s="869"/>
      <c r="F9" s="1935">
        <f>'Expenditures 15-22'!K151</f>
        <v>915572</v>
      </c>
      <c r="G9" s="873"/>
    </row>
    <row r="10" spans="1:7" x14ac:dyDescent="0.2">
      <c r="A10" s="870" t="s">
        <v>520</v>
      </c>
      <c r="B10" s="871" t="s">
        <v>1986</v>
      </c>
      <c r="C10" s="872"/>
      <c r="D10" s="870" t="s">
        <v>522</v>
      </c>
      <c r="E10" s="869"/>
      <c r="F10" s="1935">
        <f>'Expenditures 15-22'!K174</f>
        <v>290366</v>
      </c>
      <c r="G10" s="873"/>
    </row>
    <row r="11" spans="1:7" x14ac:dyDescent="0.2">
      <c r="A11" s="870" t="s">
        <v>481</v>
      </c>
      <c r="B11" s="871" t="s">
        <v>1987</v>
      </c>
      <c r="C11" s="872"/>
      <c r="D11" s="870" t="s">
        <v>522</v>
      </c>
      <c r="E11" s="869"/>
      <c r="F11" s="1935">
        <f>'Expenditures 15-22'!K210</f>
        <v>453929</v>
      </c>
      <c r="G11" s="873"/>
    </row>
    <row r="12" spans="1:7" x14ac:dyDescent="0.2">
      <c r="A12" s="870" t="s">
        <v>482</v>
      </c>
      <c r="B12" s="871" t="s">
        <v>1988</v>
      </c>
      <c r="C12" s="872"/>
      <c r="D12" s="870" t="s">
        <v>522</v>
      </c>
      <c r="E12" s="869"/>
      <c r="F12" s="1935">
        <f>'Expenditures 15-22'!K295</f>
        <v>303445</v>
      </c>
      <c r="G12" s="873"/>
    </row>
    <row r="13" spans="1:7" x14ac:dyDescent="0.2">
      <c r="A13" s="870" t="s">
        <v>108</v>
      </c>
      <c r="B13" s="871" t="s">
        <v>1989</v>
      </c>
      <c r="C13" s="872"/>
      <c r="D13" s="870" t="s">
        <v>522</v>
      </c>
      <c r="E13" s="869"/>
      <c r="F13" s="1935">
        <f>'Expenditures 15-22'!K342</f>
        <v>209147</v>
      </c>
      <c r="G13" s="874"/>
    </row>
    <row r="14" spans="1:7" ht="12" customHeight="1" thickBot="1" x14ac:dyDescent="0.25">
      <c r="A14" s="1792"/>
      <c r="B14" s="1793"/>
      <c r="C14" s="1794"/>
      <c r="D14" s="1795" t="s">
        <v>522</v>
      </c>
      <c r="E14" s="1796" t="s">
        <v>1015</v>
      </c>
      <c r="F14" s="1797">
        <f>SUM(F8:F13)</f>
        <v>10171363</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197246</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28999</v>
      </c>
      <c r="G52" s="866"/>
    </row>
    <row r="53" spans="1:7" x14ac:dyDescent="0.2">
      <c r="A53" s="870" t="s">
        <v>479</v>
      </c>
      <c r="B53" s="870" t="s">
        <v>1551</v>
      </c>
      <c r="C53" s="890">
        <f>'Expenditures 15-22'!B102</f>
        <v>4000</v>
      </c>
      <c r="D53" s="889" t="str">
        <f>'Expenditures 15-22'!A102</f>
        <v>Total Payments to Other Govt Units</v>
      </c>
      <c r="E53" s="869"/>
      <c r="F53" s="1939">
        <f>'Expenditures 15-22'!K102</f>
        <v>716402</v>
      </c>
      <c r="G53" s="866"/>
    </row>
    <row r="54" spans="1:7" x14ac:dyDescent="0.2">
      <c r="A54" s="870" t="s">
        <v>479</v>
      </c>
      <c r="B54" s="870" t="s">
        <v>1552</v>
      </c>
      <c r="C54" s="890" t="s">
        <v>1039</v>
      </c>
      <c r="D54" s="886" t="s">
        <v>1157</v>
      </c>
      <c r="E54" s="869"/>
      <c r="F54" s="1939">
        <f>'Expenditures 15-22'!G114</f>
        <v>74546</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1990</v>
      </c>
      <c r="C57" s="890">
        <f>'Expenditures 15-22'!B139</f>
        <v>4000</v>
      </c>
      <c r="D57" s="888" t="str">
        <f>'Expenditures 15-22'!A139</f>
        <v>Total Payments to Other Govt Units</v>
      </c>
      <c r="E57" s="869"/>
      <c r="F57" s="1939">
        <f>'Expenditures 15-22'!K139</f>
        <v>0</v>
      </c>
      <c r="G57" s="866"/>
    </row>
    <row r="58" spans="1:7" x14ac:dyDescent="0.2">
      <c r="A58" s="870" t="s">
        <v>480</v>
      </c>
      <c r="B58" s="870" t="s">
        <v>1991</v>
      </c>
      <c r="C58" s="887" t="s">
        <v>1039</v>
      </c>
      <c r="D58" s="886" t="s">
        <v>1157</v>
      </c>
      <c r="E58" s="869"/>
      <c r="F58" s="1941">
        <f>'Expenditures 15-22'!G151</f>
        <v>229023</v>
      </c>
      <c r="G58" s="866"/>
    </row>
    <row r="59" spans="1:7" x14ac:dyDescent="0.2">
      <c r="A59" s="894" t="s">
        <v>480</v>
      </c>
      <c r="B59" s="857" t="s">
        <v>1992</v>
      </c>
      <c r="C59" s="895" t="s">
        <v>1039</v>
      </c>
      <c r="D59" s="857" t="s">
        <v>309</v>
      </c>
      <c r="F59" s="1942">
        <f>'Expenditures 15-22'!I151</f>
        <v>0</v>
      </c>
      <c r="G59" s="866"/>
    </row>
    <row r="60" spans="1:7" x14ac:dyDescent="0.2">
      <c r="A60" s="894" t="s">
        <v>520</v>
      </c>
      <c r="B60" s="857" t="s">
        <v>1993</v>
      </c>
      <c r="C60" s="895">
        <v>4000</v>
      </c>
      <c r="D60" s="857" t="s">
        <v>330</v>
      </c>
      <c r="F60" s="1940">
        <f>'Expenditures 15-22'!K160</f>
        <v>0</v>
      </c>
      <c r="G60" s="866"/>
    </row>
    <row r="61" spans="1:7" x14ac:dyDescent="0.2">
      <c r="A61" s="896" t="s">
        <v>520</v>
      </c>
      <c r="B61" s="896" t="s">
        <v>1994</v>
      </c>
      <c r="C61" s="897" t="str">
        <f>'Expenditures 15-22'!B170</f>
        <v>5300</v>
      </c>
      <c r="D61" s="898" t="s">
        <v>329</v>
      </c>
      <c r="E61" s="880"/>
      <c r="F61" s="1939">
        <f>'Expenditures 15-22'!K170</f>
        <v>95000</v>
      </c>
      <c r="G61" s="866"/>
    </row>
    <row r="62" spans="1:7" x14ac:dyDescent="0.2">
      <c r="A62" s="870" t="s">
        <v>481</v>
      </c>
      <c r="B62" s="870" t="s">
        <v>1995</v>
      </c>
      <c r="C62" s="887">
        <f>'Expenditures 15-22'!B185</f>
        <v>3000</v>
      </c>
      <c r="D62" s="877" t="s">
        <v>469</v>
      </c>
      <c r="E62" s="869"/>
      <c r="F62" s="1939">
        <f>'Expenditures 15-22'!K185-SUM('Expenditures 15-22'!G185,'Expenditures 15-22'!I185)</f>
        <v>0</v>
      </c>
      <c r="G62" s="866"/>
    </row>
    <row r="63" spans="1:7" x14ac:dyDescent="0.2">
      <c r="A63" s="870" t="s">
        <v>481</v>
      </c>
      <c r="B63" s="870" t="s">
        <v>1996</v>
      </c>
      <c r="C63" s="887" t="str">
        <f>'Expenditures 15-22'!B196</f>
        <v>4000</v>
      </c>
      <c r="D63" s="888" t="str">
        <f>'Expenditures 15-22'!A196</f>
        <v>Total Payments to Other Govt Units</v>
      </c>
      <c r="E63" s="869"/>
      <c r="F63" s="1939">
        <f>'Expenditures 15-22'!K196</f>
        <v>0</v>
      </c>
      <c r="G63" s="866"/>
    </row>
    <row r="64" spans="1:7" x14ac:dyDescent="0.2">
      <c r="A64" s="896" t="s">
        <v>481</v>
      </c>
      <c r="B64" s="896" t="s">
        <v>1997</v>
      </c>
      <c r="C64" s="897" t="str">
        <f>'Expenditures 15-22'!B206</f>
        <v>5300</v>
      </c>
      <c r="D64" s="893" t="s">
        <v>329</v>
      </c>
      <c r="E64" s="869"/>
      <c r="F64" s="1939">
        <f>'Expenditures 15-22'!K206</f>
        <v>0</v>
      </c>
      <c r="G64" s="866"/>
    </row>
    <row r="65" spans="1:8" x14ac:dyDescent="0.2">
      <c r="A65" s="870" t="s">
        <v>481</v>
      </c>
      <c r="B65" s="870" t="s">
        <v>1998</v>
      </c>
      <c r="C65" s="887" t="s">
        <v>1039</v>
      </c>
      <c r="D65" s="886" t="s">
        <v>1157</v>
      </c>
      <c r="E65" s="869"/>
      <c r="F65" s="1939">
        <f>'Expenditures 15-22'!G210</f>
        <v>79393</v>
      </c>
      <c r="G65" s="866"/>
    </row>
    <row r="66" spans="1:8" x14ac:dyDescent="0.2">
      <c r="A66" s="870" t="s">
        <v>481</v>
      </c>
      <c r="B66" s="870" t="s">
        <v>1999</v>
      </c>
      <c r="C66" s="887" t="s">
        <v>1039</v>
      </c>
      <c r="D66" s="886" t="s">
        <v>309</v>
      </c>
      <c r="E66" s="869"/>
      <c r="F66" s="1939">
        <f>'Expenditures 15-22'!I210</f>
        <v>0</v>
      </c>
      <c r="G66" s="866"/>
    </row>
    <row r="67" spans="1:8" x14ac:dyDescent="0.2">
      <c r="A67" s="870" t="s">
        <v>482</v>
      </c>
      <c r="B67" s="870" t="s">
        <v>2000</v>
      </c>
      <c r="C67" s="887" t="str">
        <f>'Expenditures 15-22'!B216</f>
        <v>1125</v>
      </c>
      <c r="D67" s="893" t="str">
        <f>'Expenditures 15-22'!A216</f>
        <v>Pre-K Programs</v>
      </c>
      <c r="E67" s="869"/>
      <c r="F67" s="1939">
        <f>'Expenditures 15-22'!K216</f>
        <v>9441</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2001</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2002</v>
      </c>
      <c r="C70" s="887">
        <f>'Expenditures 15-22'!B221</f>
        <v>1300</v>
      </c>
      <c r="D70" s="888" t="str">
        <f>'Expenditures 15-22'!A221</f>
        <v>Adult/Continuing Education Programs</v>
      </c>
      <c r="E70" s="869"/>
      <c r="F70" s="1939">
        <f>'Expenditures 15-22'!K221</f>
        <v>0</v>
      </c>
      <c r="G70" s="866"/>
    </row>
    <row r="71" spans="1:8" x14ac:dyDescent="0.2">
      <c r="A71" s="870" t="s">
        <v>482</v>
      </c>
      <c r="B71" s="870" t="s">
        <v>2003</v>
      </c>
      <c r="C71" s="887">
        <f>'Expenditures 15-22'!B224</f>
        <v>1600</v>
      </c>
      <c r="D71" s="888" t="str">
        <f>'Expenditures 15-22'!A224</f>
        <v>Summer School Programs</v>
      </c>
      <c r="E71" s="869"/>
      <c r="F71" s="1939">
        <f>'Expenditures 15-22'!K224</f>
        <v>0</v>
      </c>
      <c r="G71" s="866"/>
    </row>
    <row r="72" spans="1:8" x14ac:dyDescent="0.2">
      <c r="A72" s="870" t="s">
        <v>482</v>
      </c>
      <c r="B72" s="870" t="s">
        <v>2004</v>
      </c>
      <c r="C72" s="887">
        <f>'Expenditures 15-22'!B280</f>
        <v>3000</v>
      </c>
      <c r="D72" s="877" t="s">
        <v>469</v>
      </c>
      <c r="E72" s="869"/>
      <c r="F72" s="1939">
        <f>'Expenditures 15-22'!K280</f>
        <v>66</v>
      </c>
      <c r="G72" s="866"/>
    </row>
    <row r="73" spans="1:8" x14ac:dyDescent="0.2">
      <c r="A73" s="870" t="s">
        <v>482</v>
      </c>
      <c r="B73" s="870" t="s">
        <v>2005</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2006</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2007</v>
      </c>
      <c r="E76" s="1796" t="s">
        <v>1015</v>
      </c>
      <c r="F76" s="1800">
        <f>SUM(F18:F74)</f>
        <v>1430116</v>
      </c>
      <c r="G76" s="866"/>
    </row>
    <row r="77" spans="1:8" s="894" customFormat="1" ht="12" customHeight="1" thickTop="1" thickBot="1" x14ac:dyDescent="0.25">
      <c r="A77" s="1801"/>
      <c r="B77" s="1798"/>
      <c r="C77" s="1794"/>
      <c r="D77" s="1799" t="s">
        <v>2008</v>
      </c>
      <c r="E77" s="1796"/>
      <c r="F77" s="1802">
        <f>(F14-F76)</f>
        <v>8741247</v>
      </c>
      <c r="G77" s="870"/>
    </row>
    <row r="78" spans="1:8" s="894" customFormat="1" ht="12" customHeight="1" thickTop="1" x14ac:dyDescent="0.2">
      <c r="A78" s="1803"/>
      <c r="B78" s="1798"/>
      <c r="C78" s="1794"/>
      <c r="D78" s="1799" t="s">
        <v>2054</v>
      </c>
      <c r="E78" s="1796"/>
      <c r="F78" s="899">
        <v>1170.8800000000001</v>
      </c>
      <c r="G78" s="900"/>
      <c r="H78" s="870"/>
    </row>
    <row r="79" spans="1:8" s="894" customFormat="1" ht="12" customHeight="1" thickBot="1" x14ac:dyDescent="0.25">
      <c r="A79" s="1804"/>
      <c r="B79" s="1798"/>
      <c r="C79" s="1794"/>
      <c r="D79" s="1799" t="s">
        <v>2009</v>
      </c>
      <c r="E79" s="1796" t="s">
        <v>1015</v>
      </c>
      <c r="F79" s="1805">
        <f>IF(F78&gt;0,F77/F78," Complete Line 78")</f>
        <v>7465.5361779174627</v>
      </c>
      <c r="G79" s="870"/>
    </row>
    <row r="80" spans="1:8" s="894" customFormat="1" ht="8.25" customHeight="1" thickTop="1" x14ac:dyDescent="0.2">
      <c r="A80" s="901"/>
      <c r="B80" s="870"/>
      <c r="C80" s="872"/>
      <c r="D80" s="902"/>
      <c r="E80" s="869"/>
      <c r="F80" s="903"/>
      <c r="G80" s="870"/>
    </row>
    <row r="81" spans="1:7" s="894" customFormat="1" ht="12" thickBot="1" x14ac:dyDescent="0.25">
      <c r="A81" s="2272" t="s">
        <v>1167</v>
      </c>
      <c r="B81" s="2273"/>
      <c r="C81" s="2273"/>
      <c r="D81" s="2273"/>
      <c r="E81" s="2273"/>
      <c r="F81" s="2274"/>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7741</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111240</v>
      </c>
      <c r="G94" s="913"/>
    </row>
    <row r="95" spans="1:7" x14ac:dyDescent="0.2">
      <c r="A95" s="909" t="s">
        <v>142</v>
      </c>
      <c r="B95" s="909" t="s">
        <v>177</v>
      </c>
      <c r="C95" s="911">
        <v>1700</v>
      </c>
      <c r="D95" s="919" t="str">
        <f>'Revenues 9-14'!A82</f>
        <v>Total District/School Activity Income</v>
      </c>
      <c r="E95" s="907"/>
      <c r="F95" s="1811">
        <f>SUM('Revenues 9-14'!C82,'Revenues 9-14'!D82)</f>
        <v>104474</v>
      </c>
      <c r="G95" s="913"/>
    </row>
    <row r="96" spans="1:7" x14ac:dyDescent="0.2">
      <c r="A96" s="909" t="s">
        <v>479</v>
      </c>
      <c r="B96" s="909" t="s">
        <v>178</v>
      </c>
      <c r="C96" s="911">
        <f>'Revenues 9-14'!B84</f>
        <v>1811</v>
      </c>
      <c r="D96" s="912" t="str">
        <f>'Revenues 9-14'!A84</f>
        <v>Rentals - Regular Textbooks</v>
      </c>
      <c r="E96" s="907"/>
      <c r="F96" s="1811">
        <f>'Revenues 9-14'!C84</f>
        <v>59994</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24300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4851</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194851</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27601</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3781</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26293</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253689</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56</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241265</v>
      </c>
      <c r="G129" s="931"/>
    </row>
    <row r="130" spans="1:7" x14ac:dyDescent="0.2">
      <c r="A130" s="928" t="s">
        <v>689</v>
      </c>
      <c r="B130" s="928" t="s">
        <v>804</v>
      </c>
      <c r="C130" s="933">
        <v>4300</v>
      </c>
      <c r="D130" s="934" t="str">
        <f>'Revenues 9-14'!A211</f>
        <v>Total Title I</v>
      </c>
      <c r="E130" s="907"/>
      <c r="F130" s="1811">
        <f>SUM('Revenues 9-14'!C211,'Revenues 9-14'!D211,'Revenues 9-14'!F211,'Revenues 9-14'!G211)</f>
        <v>232316</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331543</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11166</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54467</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16137</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34015</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2053</v>
      </c>
      <c r="C175" s="1946">
        <v>3100</v>
      </c>
      <c r="D175" s="1947" t="s">
        <v>2056</v>
      </c>
      <c r="E175" s="907"/>
      <c r="F175" s="1931">
        <v>271276</v>
      </c>
      <c r="G175" s="928"/>
    </row>
    <row r="176" spans="1:7" x14ac:dyDescent="0.2">
      <c r="A176" s="1944" t="s">
        <v>685</v>
      </c>
      <c r="B176" s="1945" t="s">
        <v>2053</v>
      </c>
      <c r="C176" s="1946">
        <v>3300</v>
      </c>
      <c r="D176" s="1947" t="s">
        <v>2057</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2010</v>
      </c>
      <c r="E178" s="1809" t="s">
        <v>1015</v>
      </c>
      <c r="F178" s="1810">
        <f>SUM(F84:F136,F161:F176)</f>
        <v>2011056</v>
      </c>
    </row>
    <row r="179" spans="1:7" ht="12" customHeight="1" x14ac:dyDescent="0.2">
      <c r="A179" s="1792"/>
      <c r="B179" s="1806"/>
      <c r="C179" s="1807"/>
      <c r="D179" s="1808" t="s">
        <v>2011</v>
      </c>
      <c r="E179" s="1809"/>
      <c r="F179" s="1811">
        <f>'PCTC-OEPP 27-28'!F77-F178</f>
        <v>6730191</v>
      </c>
    </row>
    <row r="180" spans="1:7" ht="12" customHeight="1" x14ac:dyDescent="0.2">
      <c r="A180" s="1792"/>
      <c r="B180" s="1806"/>
      <c r="C180" s="1807"/>
      <c r="D180" s="1808" t="s">
        <v>1921</v>
      </c>
      <c r="E180" s="1809"/>
      <c r="F180" s="1811">
        <f>'Cap Outlay Deprec 26'!I18</f>
        <v>401788</v>
      </c>
    </row>
    <row r="181" spans="1:7" ht="12" customHeight="1" x14ac:dyDescent="0.2">
      <c r="A181" s="1792"/>
      <c r="B181" s="1806"/>
      <c r="C181" s="1807"/>
      <c r="D181" s="1808" t="s">
        <v>2012</v>
      </c>
      <c r="E181" s="1809"/>
      <c r="F181" s="1811">
        <f>F179+F180</f>
        <v>7131979</v>
      </c>
    </row>
    <row r="182" spans="1:7" ht="12" customHeight="1" x14ac:dyDescent="0.2">
      <c r="A182" s="1792"/>
      <c r="B182" s="1812"/>
      <c r="C182" s="1807"/>
      <c r="D182" s="1808" t="str">
        <f>D78</f>
        <v>9 Month ADA from District Average Daily Attendance/Prior General State Aid Inquiry 2017-2018</v>
      </c>
      <c r="E182" s="1809"/>
      <c r="F182" s="1813">
        <f>'PCTC-OEPP 27-28'!F78</f>
        <v>1170.8800000000001</v>
      </c>
      <c r="G182" s="931"/>
    </row>
    <row r="183" spans="1:7" ht="12" customHeight="1" thickBot="1" x14ac:dyDescent="0.25">
      <c r="A183" s="1792"/>
      <c r="B183" s="1812"/>
      <c r="C183" s="1807"/>
      <c r="D183" s="1808" t="s">
        <v>2013</v>
      </c>
      <c r="E183" s="1809" t="s">
        <v>1626</v>
      </c>
      <c r="F183" s="1814">
        <f>F181/F182</f>
        <v>6091.1271863897236</v>
      </c>
      <c r="G183" s="857">
        <v>6323</v>
      </c>
    </row>
    <row r="184" spans="1:7" ht="12" thickTop="1" x14ac:dyDescent="0.2">
      <c r="B184" s="931"/>
      <c r="C184" s="950"/>
      <c r="D184" s="931"/>
      <c r="E184" s="950"/>
      <c r="F184" s="931"/>
      <c r="G184" s="952">
        <v>6326</v>
      </c>
    </row>
    <row r="185" spans="1:7" ht="12.2" customHeight="1" x14ac:dyDescent="0.2">
      <c r="A185" s="931" t="s">
        <v>2055</v>
      </c>
      <c r="B185" s="931"/>
      <c r="C185" s="950"/>
      <c r="D185" s="931"/>
      <c r="E185" s="950"/>
      <c r="F185" s="931"/>
      <c r="G185" s="931"/>
    </row>
    <row r="186" spans="1:7" s="1948" customFormat="1" ht="12.2" customHeight="1" x14ac:dyDescent="0.2">
      <c r="A186" s="1948" t="s">
        <v>2060</v>
      </c>
      <c r="B186" s="1949"/>
      <c r="C186" s="1950"/>
      <c r="D186" s="1949"/>
      <c r="E186" s="1950"/>
      <c r="F186" s="1949"/>
      <c r="G186" s="1949"/>
    </row>
    <row r="187" spans="1:7" s="1948" customFormat="1" ht="12.2" customHeight="1" x14ac:dyDescent="0.2">
      <c r="A187" s="1951" t="s">
        <v>2061</v>
      </c>
      <c r="C187" s="1950"/>
      <c r="D187" s="1949"/>
      <c r="E187" s="1950"/>
      <c r="F187" s="1949"/>
      <c r="G187" s="1949"/>
    </row>
    <row r="188" spans="1:7" ht="12" customHeight="1" x14ac:dyDescent="0.2">
      <c r="C188" s="950"/>
      <c r="D188" s="931"/>
      <c r="E188" s="950"/>
      <c r="F188" s="931"/>
      <c r="G188" s="931"/>
    </row>
    <row r="189" spans="1:7" x14ac:dyDescent="0.2">
      <c r="A189" s="1952" t="s">
        <v>2059</v>
      </c>
      <c r="B189" s="1953" t="s">
        <v>2058</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X24" sqref="X24"/>
      <selection pane="bottomLeft" activeCell="A17" sqref="A17"/>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1937</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6" t="s">
        <v>1922</v>
      </c>
      <c r="B4" s="2287"/>
      <c r="C4" s="2287"/>
      <c r="D4" s="2287"/>
      <c r="E4" s="2287"/>
      <c r="F4" s="2287"/>
      <c r="G4" s="2288"/>
    </row>
    <row r="5" spans="1:7" x14ac:dyDescent="0.25">
      <c r="A5" s="2289"/>
      <c r="B5" s="2290"/>
      <c r="C5" s="2290"/>
      <c r="D5" s="2290"/>
      <c r="E5" s="2290"/>
      <c r="F5" s="2290"/>
      <c r="G5" s="2291"/>
    </row>
    <row r="6" spans="1:7" ht="18.75" x14ac:dyDescent="0.25">
      <c r="A6" s="1556" t="s">
        <v>1923</v>
      </c>
      <c r="B6" s="1557"/>
      <c r="C6" s="1557"/>
      <c r="D6" s="1557"/>
      <c r="E6" s="1557"/>
      <c r="F6" s="1557"/>
      <c r="G6" s="1558"/>
    </row>
    <row r="7" spans="1:7" ht="30.75" customHeight="1" x14ac:dyDescent="0.25">
      <c r="A7" s="2292" t="s">
        <v>2070</v>
      </c>
      <c r="B7" s="2293"/>
      <c r="C7" s="2293"/>
      <c r="D7" s="2293"/>
      <c r="E7" s="2293"/>
      <c r="F7" s="2293"/>
      <c r="G7" s="2294"/>
    </row>
    <row r="8" spans="1:7" ht="15.75" customHeight="1" x14ac:dyDescent="0.25">
      <c r="A8" s="2295" t="s">
        <v>2019</v>
      </c>
      <c r="B8" s="2296"/>
      <c r="C8" s="2296"/>
      <c r="D8" s="2296"/>
      <c r="E8" s="2296"/>
      <c r="F8" s="2296"/>
      <c r="G8" s="2297"/>
    </row>
    <row r="9" spans="1:7" ht="35.25" customHeight="1" x14ac:dyDescent="0.25">
      <c r="A9" s="2292" t="s">
        <v>2073</v>
      </c>
      <c r="B9" s="2293"/>
      <c r="C9" s="2293"/>
      <c r="D9" s="2293"/>
      <c r="E9" s="2293"/>
      <c r="F9" s="2293"/>
      <c r="G9" s="2294"/>
    </row>
    <row r="10" spans="1:7" ht="15" customHeight="1" x14ac:dyDescent="0.25">
      <c r="A10" s="1559" t="s">
        <v>1924</v>
      </c>
      <c r="B10" s="1560"/>
      <c r="C10" s="1560"/>
      <c r="D10" s="1560"/>
      <c r="E10" s="1560"/>
      <c r="F10" s="1560"/>
      <c r="G10" s="1561"/>
    </row>
    <row r="11" spans="1:7" ht="17.25" customHeight="1" x14ac:dyDescent="0.25">
      <c r="A11" s="2292" t="s">
        <v>2072</v>
      </c>
      <c r="B11" s="2293"/>
      <c r="C11" s="2293"/>
      <c r="D11" s="2293"/>
      <c r="E11" s="2293"/>
      <c r="F11" s="2293"/>
      <c r="G11" s="2294"/>
    </row>
    <row r="12" spans="1:7" ht="15" customHeight="1" x14ac:dyDescent="0.25">
      <c r="A12" s="1559" t="s">
        <v>1929</v>
      </c>
      <c r="B12" s="1560"/>
      <c r="C12" s="1560"/>
      <c r="D12" s="1560"/>
      <c r="E12" s="1560"/>
      <c r="F12" s="1560"/>
      <c r="G12" s="1561"/>
    </row>
    <row r="13" spans="1:7" ht="32.25" customHeight="1" x14ac:dyDescent="0.25">
      <c r="A13" s="2283" t="s">
        <v>1930</v>
      </c>
      <c r="B13" s="2284"/>
      <c r="C13" s="2284"/>
      <c r="D13" s="2284"/>
      <c r="E13" s="2284"/>
      <c r="F13" s="2284"/>
      <c r="G13" s="2285"/>
    </row>
    <row r="14" spans="1:7" x14ac:dyDescent="0.25">
      <c r="A14" s="1683" t="s">
        <v>1938</v>
      </c>
      <c r="B14" s="1684"/>
      <c r="C14" s="1684"/>
      <c r="D14" s="1684"/>
      <c r="E14" s="1684"/>
      <c r="F14" s="1684"/>
      <c r="G14" s="1685"/>
    </row>
    <row r="15" spans="1:7" ht="61.5" customHeight="1" x14ac:dyDescent="0.25">
      <c r="A15" s="1568" t="s">
        <v>1931</v>
      </c>
      <c r="B15" s="1568" t="s">
        <v>1932</v>
      </c>
      <c r="C15" s="1568" t="s">
        <v>1933</v>
      </c>
      <c r="D15" s="1569" t="s">
        <v>1934</v>
      </c>
      <c r="E15" s="1569" t="s">
        <v>1925</v>
      </c>
      <c r="F15" s="1569" t="s">
        <v>1935</v>
      </c>
      <c r="G15" s="1569" t="s">
        <v>1936</v>
      </c>
    </row>
    <row r="16" spans="1:7" x14ac:dyDescent="0.25">
      <c r="A16" s="1670" t="s">
        <v>1939</v>
      </c>
      <c r="B16" s="1671" t="s">
        <v>1928</v>
      </c>
      <c r="C16" s="1672" t="s">
        <v>1926</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28" colorId="8" zoomScale="110" zoomScaleNormal="110" workbookViewId="0">
      <selection activeCell="X24" sqref="X24"/>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8" t="s">
        <v>1778</v>
      </c>
      <c r="B5" s="2299"/>
      <c r="C5" s="2299"/>
      <c r="D5" s="2299"/>
      <c r="E5" s="2299"/>
      <c r="F5" s="2299"/>
      <c r="G5" s="2300"/>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2071</v>
      </c>
      <c r="B10" s="972"/>
      <c r="C10" s="977"/>
      <c r="D10" s="973"/>
      <c r="E10" s="974">
        <f>7259+225255+1224+6105+2622</f>
        <v>242465</v>
      </c>
      <c r="F10" s="975"/>
      <c r="G10" s="976"/>
      <c r="H10" s="162"/>
      <c r="I10" s="162"/>
    </row>
    <row r="11" spans="1:9" s="669" customFormat="1" ht="22.5" customHeight="1" x14ac:dyDescent="0.2">
      <c r="A11" s="2303" t="s">
        <v>1941</v>
      </c>
      <c r="B11" s="2304"/>
      <c r="C11" s="2304"/>
      <c r="D11" s="2305"/>
      <c r="E11" s="978">
        <v>17861</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5651111</v>
      </c>
      <c r="F19" s="1822"/>
      <c r="G19" s="1824">
        <f>'Expenditures 15-22'!K33-SUM('Expenditures 15-22'!G33,'Expenditures 15-22'!I33)+'Expenditures 15-22'!D229</f>
        <v>5651111</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190112</v>
      </c>
      <c r="F21" s="1825"/>
      <c r="G21" s="1828">
        <f>'Expenditures 15-22'!K42-SUM('Expenditures 15-22'!G42,'Expenditures 15-22'!I42)+'Expenditures 15-22'!K120-SUM('Expenditures 15-22'!G120,'Expenditures 15-22'!I120)+'Expenditures 15-22'!K180-SUM('Expenditures 15-22'!G180,'Expenditures 15-22'!I180)+'Expenditures 15-22'!D238</f>
        <v>190112</v>
      </c>
      <c r="H21" s="988"/>
      <c r="I21" s="162"/>
    </row>
    <row r="22" spans="1:9" s="669" customFormat="1" ht="12" customHeight="1" x14ac:dyDescent="0.2">
      <c r="A22" s="995" t="s">
        <v>585</v>
      </c>
      <c r="B22" s="996"/>
      <c r="C22" s="994">
        <v>2200</v>
      </c>
      <c r="D22" s="1825"/>
      <c r="E22" s="1827">
        <f>'Expenditures 15-22'!K47-SUM('Expenditures 15-22'!G47,'Expenditures 15-22'!I47)+'Expenditures 15-22'!D243</f>
        <v>85511</v>
      </c>
      <c r="F22" s="1825"/>
      <c r="G22" s="1828">
        <f>'Expenditures 15-22'!K47-SUM('Expenditures 15-22'!G47,'Expenditures 15-22'!I47)+'Expenditures 15-22'!D243</f>
        <v>85511</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482043</v>
      </c>
      <c r="F23" s="1825"/>
      <c r="G23" s="1827">
        <f>'Expenditures 15-22'!K53-SUM('Expenditures 15-22'!G53,'Expenditures 15-22'!I53)+'Expenditures 15-22'!D257+'Expenditures 15-22'!K330-SUM('Expenditures 15-22'!G330,'Expenditures 15-22'!I330)</f>
        <v>482043</v>
      </c>
      <c r="H23" s="988"/>
      <c r="I23" s="162"/>
    </row>
    <row r="24" spans="1:9" s="669" customFormat="1" ht="12" customHeight="1" x14ac:dyDescent="0.2">
      <c r="A24" s="995" t="s">
        <v>587</v>
      </c>
      <c r="B24" s="996"/>
      <c r="C24" s="994">
        <v>2400</v>
      </c>
      <c r="D24" s="1825"/>
      <c r="E24" s="1827">
        <f>'Expenditures 15-22'!K57-SUM('Expenditures 15-22'!G57,'Expenditures 15-22'!I57)+'Expenditures 15-22'!D261</f>
        <v>476370</v>
      </c>
      <c r="F24" s="1825"/>
      <c r="G24" s="1828">
        <f>'Expenditures 15-22'!K57-SUM('Expenditures 15-22'!G57,'Expenditures 15-22'!I57)+'Expenditures 15-22'!D261</f>
        <v>476370</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188918</v>
      </c>
      <c r="E27" s="1827">
        <f>E8</f>
        <v>0</v>
      </c>
      <c r="F27" s="1827">
        <f>'Expenditures 15-22'!K60-SUM('Expenditures 15-22'!G60,'Expenditures 15-22'!I60)+'Expenditures 15-22'!D264-E8</f>
        <v>188918</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749512</v>
      </c>
      <c r="F28" s="1829">
        <f>'Expenditures 15-22'!K61-SUM('Expenditures 15-22'!G61,'Expenditures 15-22'!I61)+'Expenditures 15-22'!K124-SUM('Expenditures 15-22'!G124,'Expenditures 15-22'!I124)+'Expenditures 15-22'!D266-E9</f>
        <v>749512</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411596</v>
      </c>
      <c r="F29" s="1825"/>
      <c r="G29" s="1828">
        <f>'Expenditures 15-22'!K62-SUM('Expenditures 15-22'!G62,'Expenditures 15-22'!I62)+'Expenditures 15-22'!K125-SUM('Expenditures 15-22'!G125,'Expenditures 15-22'!I125)+'Expenditures 15-22'!K182-SUM('Expenditures 15-22'!G182,'Expenditures 15-22'!I182)+'Expenditures 15-22'!D267</f>
        <v>411596</v>
      </c>
      <c r="H29" s="986"/>
    </row>
    <row r="30" spans="1:9" ht="12" customHeight="1" x14ac:dyDescent="0.2">
      <c r="A30" s="995" t="s">
        <v>102</v>
      </c>
      <c r="B30" s="998"/>
      <c r="C30" s="994">
        <v>2560</v>
      </c>
      <c r="D30" s="1825"/>
      <c r="E30" s="1827">
        <f>'Expenditures 15-22'!K63-SUM('Expenditures 15-22'!G63,'Expenditures 15-22'!I63)+'Expenditures 15-22'!D268-E10</f>
        <v>273575</v>
      </c>
      <c r="F30" s="1825"/>
      <c r="G30" s="1827">
        <f>'Expenditures 15-22'!K63-SUM('Expenditures 15-22'!G63,'Expenditures 15-22'!I63)+'Expenditures 15-22'!D268-E10</f>
        <v>273575</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1355</v>
      </c>
      <c r="F38" s="1825"/>
      <c r="G38" s="1827">
        <f>'Expenditures 15-22'!K73-SUM('Expenditures 15-22'!G73,'Expenditures 15-22'!I73)+'Expenditures 15-22'!K128-SUM('Expenditures 15-22'!G128,'Expenditures 15-22'!I128)+'Expenditures 15-22'!K183-SUM('Expenditures 15-22'!G183,'Expenditures 15-22'!I183)+'Expenditures 15-22'!D278</f>
        <v>1355</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29065</v>
      </c>
      <c r="F39" s="1825"/>
      <c r="G39" s="1827">
        <f>'Expenditures 15-22'!K75-SUM('Expenditures 15-22'!G75,'Expenditures 15-22'!I75)+'Expenditures 15-22'!K130-SUM('Expenditures 15-22'!G130,'Expenditures 15-22'!I130)+'Expenditures 15-22'!K185-SUM('Expenditures 15-22'!G185,'Expenditures 15-22'!I185)+'Expenditures 15-22'!D280</f>
        <v>29065</v>
      </c>
    </row>
    <row r="40" spans="1:7" ht="12" customHeight="1" x14ac:dyDescent="0.2">
      <c r="A40" s="991" t="s">
        <v>1927</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188918</v>
      </c>
      <c r="E41" s="1829">
        <f>SUM(E19:E40)</f>
        <v>8350250</v>
      </c>
      <c r="F41" s="1829">
        <f>SUM(F19:F39)</f>
        <v>938430</v>
      </c>
      <c r="G41" s="1829">
        <f>SUM(G19:G40)</f>
        <v>7600738</v>
      </c>
    </row>
    <row r="42" spans="1:7" x14ac:dyDescent="0.2">
      <c r="A42" s="988"/>
      <c r="B42" s="162"/>
      <c r="C42" s="1002"/>
      <c r="D42" s="2301" t="s">
        <v>543</v>
      </c>
      <c r="E42" s="2302"/>
      <c r="F42" s="1003" t="s">
        <v>544</v>
      </c>
      <c r="G42" s="1004"/>
    </row>
    <row r="43" spans="1:7" ht="12" customHeight="1" x14ac:dyDescent="0.2">
      <c r="A43" s="988"/>
      <c r="B43" s="162"/>
      <c r="C43" s="1002"/>
      <c r="D43" s="1830" t="s">
        <v>493</v>
      </c>
      <c r="E43" s="1831">
        <f>D41</f>
        <v>188918</v>
      </c>
      <c r="F43" s="1830" t="s">
        <v>495</v>
      </c>
      <c r="G43" s="1831">
        <f>F41</f>
        <v>938430</v>
      </c>
    </row>
    <row r="44" spans="1:7" ht="12" customHeight="1" x14ac:dyDescent="0.2">
      <c r="A44" s="988"/>
      <c r="B44" s="162"/>
      <c r="C44" s="1002"/>
      <c r="D44" s="1830" t="s">
        <v>494</v>
      </c>
      <c r="E44" s="1831">
        <f>E41</f>
        <v>8350250</v>
      </c>
      <c r="F44" s="1830" t="s">
        <v>494</v>
      </c>
      <c r="G44" s="1831">
        <f>G41</f>
        <v>7600738</v>
      </c>
    </row>
    <row r="45" spans="1:7" ht="12" customHeight="1" x14ac:dyDescent="0.2">
      <c r="A45" s="988"/>
      <c r="B45" s="162"/>
      <c r="C45" s="162"/>
      <c r="D45" s="1832" t="s">
        <v>1063</v>
      </c>
      <c r="E45" s="1833">
        <f>(E43/E44)</f>
        <v>2.2624232807400977E-2</v>
      </c>
      <c r="F45" s="1832" t="s">
        <v>1063</v>
      </c>
      <c r="G45" s="1833">
        <f>(G43/G44)</f>
        <v>0.12346564241524968</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X24" sqref="X24"/>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20" t="s">
        <v>1446</v>
      </c>
      <c r="B1" s="2320"/>
      <c r="C1" s="2320"/>
      <c r="D1" s="2320"/>
      <c r="E1" s="2320"/>
      <c r="F1" s="2320"/>
    </row>
    <row r="2" spans="1:10" x14ac:dyDescent="0.2">
      <c r="A2" s="1912" t="s">
        <v>2043</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21" t="s">
        <v>1627</v>
      </c>
      <c r="B5" s="2322"/>
      <c r="C5" s="2323"/>
      <c r="D5" s="2323"/>
      <c r="E5" s="2323"/>
      <c r="F5" s="2323"/>
    </row>
    <row r="6" spans="1:10" ht="12" customHeight="1" x14ac:dyDescent="0.25">
      <c r="A6" s="1875"/>
      <c r="B6" s="1876"/>
      <c r="C6" s="2324" t="str">
        <f>COVER!A17</f>
        <v>Staunton CUSD 6</v>
      </c>
      <c r="D6" s="2324"/>
      <c r="E6" s="2324"/>
      <c r="F6" s="1877"/>
    </row>
    <row r="7" spans="1:10" ht="11.25" customHeight="1" thickBot="1" x14ac:dyDescent="0.3">
      <c r="A7" s="1875"/>
      <c r="B7" s="1876"/>
      <c r="C7" s="2325">
        <f>COVER!A13</f>
        <v>40056006026</v>
      </c>
      <c r="D7" s="2325"/>
      <c r="E7" s="2325"/>
      <c r="F7" s="1877"/>
    </row>
    <row r="8" spans="1:10" ht="25.5" customHeight="1" thickBot="1" x14ac:dyDescent="0.25">
      <c r="A8" s="1918" t="s">
        <v>2020</v>
      </c>
      <c r="B8" s="1878" t="s">
        <v>2074</v>
      </c>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c r="D26" s="1890"/>
      <c r="E26" s="1893"/>
      <c r="F26" s="1892"/>
      <c r="H26" s="1903">
        <f t="shared" si="0"/>
        <v>0</v>
      </c>
      <c r="I26" s="1903">
        <f t="shared" si="1"/>
        <v>0</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0</v>
      </c>
      <c r="I34" s="1903">
        <f>SUM(I11:I32)</f>
        <v>0</v>
      </c>
      <c r="J34" s="1903">
        <f>SUM(J11:J32)</f>
        <v>0</v>
      </c>
      <c r="K34" s="1903">
        <f>SUM(H34:J34)</f>
        <v>0</v>
      </c>
    </row>
    <row r="35" spans="1:11" ht="12" customHeight="1" x14ac:dyDescent="0.2">
      <c r="A35" s="1896" t="s">
        <v>1459</v>
      </c>
      <c r="B35" s="1897"/>
      <c r="C35" s="2326"/>
      <c r="D35" s="2326"/>
      <c r="E35" s="2326"/>
      <c r="F35" s="2327"/>
    </row>
    <row r="36" spans="1:11" ht="12" customHeight="1" x14ac:dyDescent="0.2">
      <c r="A36" s="2309"/>
      <c r="B36" s="2310"/>
      <c r="C36" s="2310"/>
      <c r="D36" s="2310"/>
      <c r="E36" s="2310"/>
      <c r="F36" s="2311"/>
    </row>
    <row r="37" spans="1:11" ht="12" customHeight="1" x14ac:dyDescent="0.2">
      <c r="A37" s="2309"/>
      <c r="B37" s="2310"/>
      <c r="C37" s="2310"/>
      <c r="D37" s="2310"/>
      <c r="E37" s="2310"/>
      <c r="F37" s="2311"/>
    </row>
    <row r="38" spans="1:11" ht="12" customHeight="1" x14ac:dyDescent="0.2">
      <c r="A38" s="2312"/>
      <c r="B38" s="2313"/>
      <c r="C38" s="2313"/>
      <c r="D38" s="2313"/>
      <c r="E38" s="2313"/>
      <c r="F38" s="2314"/>
    </row>
    <row r="39" spans="1:11" ht="4.5" hidden="1" customHeight="1" x14ac:dyDescent="0.2">
      <c r="A39" s="1898"/>
      <c r="B39" s="1898"/>
      <c r="C39" s="1898"/>
      <c r="D39" s="1898"/>
      <c r="E39" s="1898"/>
      <c r="F39" s="1898"/>
    </row>
    <row r="40" spans="1:11" s="1895" customFormat="1" ht="12" customHeight="1" x14ac:dyDescent="0.25">
      <c r="A40" s="1899" t="s">
        <v>1458</v>
      </c>
      <c r="B40" s="1900"/>
      <c r="C40" s="2315"/>
      <c r="D40" s="2315"/>
      <c r="E40" s="2315"/>
      <c r="F40" s="2316"/>
      <c r="H40" s="1904"/>
      <c r="I40" s="1904"/>
      <c r="J40" s="1904"/>
      <c r="K40" s="1904"/>
    </row>
    <row r="41" spans="1:11" s="1895" customFormat="1" ht="12" customHeight="1" x14ac:dyDescent="0.25">
      <c r="A41" s="2317"/>
      <c r="B41" s="2318"/>
      <c r="C41" s="2318"/>
      <c r="D41" s="2318"/>
      <c r="E41" s="2318"/>
      <c r="F41" s="2319"/>
      <c r="H41" s="1904"/>
      <c r="I41" s="1904"/>
      <c r="J41" s="1904"/>
      <c r="K41" s="1904"/>
    </row>
    <row r="42" spans="1:11" s="1895" customFormat="1" ht="12" customHeight="1" x14ac:dyDescent="0.25">
      <c r="A42" s="2317"/>
      <c r="B42" s="2318"/>
      <c r="C42" s="2318"/>
      <c r="D42" s="2318"/>
      <c r="E42" s="2318"/>
      <c r="F42" s="2319"/>
      <c r="H42" s="1904"/>
      <c r="I42" s="1904"/>
      <c r="J42" s="1904"/>
      <c r="K42" s="1904"/>
    </row>
    <row r="43" spans="1:11" s="1895" customFormat="1" ht="15" x14ac:dyDescent="0.25">
      <c r="A43" s="2306"/>
      <c r="B43" s="2307"/>
      <c r="C43" s="2307"/>
      <c r="D43" s="2307"/>
      <c r="E43" s="2307"/>
      <c r="F43" s="2308"/>
      <c r="H43" s="1904"/>
      <c r="I43" s="1904"/>
      <c r="J43" s="1904"/>
      <c r="K43" s="1904"/>
    </row>
    <row r="44" spans="1:11" s="1895" customFormat="1" ht="12" hidden="1" customHeight="1" x14ac:dyDescent="0.25">
      <c r="A44" s="2306"/>
      <c r="B44" s="2307"/>
      <c r="C44" s="2307"/>
      <c r="D44" s="2307"/>
      <c r="E44" s="2307"/>
      <c r="F44" s="2308"/>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X24" sqref="X24"/>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3" t="str">
        <f>COVER!A17</f>
        <v>Staunton CUSD 6</v>
      </c>
      <c r="J6" s="2334"/>
      <c r="Q6" s="1686"/>
    </row>
    <row r="7" spans="1:17" x14ac:dyDescent="0.2">
      <c r="A7" s="2335" t="s">
        <v>924</v>
      </c>
      <c r="B7" s="2336"/>
      <c r="C7" s="2336"/>
      <c r="D7" s="2336"/>
      <c r="E7" s="2337"/>
      <c r="F7" s="1018"/>
      <c r="G7" s="1010"/>
      <c r="H7" s="1017" t="s">
        <v>390</v>
      </c>
      <c r="I7" s="2338">
        <f>COVER!A13</f>
        <v>40056006026</v>
      </c>
      <c r="J7" s="2338"/>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39" t="s">
        <v>502</v>
      </c>
      <c r="B11" s="2340"/>
      <c r="C11" s="2341"/>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184518</v>
      </c>
      <c r="F12" s="1040"/>
      <c r="G12" s="1834">
        <f t="shared" ref="G12:G18" si="0">SUM(E12:F12)</f>
        <v>184518</v>
      </c>
      <c r="H12" s="1041">
        <v>192174</v>
      </c>
      <c r="I12" s="1040"/>
      <c r="J12" s="1834">
        <f t="shared" ref="J12:J18" si="1">SUM(H12:I12)</f>
        <v>192174</v>
      </c>
    </row>
    <row r="13" spans="1:17" ht="15" customHeight="1" x14ac:dyDescent="0.2">
      <c r="A13" s="1036">
        <v>2</v>
      </c>
      <c r="B13" s="1037" t="s">
        <v>44</v>
      </c>
      <c r="C13" s="1038"/>
      <c r="D13" s="1039">
        <v>2330</v>
      </c>
      <c r="E13" s="1834">
        <f>'Expenditures 15-22'!K51</f>
        <v>0</v>
      </c>
      <c r="F13" s="1040"/>
      <c r="G13" s="1834">
        <f t="shared" si="0"/>
        <v>0</v>
      </c>
      <c r="H13" s="1041">
        <v>500</v>
      </c>
      <c r="I13" s="1040"/>
      <c r="J13" s="1834">
        <f t="shared" si="1"/>
        <v>500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2" t="s">
        <v>7</v>
      </c>
      <c r="C18" s="2343"/>
      <c r="D18" s="2344"/>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184518</v>
      </c>
      <c r="F19" s="1836">
        <f t="shared" si="2"/>
        <v>0</v>
      </c>
      <c r="G19" s="1836">
        <f t="shared" si="2"/>
        <v>184518</v>
      </c>
      <c r="H19" s="1836">
        <f t="shared" si="2"/>
        <v>192674</v>
      </c>
      <c r="I19" s="1836">
        <f t="shared" si="2"/>
        <v>0</v>
      </c>
      <c r="J19" s="1836">
        <f t="shared" si="2"/>
        <v>192674</v>
      </c>
    </row>
    <row r="20" spans="1:10" ht="13.5" thickTop="1" x14ac:dyDescent="0.2">
      <c r="A20" s="1036">
        <v>9</v>
      </c>
      <c r="B20" s="2345" t="s">
        <v>1703</v>
      </c>
      <c r="C20" s="2345"/>
      <c r="D20" s="2346"/>
      <c r="E20" s="1047"/>
      <c r="F20" s="1047"/>
      <c r="G20" s="1047"/>
      <c r="H20" s="1047"/>
      <c r="I20" s="1047"/>
      <c r="J20" s="1837">
        <f>IF(AND(G19&gt;0,J19&gt;0),(((J19-G19)/G19)),"Enter Budget Data")</f>
        <v>4.4201649703551955E-2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1"/>
      <c r="D26" s="2351"/>
      <c r="E26" s="1051"/>
      <c r="F26" s="2350"/>
      <c r="G26" s="2350"/>
    </row>
    <row r="27" spans="1:10" x14ac:dyDescent="0.2">
      <c r="B27" s="1048"/>
      <c r="C27" s="1052" t="s">
        <v>1093</v>
      </c>
      <c r="D27" s="1053"/>
      <c r="E27" s="1054"/>
      <c r="F27" s="2347" t="s">
        <v>1589</v>
      </c>
      <c r="G27" s="2347"/>
    </row>
    <row r="28" spans="1:10" ht="28.5" customHeight="1" x14ac:dyDescent="0.2">
      <c r="B28" s="1048"/>
      <c r="C28" s="2349"/>
      <c r="D28" s="2349"/>
      <c r="E28" s="1055"/>
      <c r="F28" s="2349"/>
      <c r="G28" s="2349"/>
    </row>
    <row r="29" spans="1:10" x14ac:dyDescent="0.2">
      <c r="B29" s="1048"/>
      <c r="C29" s="1056" t="s">
        <v>1642</v>
      </c>
      <c r="E29" s="1057"/>
      <c r="F29" s="2348" t="s">
        <v>1590</v>
      </c>
      <c r="G29" s="2348"/>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0" t="s">
        <v>134</v>
      </c>
      <c r="D33" s="2331"/>
      <c r="E33" s="2331"/>
      <c r="F33" s="2331"/>
      <c r="G33" s="2331"/>
      <c r="H33" s="2331"/>
      <c r="I33" s="2331"/>
    </row>
    <row r="34" spans="1:10" ht="10.35" customHeight="1" x14ac:dyDescent="0.2">
      <c r="C34" s="2331"/>
      <c r="D34" s="2331"/>
      <c r="E34" s="2331"/>
      <c r="F34" s="2331"/>
      <c r="G34" s="2331"/>
      <c r="H34" s="2331"/>
      <c r="I34" s="2331"/>
    </row>
    <row r="35" spans="1:10" ht="7.5" customHeight="1" x14ac:dyDescent="0.2">
      <c r="C35" s="1063"/>
    </row>
    <row r="36" spans="1:10" ht="13.5" customHeight="1" x14ac:dyDescent="0.2">
      <c r="B36" s="1062"/>
      <c r="C36" s="2332" t="s">
        <v>1940</v>
      </c>
      <c r="D36" s="2331"/>
      <c r="E36" s="2331"/>
      <c r="F36" s="2331"/>
      <c r="G36" s="2331"/>
      <c r="H36" s="2331"/>
      <c r="I36" s="2331"/>
      <c r="J36" s="1064"/>
    </row>
    <row r="37" spans="1:10" ht="22.5" customHeight="1" x14ac:dyDescent="0.2">
      <c r="C37" s="2331"/>
      <c r="D37" s="2331"/>
      <c r="E37" s="2331"/>
      <c r="F37" s="2331"/>
      <c r="G37" s="2331"/>
      <c r="H37" s="2331"/>
      <c r="I37" s="2331"/>
      <c r="J37" s="1064"/>
    </row>
    <row r="38" spans="1:10" ht="7.5" customHeight="1" x14ac:dyDescent="0.2">
      <c r="C38" s="1063"/>
      <c r="D38" s="1065"/>
      <c r="E38" s="1066"/>
      <c r="F38" s="1067"/>
      <c r="G38" s="1066"/>
    </row>
    <row r="39" spans="1:10" ht="13.5" customHeight="1" x14ac:dyDescent="0.2">
      <c r="B39" s="1062"/>
      <c r="C39" s="2328" t="s">
        <v>937</v>
      </c>
      <c r="D39" s="2329"/>
      <c r="E39" s="2329"/>
      <c r="F39" s="2329"/>
      <c r="G39" s="2329"/>
      <c r="H39" s="2329"/>
      <c r="I39" s="2329"/>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X24" sqref="X24"/>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2095</v>
      </c>
    </row>
    <row r="6" spans="1:2" x14ac:dyDescent="0.2">
      <c r="A6" s="1069">
        <v>2</v>
      </c>
      <c r="B6" s="329" t="s">
        <v>2097</v>
      </c>
    </row>
    <row r="7" spans="1:2" x14ac:dyDescent="0.2">
      <c r="A7" s="1069">
        <v>3</v>
      </c>
      <c r="B7" s="329" t="s">
        <v>2096</v>
      </c>
    </row>
    <row r="8" spans="1:2" x14ac:dyDescent="0.2">
      <c r="A8" s="1069">
        <v>4</v>
      </c>
      <c r="B8" s="329" t="s">
        <v>2098</v>
      </c>
    </row>
    <row r="9" spans="1:2" x14ac:dyDescent="0.2">
      <c r="A9" s="1070">
        <v>5</v>
      </c>
      <c r="B9" s="329" t="s">
        <v>2099</v>
      </c>
    </row>
    <row r="10" spans="1:2" x14ac:dyDescent="0.2">
      <c r="A10" s="1070">
        <v>6</v>
      </c>
      <c r="B10" s="329" t="s">
        <v>2100</v>
      </c>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Staunton CUSD 6</v>
      </c>
    </row>
    <row r="65" spans="2:2" x14ac:dyDescent="0.2">
      <c r="B65" s="1071">
        <f>COVER!A13</f>
        <v>40056006026</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X24" sqref="X2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2" t="s">
        <v>1784</v>
      </c>
      <c r="B18" s="2352"/>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1571625</xdr:colOff>
                <xdr:row>4</xdr:row>
                <xdr:rowOff>28575</xdr:rowOff>
              </from>
              <to>
                <xdr:col>1</xdr:col>
                <xdr:colOff>2486025</xdr:colOff>
                <xdr:row>8</xdr:row>
                <xdr:rowOff>66675</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13" zoomScale="110" zoomScaleNormal="110" workbookViewId="0">
      <selection activeCell="X24" sqref="X2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3" t="s">
        <v>1790</v>
      </c>
      <c r="B1" s="2354"/>
      <c r="C1" s="2354"/>
      <c r="D1" s="2354"/>
      <c r="E1" s="2354"/>
      <c r="F1" s="2355"/>
    </row>
    <row r="2" spans="1:8" ht="45" customHeight="1" x14ac:dyDescent="0.2">
      <c r="A2" s="2363" t="s">
        <v>1791</v>
      </c>
      <c r="B2" s="2364"/>
      <c r="C2" s="2364"/>
      <c r="D2" s="2364"/>
      <c r="E2" s="2364"/>
      <c r="F2" s="2365"/>
      <c r="G2" s="1075"/>
      <c r="H2" s="1075"/>
    </row>
    <row r="3" spans="1:8" ht="57" customHeight="1" x14ac:dyDescent="0.2">
      <c r="A3" s="2366" t="s">
        <v>1786</v>
      </c>
      <c r="B3" s="2367"/>
      <c r="C3" s="2367"/>
      <c r="D3" s="2367"/>
      <c r="E3" s="2367"/>
      <c r="F3" s="2368"/>
      <c r="G3" s="1075"/>
      <c r="H3" s="1075"/>
    </row>
    <row r="4" spans="1:8" ht="14.25" customHeight="1" x14ac:dyDescent="0.2">
      <c r="A4" s="2372" t="s">
        <v>2051</v>
      </c>
      <c r="B4" s="2373"/>
      <c r="C4" s="2373"/>
      <c r="D4" s="2373"/>
      <c r="E4" s="2373"/>
      <c r="F4" s="2374"/>
      <c r="G4" s="1075"/>
      <c r="H4" s="1075"/>
    </row>
    <row r="5" spans="1:8" ht="14.25" customHeight="1" x14ac:dyDescent="0.2">
      <c r="A5" s="2375" t="s">
        <v>2052</v>
      </c>
      <c r="B5" s="2376"/>
      <c r="C5" s="2376"/>
      <c r="D5" s="2376"/>
      <c r="E5" s="2376"/>
      <c r="F5" s="2377"/>
      <c r="G5" s="1075"/>
      <c r="H5" s="1075"/>
    </row>
    <row r="6" spans="1:8" s="1076" customFormat="1" ht="41.25" customHeight="1" x14ac:dyDescent="0.2">
      <c r="A6" s="2369" t="s">
        <v>1792</v>
      </c>
      <c r="B6" s="2370"/>
      <c r="C6" s="2370"/>
      <c r="D6" s="2370"/>
      <c r="E6" s="2370"/>
      <c r="F6" s="2371"/>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8497398</v>
      </c>
      <c r="C8" s="1838">
        <f>'Acct Summary 7-8'!D8</f>
        <v>863455</v>
      </c>
      <c r="D8" s="1838">
        <f>'Acct Summary 7-8'!F8</f>
        <v>494484</v>
      </c>
      <c r="E8" s="1838">
        <f>'Acct Summary 7-8'!I8</f>
        <v>52860</v>
      </c>
      <c r="F8" s="1838">
        <f>SUM(B8:E8)</f>
        <v>9908197</v>
      </c>
    </row>
    <row r="9" spans="1:8" s="1080" customFormat="1" ht="14.25" customHeight="1" thickBot="1" x14ac:dyDescent="0.25">
      <c r="A9" s="1079" t="s">
        <v>1436</v>
      </c>
      <c r="B9" s="1839">
        <f>'Acct Summary 7-8'!C17</f>
        <v>7998904</v>
      </c>
      <c r="C9" s="1839">
        <f>'Acct Summary 7-8'!D17</f>
        <v>915572</v>
      </c>
      <c r="D9" s="1839">
        <f>'Acct Summary 7-8'!F17</f>
        <v>453929</v>
      </c>
      <c r="E9" s="1838"/>
      <c r="F9" s="1838">
        <f>SUM(B9:E9)</f>
        <v>9368405</v>
      </c>
    </row>
    <row r="10" spans="1:8" s="1080" customFormat="1" ht="14.25" thickTop="1" thickBot="1" x14ac:dyDescent="0.25">
      <c r="A10" s="1081" t="s">
        <v>1437</v>
      </c>
      <c r="B10" s="1840">
        <f>(B8-B9)</f>
        <v>498494</v>
      </c>
      <c r="C10" s="1840">
        <f>(C8-C9)</f>
        <v>-52117</v>
      </c>
      <c r="D10" s="1840">
        <f>(D8-D9)</f>
        <v>40555</v>
      </c>
      <c r="E10" s="1839">
        <f>(E8-E9)</f>
        <v>52860</v>
      </c>
      <c r="F10" s="1841">
        <f>SUM(F8-F9)</f>
        <v>539792</v>
      </c>
    </row>
    <row r="11" spans="1:8" s="1080" customFormat="1" ht="14.25" thickTop="1" thickBot="1" x14ac:dyDescent="0.25">
      <c r="A11" s="1082" t="s">
        <v>1785</v>
      </c>
      <c r="B11" s="1842">
        <f>'Acct Summary 7-8'!C81</f>
        <v>1014932</v>
      </c>
      <c r="C11" s="1842">
        <f>'Acct Summary 7-8'!D81</f>
        <v>110025</v>
      </c>
      <c r="D11" s="1842">
        <f>'Acct Summary 7-8'!F81</f>
        <v>659958</v>
      </c>
      <c r="E11" s="1842">
        <f>'Acct Summary 7-8'!I81</f>
        <v>1251486</v>
      </c>
      <c r="F11" s="1843">
        <f>SUM(B11:E11)</f>
        <v>3036401</v>
      </c>
    </row>
    <row r="12" spans="1:8" ht="16.5" customHeight="1" thickTop="1" x14ac:dyDescent="0.2">
      <c r="A12" s="1083"/>
      <c r="B12" s="1084"/>
      <c r="C12" s="2357" t="str">
        <f>IF(AND(F10&lt;0,F11&gt;=0,ABS(F10*3)&gt;ABS(F11)),A16,IF(AND(F10&lt;0,F11&gt;0,ABS(F10*3)&lt;=ABS(F11)),A17,IF(AND(F10&lt;0,F11&lt;0),A16,IF(F11=0,A19,A18))))</f>
        <v>Balanced - no deficit reduction plan is required.</v>
      </c>
      <c r="D12" s="2358"/>
      <c r="E12" s="2358"/>
      <c r="F12" s="2359"/>
    </row>
    <row r="13" spans="1:8" ht="19.5" customHeight="1" x14ac:dyDescent="0.2">
      <c r="A13" s="1085"/>
      <c r="B13" s="1086"/>
      <c r="C13" s="2357"/>
      <c r="D13" s="2358"/>
      <c r="E13" s="2358"/>
      <c r="F13" s="2359"/>
      <c r="H13" s="1075"/>
    </row>
    <row r="14" spans="1:8" ht="19.5" customHeight="1" x14ac:dyDescent="0.2">
      <c r="A14" s="1085"/>
      <c r="B14" s="1086"/>
      <c r="C14" s="2357"/>
      <c r="D14" s="2358"/>
      <c r="E14" s="2358"/>
      <c r="F14" s="2359"/>
      <c r="H14" s="1075"/>
    </row>
    <row r="15" spans="1:8" ht="17.25" customHeight="1" x14ac:dyDescent="0.2">
      <c r="A15" s="1085"/>
      <c r="B15" s="1086"/>
      <c r="C15" s="2360"/>
      <c r="D15" s="2361"/>
      <c r="E15" s="2361"/>
      <c r="F15" s="2362"/>
      <c r="H15" s="1075"/>
    </row>
    <row r="16" spans="1:8" s="310" customFormat="1" ht="51.75" hidden="1" customHeight="1" x14ac:dyDescent="0.2">
      <c r="A16" s="2356" t="s">
        <v>1787</v>
      </c>
      <c r="B16" s="2356"/>
      <c r="C16" s="2356"/>
      <c r="D16" s="2356"/>
      <c r="E16" s="2356"/>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78" t="s">
        <v>686</v>
      </c>
      <c r="B3" s="2379"/>
      <c r="C3" s="2379"/>
      <c r="D3" s="2380"/>
    </row>
    <row r="4" spans="1:4" x14ac:dyDescent="0.2">
      <c r="A4" s="1153" t="s">
        <v>1793</v>
      </c>
      <c r="B4" s="1154"/>
      <c r="C4" s="1155"/>
      <c r="D4" s="1156"/>
    </row>
    <row r="5" spans="1:4" ht="21" customHeight="1" x14ac:dyDescent="0.2">
      <c r="A5" s="1149"/>
      <c r="B5" s="1150">
        <v>1</v>
      </c>
      <c r="C5" s="1151" t="s">
        <v>1942</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89" t="s">
        <v>1584</v>
      </c>
      <c r="D7" s="2390"/>
    </row>
    <row r="8" spans="1:4" s="669" customFormat="1" ht="12.75" x14ac:dyDescent="0.2">
      <c r="A8" s="1139"/>
      <c r="B8" s="1094"/>
      <c r="C8" s="1097" t="s">
        <v>1583</v>
      </c>
      <c r="D8" s="1098"/>
    </row>
    <row r="9" spans="1:4" s="669" customFormat="1" ht="14.25" customHeight="1" x14ac:dyDescent="0.2">
      <c r="A9" s="1139"/>
      <c r="B9" s="1094">
        <f>B7+1</f>
        <v>4</v>
      </c>
      <c r="C9" s="1095" t="s">
        <v>2044</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1" t="s">
        <v>1065</v>
      </c>
      <c r="B15" s="2382"/>
      <c r="C15" s="2382"/>
      <c r="D15" s="2383"/>
    </row>
    <row r="16" spans="1:4" s="669" customFormat="1" ht="24" customHeight="1" x14ac:dyDescent="0.2">
      <c r="A16" s="2384" t="s">
        <v>684</v>
      </c>
      <c r="B16" s="2385"/>
      <c r="C16" s="2385"/>
      <c r="D16" s="2386"/>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3" t="s">
        <v>332</v>
      </c>
      <c r="D21" s="2394"/>
    </row>
    <row r="22" spans="1:10" ht="12.75" x14ac:dyDescent="0.2">
      <c r="A22" s="1140"/>
      <c r="B22" s="1141">
        <v>2</v>
      </c>
      <c r="C22" s="2391" t="s">
        <v>1605</v>
      </c>
      <c r="D22" s="2392"/>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5" t="s">
        <v>557</v>
      </c>
      <c r="D43" s="2396"/>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7" t="s">
        <v>817</v>
      </c>
      <c r="D56" s="2388"/>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2045</v>
      </c>
      <c r="D66" s="1126"/>
    </row>
    <row r="67" spans="1:4" x14ac:dyDescent="0.2">
      <c r="A67" s="1120"/>
      <c r="B67" s="1141"/>
      <c r="C67" s="1148" t="s">
        <v>1079</v>
      </c>
      <c r="D67" s="1126"/>
    </row>
    <row r="68" spans="1:4" x14ac:dyDescent="0.2">
      <c r="A68" s="1101"/>
      <c r="B68" s="1111"/>
      <c r="C68" s="1103" t="s">
        <v>2046</v>
      </c>
      <c r="D68" s="1125" t="str">
        <f>IF('Short-Term Long-Term Debt 24'!F49=SUM(,'Acct Summary 7-8'!C33:K33),"OK","ERROR!")</f>
        <v>OK</v>
      </c>
    </row>
    <row r="69" spans="1:4" x14ac:dyDescent="0.2">
      <c r="A69" s="1101"/>
      <c r="B69" s="1111"/>
      <c r="C69" s="1103" t="s">
        <v>2047</v>
      </c>
      <c r="D69" s="1125" t="str">
        <f>IF('Expenditures 15-22'!H170&lt;&gt;'Short-Term Long-Term Debt 24'!H49,"ERROR!","OK")</f>
        <v>OK</v>
      </c>
    </row>
    <row r="70" spans="1:4" x14ac:dyDescent="0.2">
      <c r="A70" s="1099"/>
      <c r="B70" s="1121">
        <f>B66+1</f>
        <v>9</v>
      </c>
      <c r="C70" s="2387" t="s">
        <v>1797</v>
      </c>
      <c r="D70" s="2388"/>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2048</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2049</v>
      </c>
      <c r="D78" s="1125" t="str">
        <f>IF(ISNUMBER('Acct Summary 7-8'!C9),"OK","ENTRY IS REQUIRED!")</f>
        <v>OK</v>
      </c>
    </row>
    <row r="79" spans="1:4" x14ac:dyDescent="0.2">
      <c r="A79" s="1120"/>
      <c r="B79" s="1121">
        <f>B74+1+1</f>
        <v>12</v>
      </c>
      <c r="C79" s="1131" t="s">
        <v>2015</v>
      </c>
      <c r="D79" s="1132" t="str">
        <f>IF(OR(COVER!$B$6="X",'PCTC-OEPP 27-28'!F78&gt;0),"OK","PLEASE ENTER 9 MO ADA.")</f>
        <v>OK</v>
      </c>
    </row>
    <row r="80" spans="1:4" x14ac:dyDescent="0.2">
      <c r="A80" s="1099"/>
      <c r="B80" s="1121">
        <v>13</v>
      </c>
      <c r="C80" s="1131" t="s">
        <v>2050</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40056006026</v>
      </c>
    </row>
    <row r="3" spans="1:2" x14ac:dyDescent="0.2">
      <c r="A3" t="s">
        <v>1013</v>
      </c>
      <c r="B3" s="138" t="str">
        <f>COVER!A15</f>
        <v>MACOUPIN</v>
      </c>
    </row>
    <row r="4" spans="1:2" x14ac:dyDescent="0.2">
      <c r="A4" t="s">
        <v>1064</v>
      </c>
      <c r="B4" s="138" t="str">
        <f>COVER!A17</f>
        <v>Staunton CUSD 6</v>
      </c>
    </row>
    <row r="5" spans="1:2" x14ac:dyDescent="0.2">
      <c r="A5" t="s">
        <v>728</v>
      </c>
      <c r="B5" s="138" t="str">
        <f>COVER!A38</f>
        <v>DAN COX</v>
      </c>
    </row>
    <row r="6" spans="1:2" x14ac:dyDescent="0.2">
      <c r="A6" t="s">
        <v>733</v>
      </c>
      <c r="B6" s="138">
        <f>COVER!P35</f>
        <v>0</v>
      </c>
    </row>
    <row r="7" spans="1:2" x14ac:dyDescent="0.2">
      <c r="A7" t="s">
        <v>729</v>
      </c>
      <c r="B7" s="138">
        <f>COVER!I38</f>
        <v>0</v>
      </c>
    </row>
    <row r="8" spans="1:2" x14ac:dyDescent="0.2">
      <c r="A8" t="s">
        <v>730</v>
      </c>
      <c r="B8" s="138" t="str">
        <f>COVER!T38</f>
        <v>MICHELLE MUELLER</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060-003363</v>
      </c>
    </row>
    <row r="16" spans="1:2" x14ac:dyDescent="0.2">
      <c r="A16" t="s">
        <v>442</v>
      </c>
      <c r="B16" s="138" t="str">
        <f>COVER!T13</f>
        <v>LOY MILLER TALLEY, PC</v>
      </c>
    </row>
    <row r="17" spans="1:2" x14ac:dyDescent="0.2">
      <c r="A17" t="s">
        <v>939</v>
      </c>
      <c r="B17" s="138" t="str">
        <f>COVER!T15</f>
        <v>KENNETH E. LOY, CPA</v>
      </c>
    </row>
    <row r="18" spans="1:2" x14ac:dyDescent="0.2">
      <c r="A18" t="s">
        <v>1212</v>
      </c>
      <c r="B18" s="138" t="str">
        <f>COVER!T17</f>
        <v>#2 CROSSROADS CT.</v>
      </c>
    </row>
    <row r="19" spans="1:2" x14ac:dyDescent="0.2">
      <c r="A19" t="s">
        <v>941</v>
      </c>
      <c r="B19" s="138" t="str">
        <f>COVER!T25</f>
        <v>KEN@LMTCPAS.COM</v>
      </c>
    </row>
    <row r="20" spans="1:2" x14ac:dyDescent="0.2">
      <c r="A20" t="s">
        <v>942</v>
      </c>
      <c r="B20" s="138" t="str">
        <f>COVER!T19</f>
        <v>ALTON</v>
      </c>
    </row>
    <row r="21" spans="1:2" x14ac:dyDescent="0.2">
      <c r="A21" t="s">
        <v>500</v>
      </c>
      <c r="B21" s="138" t="str">
        <f>COVER!X19</f>
        <v>IL</v>
      </c>
    </row>
    <row r="22" spans="1:2" x14ac:dyDescent="0.2">
      <c r="A22" t="s">
        <v>943</v>
      </c>
      <c r="B22" s="138">
        <f>COVER!Z19</f>
        <v>62002</v>
      </c>
    </row>
    <row r="23" spans="1:2" x14ac:dyDescent="0.2">
      <c r="A23" t="s">
        <v>1214</v>
      </c>
      <c r="B23" s="138" t="str">
        <f>COVER!T21</f>
        <v>618-465-1196</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35370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1014932</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1014932</v>
      </c>
      <c r="D92" s="2" t="str">
        <f t="shared" si="0"/>
        <v>Error?</v>
      </c>
    </row>
    <row r="93" spans="1:4" x14ac:dyDescent="0.2">
      <c r="A93" s="5">
        <v>32</v>
      </c>
      <c r="B93" s="138">
        <f>'Assets-Liab 5-6'!C41</f>
        <v>1014932</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110025</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110025</v>
      </c>
      <c r="D123" s="2" t="str">
        <f t="shared" si="0"/>
        <v>Error?</v>
      </c>
    </row>
    <row r="124" spans="1:4" x14ac:dyDescent="0.2">
      <c r="A124" s="5">
        <v>63</v>
      </c>
      <c r="B124" s="138">
        <f>'Assets-Liab 5-6'!D41</f>
        <v>110025</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227526</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227526</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659958</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659958</v>
      </c>
      <c r="D170" s="2" t="str">
        <f t="shared" si="1"/>
        <v>Error?</v>
      </c>
    </row>
    <row r="171" spans="1:4" x14ac:dyDescent="0.2">
      <c r="A171" s="5">
        <v>110</v>
      </c>
      <c r="B171" s="138">
        <f>'Assets-Liab 5-6'!F41</f>
        <v>659958</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187751</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187751</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258857</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258857</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223421</v>
      </c>
      <c r="D273" s="2" t="str">
        <f t="shared" si="3"/>
        <v>Error?</v>
      </c>
    </row>
    <row r="274" spans="1:4" x14ac:dyDescent="0.2">
      <c r="A274" s="5">
        <v>213</v>
      </c>
      <c r="B274" s="138">
        <f>'Assets-Liab 5-6'!M17</f>
        <v>13868462</v>
      </c>
      <c r="D274" s="2" t="str">
        <f t="shared" si="3"/>
        <v>Error?</v>
      </c>
    </row>
    <row r="275" spans="1:4" x14ac:dyDescent="0.2">
      <c r="A275" s="5">
        <v>214</v>
      </c>
      <c r="B275" s="138">
        <f>'Assets-Liab 5-6'!M18</f>
        <v>773280</v>
      </c>
      <c r="D275" s="2" t="str">
        <f t="shared" si="3"/>
        <v>Error?</v>
      </c>
    </row>
    <row r="276" spans="1:4" x14ac:dyDescent="0.2">
      <c r="A276" s="5">
        <v>215</v>
      </c>
      <c r="B276" s="138">
        <f>'Assets-Liab 5-6'!M19</f>
        <v>6593205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21458368</v>
      </c>
      <c r="C279" s="2" t="s">
        <v>594</v>
      </c>
      <c r="D279" s="2" t="str">
        <f t="shared" si="3"/>
        <v>Error?</v>
      </c>
    </row>
    <row r="280" spans="1:4" x14ac:dyDescent="0.2">
      <c r="A280" s="5">
        <v>219</v>
      </c>
      <c r="B280" s="138">
        <f>'Assets-Liab 5-6'!M40</f>
        <v>21458368</v>
      </c>
      <c r="D280" s="2" t="str">
        <f t="shared" si="3"/>
        <v>Error?</v>
      </c>
    </row>
    <row r="281" spans="1:4" x14ac:dyDescent="0.2">
      <c r="A281" s="5">
        <v>220</v>
      </c>
      <c r="B281" s="138">
        <f>'Assets-Liab 5-6'!M41</f>
        <v>21458368</v>
      </c>
      <c r="C281" s="2" t="s">
        <v>594</v>
      </c>
      <c r="D281" s="2" t="str">
        <f t="shared" si="3"/>
        <v>Error?</v>
      </c>
    </row>
    <row r="282" spans="1:4" x14ac:dyDescent="0.2">
      <c r="A282" s="5">
        <v>221</v>
      </c>
      <c r="B282" s="138">
        <f>'Assets-Liab 5-6'!N21</f>
        <v>227526</v>
      </c>
      <c r="D282" s="2" t="str">
        <f t="shared" si="3"/>
        <v>Error?</v>
      </c>
    </row>
    <row r="283" spans="1:4" x14ac:dyDescent="0.2">
      <c r="A283" s="5">
        <v>222</v>
      </c>
      <c r="B283" s="138">
        <f>'Assets-Liab 5-6'!N22</f>
        <v>4227474</v>
      </c>
      <c r="D283" s="2" t="str">
        <f t="shared" si="3"/>
        <v>Error?</v>
      </c>
    </row>
    <row r="284" spans="1:4" x14ac:dyDescent="0.2">
      <c r="A284" s="5">
        <v>223</v>
      </c>
      <c r="B284" s="138">
        <f>'Assets-Liab 5-6'!N23</f>
        <v>4455000</v>
      </c>
      <c r="C284" s="2" t="s">
        <v>594</v>
      </c>
      <c r="D284" s="2" t="str">
        <f t="shared" si="3"/>
        <v>Error?</v>
      </c>
    </row>
    <row r="285" spans="1:4" x14ac:dyDescent="0.2">
      <c r="A285" s="5">
        <v>224</v>
      </c>
      <c r="B285" s="138">
        <f>'Assets-Liab 5-6'!N36</f>
        <v>4455000</v>
      </c>
      <c r="D285" s="2" t="str">
        <f t="shared" si="3"/>
        <v>Error?</v>
      </c>
    </row>
    <row r="286" spans="1:4" x14ac:dyDescent="0.2">
      <c r="A286" s="10">
        <v>225</v>
      </c>
      <c r="D286" s="2" t="str">
        <f t="shared" si="3"/>
        <v>OK</v>
      </c>
    </row>
    <row r="287" spans="1:4" x14ac:dyDescent="0.2">
      <c r="A287" s="5">
        <v>226</v>
      </c>
      <c r="B287" s="138">
        <f>'Assets-Liab 5-6'!N37</f>
        <v>4455000</v>
      </c>
      <c r="C287" s="2" t="s">
        <v>594</v>
      </c>
      <c r="D287" s="2" t="str">
        <f t="shared" si="3"/>
        <v>Error?</v>
      </c>
    </row>
    <row r="288" spans="1:4" x14ac:dyDescent="0.2">
      <c r="A288" s="5">
        <v>227</v>
      </c>
      <c r="B288" s="138">
        <f>'Assets-Liab 5-6'!N41</f>
        <v>4455000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3291875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272047</v>
      </c>
      <c r="D717" s="2" t="str">
        <f t="shared" si="10"/>
        <v>Error?</v>
      </c>
    </row>
    <row r="718" spans="1:4" x14ac:dyDescent="0.2">
      <c r="A718" s="5">
        <v>657</v>
      </c>
      <c r="B718" s="138">
        <f>'Expenditures 15-22'!C14</f>
        <v>151993</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4494400</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117160</v>
      </c>
      <c r="D722" s="2" t="str">
        <f t="shared" si="10"/>
        <v>Error?</v>
      </c>
    </row>
    <row r="723" spans="1:4" x14ac:dyDescent="0.2">
      <c r="A723" s="5">
        <v>662</v>
      </c>
      <c r="B723" s="138">
        <f>'Expenditures 15-22'!C38</f>
        <v>31921</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149081</v>
      </c>
      <c r="C727" s="2" t="s">
        <v>594</v>
      </c>
      <c r="D727" s="2" t="str">
        <f t="shared" si="10"/>
        <v>Error?</v>
      </c>
    </row>
    <row r="728" spans="1:4" x14ac:dyDescent="0.2">
      <c r="A728" s="5">
        <v>667</v>
      </c>
      <c r="B728" s="138">
        <f>'Expenditures 15-22'!C44</f>
        <v>1628</v>
      </c>
      <c r="D728" s="2" t="str">
        <f t="shared" si="10"/>
        <v>Error?</v>
      </c>
    </row>
    <row r="729" spans="1:4" x14ac:dyDescent="0.2">
      <c r="A729" s="5">
        <v>668</v>
      </c>
      <c r="B729" s="138">
        <f>'Expenditures 15-22'!C45</f>
        <v>13713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15341</v>
      </c>
      <c r="C731" s="2" t="s">
        <v>594</v>
      </c>
      <c r="D731" s="2" t="str">
        <f t="shared" si="10"/>
        <v>Error?</v>
      </c>
    </row>
    <row r="732" spans="1:4" x14ac:dyDescent="0.2">
      <c r="A732" s="5">
        <v>671</v>
      </c>
      <c r="B732" s="138">
        <f>'Expenditures 15-22'!C49</f>
        <v>12141</v>
      </c>
      <c r="D732" s="2" t="str">
        <f t="shared" si="10"/>
        <v>Error?</v>
      </c>
    </row>
    <row r="733" spans="1:4" x14ac:dyDescent="0.2">
      <c r="A733" s="5">
        <v>672</v>
      </c>
      <c r="B733" s="138">
        <f>'Expenditures 15-22'!C50</f>
        <v>142672</v>
      </c>
      <c r="D733" s="2" t="str">
        <f t="shared" si="10"/>
        <v>Error?</v>
      </c>
    </row>
    <row r="734" spans="1:4" x14ac:dyDescent="0.2">
      <c r="A734" s="5">
        <v>673</v>
      </c>
      <c r="B734" s="138">
        <f>'Expenditures 15-22'!C53</f>
        <v>154813</v>
      </c>
      <c r="C734" s="2" t="s">
        <v>594</v>
      </c>
      <c r="D734" s="2" t="str">
        <f t="shared" si="10"/>
        <v>Error?</v>
      </c>
    </row>
    <row r="735" spans="1:4" x14ac:dyDescent="0.2">
      <c r="A735" s="5">
        <v>674</v>
      </c>
      <c r="B735" s="138">
        <f>'Expenditures 15-22'!C55</f>
        <v>373549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373549</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80844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180013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260857</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953641</v>
      </c>
      <c r="C755" s="2" t="s">
        <v>594</v>
      </c>
      <c r="D755" s="2" t="str">
        <f t="shared" si="10"/>
        <v>Error?</v>
      </c>
    </row>
    <row r="756" spans="1:4" x14ac:dyDescent="0.2">
      <c r="A756" s="5">
        <v>695</v>
      </c>
      <c r="B756" s="138">
        <f>'Expenditures 15-22'!C75</f>
        <v>4956</v>
      </c>
      <c r="D756" s="2" t="str">
        <f t="shared" si="10"/>
        <v>Error?</v>
      </c>
    </row>
    <row r="757" spans="1:4" x14ac:dyDescent="0.2">
      <c r="A757" s="5">
        <v>696</v>
      </c>
      <c r="B757" s="138">
        <f>'Expenditures 15-22'!C114</f>
        <v>5452997</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620866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52892</v>
      </c>
      <c r="D775" s="2" t="str">
        <f t="shared" si="11"/>
        <v>Error?</v>
      </c>
    </row>
    <row r="776" spans="1:4" x14ac:dyDescent="0.2">
      <c r="A776" s="5">
        <v>715</v>
      </c>
      <c r="B776" s="138">
        <f>'Expenditures 15-22'!D14</f>
        <v>15002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794267</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18590</v>
      </c>
      <c r="D780" s="2" t="str">
        <f t="shared" si="11"/>
        <v>Error?</v>
      </c>
    </row>
    <row r="781" spans="1:4" x14ac:dyDescent="0.2">
      <c r="A781" s="5">
        <v>720</v>
      </c>
      <c r="B781" s="138">
        <f>'Expenditures 15-22'!D38</f>
        <v>5079</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23669</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35969</v>
      </c>
      <c r="D791" s="2" t="str">
        <f t="shared" si="11"/>
        <v>Error?</v>
      </c>
    </row>
    <row r="792" spans="1:4" x14ac:dyDescent="0.2">
      <c r="A792" s="5">
        <v>731</v>
      </c>
      <c r="B792" s="138">
        <f>'Expenditures 15-22'!D53</f>
        <v>35969</v>
      </c>
      <c r="C792" s="2" t="s">
        <v>594</v>
      </c>
      <c r="D792" s="2" t="str">
        <f t="shared" si="11"/>
        <v>Error?</v>
      </c>
    </row>
    <row r="793" spans="1:4" x14ac:dyDescent="0.2">
      <c r="A793" s="5">
        <v>732</v>
      </c>
      <c r="B793" s="138">
        <f>'Expenditures 15-22'!D55</f>
        <v>67374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67374</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5169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17867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23036</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150048</v>
      </c>
      <c r="C813" s="2" t="s">
        <v>594</v>
      </c>
      <c r="D813" s="2" t="str">
        <f t="shared" si="11"/>
        <v>Error?</v>
      </c>
    </row>
    <row r="814" spans="1:4" x14ac:dyDescent="0.2">
      <c r="A814" s="5">
        <v>753</v>
      </c>
      <c r="B814" s="138">
        <f>'Expenditures 15-22'!D75</f>
        <v>1174</v>
      </c>
      <c r="D814" s="2" t="str">
        <f t="shared" si="11"/>
        <v>Error?</v>
      </c>
    </row>
    <row r="815" spans="1:4" x14ac:dyDescent="0.2">
      <c r="A815" s="5">
        <v>754</v>
      </c>
      <c r="B815" s="138">
        <f>'Expenditures 15-22'!D114</f>
        <v>945489</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2495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2719</v>
      </c>
      <c r="D833" s="2" t="str">
        <f t="shared" si="12"/>
        <v>Error?</v>
      </c>
    </row>
    <row r="834" spans="1:4" x14ac:dyDescent="0.2">
      <c r="A834" s="5">
        <v>773</v>
      </c>
      <c r="B834" s="138">
        <f>'Expenditures 15-22'!E14</f>
        <v>43177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55756</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2031</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2031</v>
      </c>
      <c r="C843" s="2" t="s">
        <v>594</v>
      </c>
      <c r="D843" s="2" t="str">
        <f t="shared" si="12"/>
        <v>Error?</v>
      </c>
    </row>
    <row r="844" spans="1:4" x14ac:dyDescent="0.2">
      <c r="A844" s="5">
        <v>783</v>
      </c>
      <c r="B844" s="138">
        <f>'Expenditures 15-22'!E44</f>
        <v>49040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16025</v>
      </c>
      <c r="D846" s="2" t="str">
        <f t="shared" si="12"/>
        <v>Error?</v>
      </c>
    </row>
    <row r="847" spans="1:4" x14ac:dyDescent="0.2">
      <c r="A847" s="5">
        <v>786</v>
      </c>
      <c r="B847" s="138">
        <f>'Expenditures 15-22'!E47</f>
        <v>65065</v>
      </c>
      <c r="C847" s="2" t="s">
        <v>594</v>
      </c>
      <c r="D847" s="2" t="str">
        <f t="shared" si="12"/>
        <v>Error?</v>
      </c>
    </row>
    <row r="848" spans="1:4" x14ac:dyDescent="0.2">
      <c r="A848" s="5">
        <v>787</v>
      </c>
      <c r="B848" s="138">
        <f>'Expenditures 15-22'!E49</f>
        <v>63358</v>
      </c>
      <c r="D848" s="2" t="str">
        <f t="shared" si="12"/>
        <v>Error?</v>
      </c>
    </row>
    <row r="849" spans="1:4" x14ac:dyDescent="0.2">
      <c r="A849" s="5">
        <v>788</v>
      </c>
      <c r="B849" s="138">
        <f>'Expenditures 15-22'!E50</f>
        <v>3707</v>
      </c>
      <c r="D849" s="2" t="str">
        <f t="shared" si="12"/>
        <v>Error?</v>
      </c>
    </row>
    <row r="850" spans="1:4" x14ac:dyDescent="0.2">
      <c r="A850" s="5">
        <v>789</v>
      </c>
      <c r="B850" s="138">
        <f>'Expenditures 15-22'!E53</f>
        <v>67065</v>
      </c>
      <c r="C850" s="2" t="s">
        <v>594</v>
      </c>
      <c r="D850" s="2" t="str">
        <f t="shared" si="12"/>
        <v>Error?</v>
      </c>
    </row>
    <row r="851" spans="1:4" x14ac:dyDescent="0.2">
      <c r="A851" s="5">
        <v>790</v>
      </c>
      <c r="B851" s="138">
        <f>'Expenditures 15-22'!E55</f>
        <v>5886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5886</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48719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43440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92159</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232206</v>
      </c>
      <c r="C871" s="2" t="s">
        <v>594</v>
      </c>
      <c r="D871" s="2" t="str">
        <f t="shared" si="12"/>
        <v>Error?</v>
      </c>
    </row>
    <row r="872" spans="1:4" x14ac:dyDescent="0.2">
      <c r="A872" s="5">
        <v>811</v>
      </c>
      <c r="B872" s="138">
        <f>'Expenditures 15-22'!E75</f>
        <v>4313</v>
      </c>
      <c r="D872" s="2" t="str">
        <f t="shared" si="12"/>
        <v>Error?</v>
      </c>
    </row>
    <row r="873" spans="1:4" x14ac:dyDescent="0.2">
      <c r="A873" s="5">
        <v>812</v>
      </c>
      <c r="B873" s="138">
        <f>'Expenditures 15-22'!E114</f>
        <v>302013</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27873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48186</v>
      </c>
      <c r="D891" s="2" t="str">
        <f t="shared" si="12"/>
        <v>Error?</v>
      </c>
    </row>
    <row r="892" spans="1:4" x14ac:dyDescent="0.2">
      <c r="A892" s="5">
        <v>831</v>
      </c>
      <c r="B892" s="138">
        <f>'Expenditures 15-22'!F14</f>
        <v>5911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171613</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2570</v>
      </c>
      <c r="D896" s="2" t="str">
        <f t="shared" si="13"/>
        <v>Error?</v>
      </c>
    </row>
    <row r="897" spans="1:4" x14ac:dyDescent="0.2">
      <c r="A897" s="5">
        <v>836</v>
      </c>
      <c r="B897" s="138">
        <f>'Expenditures 15-22'!F38</f>
        <v>885</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3455</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2239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2239</v>
      </c>
      <c r="C905" s="2" t="s">
        <v>594</v>
      </c>
      <c r="D905" s="2" t="str">
        <f t="shared" si="13"/>
        <v>Error?</v>
      </c>
    </row>
    <row r="906" spans="1:4" x14ac:dyDescent="0.2">
      <c r="A906" s="5">
        <v>845</v>
      </c>
      <c r="B906" s="138">
        <f>'Expenditures 15-22'!F49</f>
        <v>2304</v>
      </c>
      <c r="D906" s="2" t="str">
        <f t="shared" si="13"/>
        <v>Error?</v>
      </c>
    </row>
    <row r="907" spans="1:4" x14ac:dyDescent="0.2">
      <c r="A907" s="5">
        <v>846</v>
      </c>
      <c r="B907" s="138">
        <f>'Expenditures 15-22'!F50</f>
        <v>2170</v>
      </c>
      <c r="D907" s="2" t="str">
        <f t="shared" si="13"/>
        <v>Error?</v>
      </c>
    </row>
    <row r="908" spans="1:4" x14ac:dyDescent="0.2">
      <c r="A908" s="5">
        <v>847</v>
      </c>
      <c r="B908" s="138">
        <f>'Expenditures 15-22'!F53</f>
        <v>4474</v>
      </c>
      <c r="C908" s="2" t="s">
        <v>594</v>
      </c>
      <c r="D908" s="2" t="str">
        <f t="shared" si="13"/>
        <v>Error?</v>
      </c>
    </row>
    <row r="909" spans="1:4" x14ac:dyDescent="0.2">
      <c r="A909" s="5">
        <v>848</v>
      </c>
      <c r="B909" s="138">
        <f>'Expenditures 15-22'!F55</f>
        <v>968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968</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21052</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242045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263097</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1355</v>
      </c>
      <c r="D928" s="2" t="str">
        <f t="shared" si="13"/>
        <v>Error?</v>
      </c>
    </row>
    <row r="929" spans="1:4" x14ac:dyDescent="0.2">
      <c r="A929" s="5">
        <v>868</v>
      </c>
      <c r="B929" s="138">
        <f>'Expenditures 15-22'!F74</f>
        <v>275588</v>
      </c>
      <c r="C929" s="2" t="s">
        <v>594</v>
      </c>
      <c r="D929" s="2" t="str">
        <f t="shared" si="13"/>
        <v>Error?</v>
      </c>
    </row>
    <row r="930" spans="1:4" x14ac:dyDescent="0.2">
      <c r="A930" s="5">
        <v>869</v>
      </c>
      <c r="B930" s="138">
        <f>'Expenditures 15-22'!F75</f>
        <v>18556</v>
      </c>
      <c r="D930" s="2" t="str">
        <f t="shared" si="13"/>
        <v>Error?</v>
      </c>
    </row>
    <row r="931" spans="1:4" x14ac:dyDescent="0.2">
      <c r="A931" s="5">
        <v>870</v>
      </c>
      <c r="B931" s="138">
        <f>'Expenditures 15-22'!F114</f>
        <v>465757</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10564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2767</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13331</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235</v>
      </c>
      <c r="D967" s="2" t="str">
        <f t="shared" si="14"/>
        <v>Error?</v>
      </c>
    </row>
    <row r="968" spans="1:4" x14ac:dyDescent="0.2">
      <c r="A968" s="5">
        <v>907</v>
      </c>
      <c r="B968" s="138">
        <f>'Expenditures 15-22'!G56</f>
        <v>0</v>
      </c>
      <c r="D968" s="2" t="str">
        <f t="shared" si="14"/>
        <v>Error?</v>
      </c>
    </row>
    <row r="969" spans="1:4" x14ac:dyDescent="0.2">
      <c r="A969" s="5">
        <v>908</v>
      </c>
      <c r="B969" s="138">
        <f>'Expenditures 15-22'!G57</f>
        <v>235</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16811</v>
      </c>
      <c r="D972" s="2" t="str">
        <f t="shared" si="14"/>
        <v>Error?</v>
      </c>
    </row>
    <row r="973" spans="1:4" x14ac:dyDescent="0.2">
      <c r="A973" s="5">
        <v>912</v>
      </c>
      <c r="B973" s="138">
        <f>'Expenditures 15-22'!G62</f>
        <v>0</v>
      </c>
      <c r="D973" s="2" t="str">
        <f t="shared" si="14"/>
        <v>Error?</v>
      </c>
    </row>
    <row r="974" spans="1:4" x14ac:dyDescent="0.2">
      <c r="A974" s="5">
        <v>913</v>
      </c>
      <c r="B974" s="138">
        <f>'Expenditures 15-22'!G63</f>
        <v>44169</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60980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61215</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74546</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1550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4463</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24597</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224</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134</v>
      </c>
      <c r="D1016" s="2" t="str">
        <f t="shared" si="14"/>
        <v>Error?</v>
      </c>
    </row>
    <row r="1017" spans="1:4" x14ac:dyDescent="0.2">
      <c r="A1017" s="5">
        <v>956</v>
      </c>
      <c r="B1017" s="138">
        <f>'Expenditures 15-22'!H42</f>
        <v>358</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3844</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3844</v>
      </c>
      <c r="C1024" s="2" t="s">
        <v>594</v>
      </c>
      <c r="D1024" s="2" t="str">
        <f t="shared" si="15"/>
        <v>Error?</v>
      </c>
    </row>
    <row r="1025" spans="1:4" x14ac:dyDescent="0.2">
      <c r="A1025" s="5">
        <v>964</v>
      </c>
      <c r="B1025" s="138">
        <f>'Expenditures 15-22'!H55</f>
        <v>1387</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1387</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16752</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16752</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22341</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706664</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753602</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3955223</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378611</v>
      </c>
      <c r="C1105" s="2" t="s">
        <v>594</v>
      </c>
      <c r="D1105" s="2" t="str">
        <f t="shared" si="16"/>
        <v>Error?</v>
      </c>
    </row>
    <row r="1106" spans="1:4" x14ac:dyDescent="0.2">
      <c r="A1106" s="5">
        <v>1045</v>
      </c>
      <c r="B1106" s="138">
        <f>'Expenditures 15-22'!K14</f>
        <v>220546</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5553964</v>
      </c>
      <c r="C1108" s="2" t="s">
        <v>594</v>
      </c>
      <c r="D1108" s="2" t="str">
        <f t="shared" si="16"/>
        <v>Error?</v>
      </c>
    </row>
    <row r="1109" spans="1:4" x14ac:dyDescent="0.2">
      <c r="A1109" s="5">
        <v>1048</v>
      </c>
      <c r="B1109" s="138">
        <f>'Expenditures 15-22'!K36</f>
        <v>4500</v>
      </c>
      <c r="C1109" s="2" t="s">
        <v>594</v>
      </c>
      <c r="D1109" s="2" t="str">
        <f t="shared" si="16"/>
        <v>Error?</v>
      </c>
    </row>
    <row r="1110" spans="1:4" x14ac:dyDescent="0.2">
      <c r="A1110" s="5">
        <v>1049</v>
      </c>
      <c r="B1110" s="138">
        <f>'Expenditures 15-22'!K37</f>
        <v>138544</v>
      </c>
      <c r="C1110" s="2" t="s">
        <v>594</v>
      </c>
      <c r="D1110" s="2" t="str">
        <f t="shared" si="16"/>
        <v>Error?</v>
      </c>
    </row>
    <row r="1111" spans="1:4" x14ac:dyDescent="0.2">
      <c r="A1111" s="5">
        <v>1050</v>
      </c>
      <c r="B1111" s="138">
        <f>'Expenditures 15-22'!K38</f>
        <v>39916</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134</v>
      </c>
      <c r="C1114" s="2" t="s">
        <v>594</v>
      </c>
      <c r="D1114" s="2" t="str">
        <f t="shared" si="16"/>
        <v>Error?</v>
      </c>
    </row>
    <row r="1115" spans="1:4" x14ac:dyDescent="0.2">
      <c r="A1115" s="5">
        <v>1054</v>
      </c>
      <c r="B1115" s="138">
        <f>'Expenditures 15-22'!K42</f>
        <v>183094</v>
      </c>
      <c r="C1115" s="2" t="s">
        <v>594</v>
      </c>
      <c r="D1115" s="2" t="str">
        <f t="shared" si="16"/>
        <v>Error?</v>
      </c>
    </row>
    <row r="1116" spans="1:4" x14ac:dyDescent="0.2">
      <c r="A1116" s="5">
        <v>1055</v>
      </c>
      <c r="B1116" s="138">
        <f>'Expenditures 15-22'!K44</f>
        <v>50668</v>
      </c>
      <c r="C1116" s="2" t="s">
        <v>594</v>
      </c>
      <c r="D1116" s="2" t="str">
        <f t="shared" si="16"/>
        <v>Error?</v>
      </c>
    </row>
    <row r="1117" spans="1:4" x14ac:dyDescent="0.2">
      <c r="A1117" s="5">
        <v>1056</v>
      </c>
      <c r="B1117" s="138">
        <f>'Expenditures 15-22'!K45</f>
        <v>15952</v>
      </c>
      <c r="C1117" s="2" t="s">
        <v>594</v>
      </c>
      <c r="D1117" s="2" t="str">
        <f t="shared" si="16"/>
        <v>Error?</v>
      </c>
    </row>
    <row r="1118" spans="1:4" x14ac:dyDescent="0.2">
      <c r="A1118" s="5">
        <v>1057</v>
      </c>
      <c r="B1118" s="138">
        <f>'Expenditures 15-22'!K46</f>
        <v>16025</v>
      </c>
      <c r="C1118" s="2" t="s">
        <v>594</v>
      </c>
      <c r="D1118" s="2" t="str">
        <f t="shared" si="16"/>
        <v>Error?</v>
      </c>
    </row>
    <row r="1119" spans="1:4" x14ac:dyDescent="0.2">
      <c r="A1119" s="5">
        <v>1058</v>
      </c>
      <c r="B1119" s="138">
        <f>'Expenditures 15-22'!K47</f>
        <v>82645</v>
      </c>
      <c r="C1119" s="2" t="s">
        <v>594</v>
      </c>
      <c r="D1119" s="2" t="str">
        <f t="shared" si="16"/>
        <v>Error?</v>
      </c>
    </row>
    <row r="1120" spans="1:4" x14ac:dyDescent="0.2">
      <c r="A1120" s="5">
        <v>1059</v>
      </c>
      <c r="B1120" s="138">
        <f>'Expenditures 15-22'!K49</f>
        <v>81647</v>
      </c>
      <c r="C1120" s="2" t="s">
        <v>594</v>
      </c>
      <c r="D1120" s="2" t="str">
        <f t="shared" si="16"/>
        <v>Error?</v>
      </c>
    </row>
    <row r="1121" spans="1:4" x14ac:dyDescent="0.2">
      <c r="A1121" s="5">
        <v>1060</v>
      </c>
      <c r="B1121" s="138">
        <f>'Expenditures 15-22'!K50</f>
        <v>184518</v>
      </c>
      <c r="C1121" s="2" t="s">
        <v>594</v>
      </c>
      <c r="D1121" s="2" t="str">
        <f t="shared" si="16"/>
        <v>Error?</v>
      </c>
    </row>
    <row r="1122" spans="1:4" x14ac:dyDescent="0.2">
      <c r="A1122" s="5">
        <v>1061</v>
      </c>
      <c r="B1122" s="138">
        <f>'Expenditures 15-22'!K53</f>
        <v>266165</v>
      </c>
      <c r="C1122" s="2" t="s">
        <v>594</v>
      </c>
      <c r="D1122" s="2" t="str">
        <f t="shared" si="16"/>
        <v>Error?</v>
      </c>
    </row>
    <row r="1123" spans="1:4" x14ac:dyDescent="0.2">
      <c r="A1123" s="5">
        <v>1062</v>
      </c>
      <c r="B1123" s="138">
        <f>'Expenditures 15-22'!K55</f>
        <v>449399</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449399</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172536</v>
      </c>
      <c r="C1127" s="2" t="s">
        <v>594</v>
      </c>
      <c r="D1127" s="2" t="str">
        <f t="shared" si="16"/>
        <v>Error?</v>
      </c>
    </row>
    <row r="1128" spans="1:4" x14ac:dyDescent="0.2">
      <c r="A1128" s="5">
        <v>1067</v>
      </c>
      <c r="B1128" s="138">
        <f>'Expenditures 15-22'!K61</f>
        <v>16811</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527534</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716881</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1355</v>
      </c>
      <c r="C1142" s="2" t="s">
        <v>594</v>
      </c>
      <c r="D1142" s="2" t="str">
        <f t="shared" si="16"/>
        <v>Error?</v>
      </c>
    </row>
    <row r="1143" spans="1:4" x14ac:dyDescent="0.2">
      <c r="A1143" s="5">
        <v>1082</v>
      </c>
      <c r="B1143" s="138">
        <f>'Expenditures 15-22'!K74</f>
        <v>1699539</v>
      </c>
      <c r="C1143" s="2" t="s">
        <v>594</v>
      </c>
      <c r="D1143" s="2" t="str">
        <f t="shared" si="16"/>
        <v>Error?</v>
      </c>
    </row>
    <row r="1144" spans="1:4" x14ac:dyDescent="0.2">
      <c r="A1144" s="5">
        <v>1083</v>
      </c>
      <c r="B1144" s="138">
        <f>'Expenditures 15-22'!K75</f>
        <v>28999</v>
      </c>
      <c r="C1144" s="2" t="s">
        <v>594</v>
      </c>
      <c r="D1144" s="2" t="str">
        <f t="shared" si="16"/>
        <v>Error?</v>
      </c>
    </row>
    <row r="1145" spans="1:4" x14ac:dyDescent="0.2">
      <c r="A1145" s="5">
        <v>1084</v>
      </c>
      <c r="B1145" s="138">
        <f>'Expenditures 15-22'!K102</f>
        <v>716402</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7998904</v>
      </c>
      <c r="C1152" s="2" t="s">
        <v>594</v>
      </c>
      <c r="D1152" s="2" t="str">
        <f t="shared" si="17"/>
        <v>Error?</v>
      </c>
    </row>
    <row r="1153" spans="1:4" x14ac:dyDescent="0.2">
      <c r="A1153" s="5">
        <v>1092</v>
      </c>
      <c r="B1153" s="138">
        <f>'Expenditures 15-22'!K115</f>
        <v>498494</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317158</v>
      </c>
      <c r="D1221" s="2" t="str">
        <f t="shared" si="18"/>
        <v>Error?</v>
      </c>
    </row>
    <row r="1222" spans="1:4" x14ac:dyDescent="0.2">
      <c r="A1222" s="10">
        <v>1161</v>
      </c>
      <c r="D1222" s="2" t="str">
        <f t="shared" si="18"/>
        <v>OK</v>
      </c>
    </row>
    <row r="1223" spans="1:4" x14ac:dyDescent="0.2">
      <c r="A1223" s="5">
        <v>1162</v>
      </c>
      <c r="B1223" s="138">
        <f>'Expenditures 15-22'!C127</f>
        <v>317158</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317158</v>
      </c>
      <c r="C1225" s="2" t="s">
        <v>594</v>
      </c>
      <c r="D1225" s="2" t="str">
        <f t="shared" si="18"/>
        <v>Error?</v>
      </c>
    </row>
    <row r="1226" spans="1:4" x14ac:dyDescent="0.2">
      <c r="A1226" s="5">
        <v>1165</v>
      </c>
      <c r="B1226" s="138">
        <f>'Expenditures 15-22'!C151</f>
        <v>317158</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45286</v>
      </c>
      <c r="D1229" s="2" t="str">
        <f t="shared" si="18"/>
        <v>Error?</v>
      </c>
    </row>
    <row r="1230" spans="1:4" x14ac:dyDescent="0.2">
      <c r="A1230" s="10">
        <v>1169</v>
      </c>
      <c r="D1230" s="2" t="str">
        <f t="shared" si="18"/>
        <v>OK</v>
      </c>
    </row>
    <row r="1231" spans="1:4" x14ac:dyDescent="0.2">
      <c r="A1231" s="5">
        <v>1170</v>
      </c>
      <c r="B1231" s="138">
        <f>'Expenditures 15-22'!D127</f>
        <v>45286</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45286</v>
      </c>
      <c r="C1233" s="2" t="s">
        <v>594</v>
      </c>
      <c r="D1233" s="2" t="str">
        <f t="shared" si="18"/>
        <v>Error?</v>
      </c>
    </row>
    <row r="1234" spans="1:4" x14ac:dyDescent="0.2">
      <c r="A1234" s="5">
        <v>1173</v>
      </c>
      <c r="B1234" s="138">
        <f>'Expenditures 15-22'!D151</f>
        <v>45286</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113021</v>
      </c>
      <c r="D1237" s="2" t="str">
        <f t="shared" si="18"/>
        <v>Error?</v>
      </c>
    </row>
    <row r="1238" spans="1:4" x14ac:dyDescent="0.2">
      <c r="A1238" s="10">
        <v>1177</v>
      </c>
      <c r="D1238" s="2" t="str">
        <f t="shared" si="18"/>
        <v>OK</v>
      </c>
    </row>
    <row r="1239" spans="1:4" x14ac:dyDescent="0.2">
      <c r="A1239" s="5">
        <v>1178</v>
      </c>
      <c r="B1239" s="138">
        <f>'Expenditures 15-22'!E127</f>
        <v>113021</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113021</v>
      </c>
      <c r="C1241" s="2" t="s">
        <v>594</v>
      </c>
      <c r="D1241" s="2" t="str">
        <f t="shared" si="18"/>
        <v>Error?</v>
      </c>
    </row>
    <row r="1242" spans="1:4" x14ac:dyDescent="0.2">
      <c r="A1242" s="5">
        <v>1181</v>
      </c>
      <c r="B1242" s="138">
        <f>'Expenditures 15-22'!E151</f>
        <v>113021</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211084</v>
      </c>
      <c r="D1245" s="2" t="str">
        <f t="shared" si="18"/>
        <v>Error?</v>
      </c>
    </row>
    <row r="1246" spans="1:4" x14ac:dyDescent="0.2">
      <c r="A1246" s="10">
        <v>1185</v>
      </c>
      <c r="D1246" s="2" t="str">
        <f t="shared" si="18"/>
        <v>OK</v>
      </c>
    </row>
    <row r="1247" spans="1:4" x14ac:dyDescent="0.2">
      <c r="A1247" s="5">
        <v>1186</v>
      </c>
      <c r="B1247" s="138">
        <f>'Expenditures 15-22'!F127</f>
        <v>211084</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211084</v>
      </c>
      <c r="C1249" s="2" t="s">
        <v>594</v>
      </c>
      <c r="D1249" s="2" t="str">
        <f t="shared" si="18"/>
        <v>Error?</v>
      </c>
    </row>
    <row r="1250" spans="1:4" x14ac:dyDescent="0.2">
      <c r="A1250" s="5">
        <v>1189</v>
      </c>
      <c r="B1250" s="138">
        <f>'Expenditures 15-22'!F151</f>
        <v>211084</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229023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229023</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229023</v>
      </c>
      <c r="C1258" s="2" t="s">
        <v>594</v>
      </c>
      <c r="D1258" s="2" t="str">
        <f t="shared" si="18"/>
        <v>Error?</v>
      </c>
    </row>
    <row r="1259" spans="1:4" x14ac:dyDescent="0.2">
      <c r="A1259" s="5">
        <v>1198</v>
      </c>
      <c r="B1259" s="138">
        <f>'Expenditures 15-22'!G151</f>
        <v>229023</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915572</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915572</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915572</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915572</v>
      </c>
      <c r="C1288" s="2" t="s">
        <v>594</v>
      </c>
      <c r="D1288" s="2" t="str">
        <f t="shared" si="19"/>
        <v>Error?</v>
      </c>
    </row>
    <row r="1289" spans="1:4" x14ac:dyDescent="0.2">
      <c r="A1289" s="5">
        <v>1228</v>
      </c>
      <c r="B1289" s="138">
        <f>'Expenditures 15-22'!K152</f>
        <v>-52117</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194066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95000</v>
      </c>
      <c r="D1315" s="2" t="str">
        <f t="shared" si="19"/>
        <v>Error?</v>
      </c>
    </row>
    <row r="1316" spans="1:4" x14ac:dyDescent="0.2">
      <c r="A1316" s="5">
        <v>1255</v>
      </c>
      <c r="B1316" s="138">
        <f>'Expenditures 15-22'!H171</f>
        <v>1300</v>
      </c>
      <c r="D1316" s="2" t="str">
        <f t="shared" si="19"/>
        <v>Error?</v>
      </c>
    </row>
    <row r="1317" spans="1:4" x14ac:dyDescent="0.2">
      <c r="A1317" s="5">
        <v>1256</v>
      </c>
      <c r="B1317" s="138">
        <f>'Expenditures 15-22'!H172</f>
        <v>290366</v>
      </c>
      <c r="C1317" s="2" t="s">
        <v>594</v>
      </c>
      <c r="D1317" s="2" t="str">
        <f t="shared" si="19"/>
        <v>Error?</v>
      </c>
    </row>
    <row r="1318" spans="1:4" x14ac:dyDescent="0.2">
      <c r="A1318" s="5">
        <v>1257</v>
      </c>
      <c r="B1318" s="138">
        <f>'Expenditures 15-22'!H174</f>
        <v>290366</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194066</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95000</v>
      </c>
      <c r="C1329" s="2" t="s">
        <v>594</v>
      </c>
      <c r="D1329" s="2" t="str">
        <f t="shared" si="19"/>
        <v>Error?</v>
      </c>
    </row>
    <row r="1330" spans="1:4" x14ac:dyDescent="0.2">
      <c r="A1330" s="5">
        <v>1269</v>
      </c>
      <c r="B1330" s="138">
        <f>'Expenditures 15-22'!K171</f>
        <v>1300</v>
      </c>
      <c r="C1330" s="2" t="s">
        <v>594</v>
      </c>
      <c r="D1330" s="2" t="str">
        <f t="shared" si="19"/>
        <v>Error?</v>
      </c>
    </row>
    <row r="1331" spans="1:4" x14ac:dyDescent="0.2">
      <c r="A1331" s="5">
        <v>1270</v>
      </c>
      <c r="B1331" s="138">
        <f>'Expenditures 15-22'!K172</f>
        <v>290366</v>
      </c>
      <c r="C1331" s="2" t="s">
        <v>594</v>
      </c>
      <c r="D1331" s="2" t="str">
        <f t="shared" si="19"/>
        <v>Error?</v>
      </c>
    </row>
    <row r="1332" spans="1:4" x14ac:dyDescent="0.2">
      <c r="A1332" s="5">
        <v>1271</v>
      </c>
      <c r="B1332" s="138">
        <f>'Expenditures 15-22'!K174</f>
        <v>290366</v>
      </c>
      <c r="C1332" s="2" t="s">
        <v>594</v>
      </c>
      <c r="D1332" s="2" t="str">
        <f t="shared" si="19"/>
        <v>Error?</v>
      </c>
    </row>
    <row r="1333" spans="1:4" x14ac:dyDescent="0.2">
      <c r="A1333" s="5">
        <v>1272</v>
      </c>
      <c r="B1333" s="138">
        <f>'Expenditures 15-22'!K175</f>
        <v>121554</v>
      </c>
      <c r="C1333" s="2" t="s">
        <v>594</v>
      </c>
      <c r="D1333" s="2" t="str">
        <f t="shared" si="19"/>
        <v>Error?</v>
      </c>
    </row>
    <row r="1334" spans="1:4" x14ac:dyDescent="0.2">
      <c r="A1334" s="10">
        <v>1273</v>
      </c>
      <c r="D1334" s="2" t="str">
        <f t="shared" si="19"/>
        <v>OK</v>
      </c>
    </row>
    <row r="1335" spans="1:4" x14ac:dyDescent="0.2">
      <c r="A1335" s="5">
        <v>1274</v>
      </c>
      <c r="B1335" s="138">
        <f>'Expenditures 15-22'!C182</f>
        <v>242025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242025</v>
      </c>
      <c r="C1339" s="2" t="s">
        <v>594</v>
      </c>
      <c r="D1339" s="2" t="str">
        <f t="shared" si="19"/>
        <v>Error?</v>
      </c>
    </row>
    <row r="1340" spans="1:4" x14ac:dyDescent="0.2">
      <c r="A1340" s="5">
        <v>1279</v>
      </c>
      <c r="B1340" s="138">
        <f>'Expenditures 15-22'!C210</f>
        <v>242025</v>
      </c>
      <c r="C1340" s="2" t="s">
        <v>594</v>
      </c>
      <c r="D1340" s="2" t="str">
        <f t="shared" si="19"/>
        <v>Error?</v>
      </c>
    </row>
    <row r="1341" spans="1:4" x14ac:dyDescent="0.2">
      <c r="A1341" s="5">
        <v>1280</v>
      </c>
      <c r="B1341" s="138">
        <f>'Expenditures 15-22'!D182</f>
        <v>10107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10107</v>
      </c>
      <c r="C1345" s="2" t="s">
        <v>594</v>
      </c>
      <c r="D1345" s="2" t="str">
        <f t="shared" si="20"/>
        <v>Error?</v>
      </c>
    </row>
    <row r="1346" spans="1:4" x14ac:dyDescent="0.2">
      <c r="A1346" s="5">
        <v>1285</v>
      </c>
      <c r="B1346" s="138">
        <f>'Expenditures 15-22'!D210</f>
        <v>10107</v>
      </c>
      <c r="C1346" s="2" t="s">
        <v>594</v>
      </c>
      <c r="D1346" s="2" t="str">
        <f t="shared" si="20"/>
        <v>Error?</v>
      </c>
    </row>
    <row r="1347" spans="1:4" x14ac:dyDescent="0.2">
      <c r="A1347" s="5">
        <v>1286</v>
      </c>
      <c r="B1347" s="138">
        <f>'Expenditures 15-22'!E182</f>
        <v>44773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44773</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44773</v>
      </c>
      <c r="C1353" s="2" t="s">
        <v>594</v>
      </c>
      <c r="D1353" s="2" t="str">
        <f t="shared" si="20"/>
        <v>Error?</v>
      </c>
    </row>
    <row r="1354" spans="1:4" x14ac:dyDescent="0.2">
      <c r="A1354" s="5">
        <v>1293</v>
      </c>
      <c r="B1354" s="138">
        <f>'Expenditures 15-22'!F182</f>
        <v>77491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77491</v>
      </c>
      <c r="C1358" s="2" t="s">
        <v>594</v>
      </c>
      <c r="D1358" s="2" t="str">
        <f t="shared" si="20"/>
        <v>Error?</v>
      </c>
    </row>
    <row r="1359" spans="1:4" x14ac:dyDescent="0.2">
      <c r="A1359" s="5">
        <v>1298</v>
      </c>
      <c r="B1359" s="138">
        <f>'Expenditures 15-22'!F210</f>
        <v>77491</v>
      </c>
      <c r="C1359" s="2" t="s">
        <v>594</v>
      </c>
      <c r="D1359" s="2" t="str">
        <f t="shared" si="20"/>
        <v>Error?</v>
      </c>
    </row>
    <row r="1360" spans="1:4" x14ac:dyDescent="0.2">
      <c r="A1360" s="5">
        <v>1299</v>
      </c>
      <c r="B1360" s="138">
        <f>'Expenditures 15-22'!G182</f>
        <v>79393</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79393</v>
      </c>
      <c r="C1364" s="2" t="s">
        <v>594</v>
      </c>
      <c r="D1364" s="2" t="str">
        <f t="shared" si="20"/>
        <v>Error?</v>
      </c>
    </row>
    <row r="1365" spans="1:4" x14ac:dyDescent="0.2">
      <c r="A1365" s="5">
        <v>1304</v>
      </c>
      <c r="B1365" s="138">
        <f>'Expenditures 15-22'!G210</f>
        <v>79393</v>
      </c>
      <c r="C1365" s="2" t="s">
        <v>594</v>
      </c>
      <c r="D1365" s="2" t="str">
        <f t="shared" si="20"/>
        <v>Error?</v>
      </c>
    </row>
    <row r="1366" spans="1:4" x14ac:dyDescent="0.2">
      <c r="A1366" s="5">
        <v>1305</v>
      </c>
      <c r="B1366" s="138">
        <f>'Expenditures 15-22'!H182</f>
        <v>140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140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140</v>
      </c>
      <c r="C1376" s="2" t="s">
        <v>594</v>
      </c>
      <c r="D1376" s="2" t="str">
        <f t="shared" si="20"/>
        <v>Error?</v>
      </c>
    </row>
    <row r="1377" spans="1:4" x14ac:dyDescent="0.2">
      <c r="A1377" s="5">
        <v>1316</v>
      </c>
      <c r="B1377" s="138">
        <f>'Expenditures 15-22'!K182</f>
        <v>453929</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453929</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453929</v>
      </c>
      <c r="C1388" s="2" t="s">
        <v>594</v>
      </c>
      <c r="D1388" s="2" t="str">
        <f t="shared" si="20"/>
        <v>Error?</v>
      </c>
    </row>
    <row r="1389" spans="1:4" x14ac:dyDescent="0.2">
      <c r="A1389" s="5">
        <v>1328</v>
      </c>
      <c r="B1389" s="138">
        <f>'Expenditures 15-22'!K211</f>
        <v>40555</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3672</v>
      </c>
      <c r="D1407" s="2" t="str">
        <f t="shared" ref="D1407:D1470" si="21">IF(ISBLANK(B1407),"OK",IF(A1407-B1407=0,"OK","Error?"))</f>
        <v>Error?</v>
      </c>
    </row>
    <row r="1408" spans="1:4" x14ac:dyDescent="0.2">
      <c r="A1408" s="5">
        <v>1347</v>
      </c>
      <c r="B1408" s="138">
        <f>'Expenditures 15-22'!D223</f>
        <v>4185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110478</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1484</v>
      </c>
      <c r="D1412" s="2" t="str">
        <f t="shared" si="21"/>
        <v>Error?</v>
      </c>
    </row>
    <row r="1413" spans="1:4" x14ac:dyDescent="0.2">
      <c r="A1413" s="5">
        <v>1352</v>
      </c>
      <c r="B1413" s="138">
        <f>'Expenditures 15-22'!D234</f>
        <v>5534</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7018</v>
      </c>
      <c r="C1417" s="2" t="s">
        <v>594</v>
      </c>
      <c r="D1417" s="2" t="str">
        <f t="shared" si="21"/>
        <v>Error?</v>
      </c>
    </row>
    <row r="1418" spans="1:4" x14ac:dyDescent="0.2">
      <c r="A1418" s="5">
        <v>1357</v>
      </c>
      <c r="B1418" s="138">
        <f>'Expenditures 15-22'!D240</f>
        <v>11</v>
      </c>
      <c r="D1418" s="2" t="str">
        <f t="shared" si="21"/>
        <v>Error?</v>
      </c>
    </row>
    <row r="1419" spans="1:4" x14ac:dyDescent="0.2">
      <c r="A1419" s="5">
        <v>1358</v>
      </c>
      <c r="B1419" s="138">
        <f>'Expenditures 15-22'!D241</f>
        <v>2855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2866</v>
      </c>
      <c r="C1421" s="2" t="s">
        <v>594</v>
      </c>
      <c r="D1421" s="2" t="str">
        <f t="shared" si="21"/>
        <v>Error?</v>
      </c>
    </row>
    <row r="1422" spans="1:4" x14ac:dyDescent="0.2">
      <c r="A1422" s="5">
        <v>1361</v>
      </c>
      <c r="B1422" s="138">
        <f>'Expenditures 15-22'!D245</f>
        <v>2395</v>
      </c>
      <c r="D1422" s="2" t="str">
        <f t="shared" si="21"/>
        <v>Error?</v>
      </c>
    </row>
    <row r="1423" spans="1:4" x14ac:dyDescent="0.2">
      <c r="A1423" s="5">
        <v>1362</v>
      </c>
      <c r="B1423" s="138">
        <f>'Expenditures 15-22'!D246</f>
        <v>4336</v>
      </c>
      <c r="D1423" s="2" t="str">
        <f t="shared" si="21"/>
        <v>Error?</v>
      </c>
    </row>
    <row r="1424" spans="1:4" x14ac:dyDescent="0.2">
      <c r="A1424" s="5">
        <v>1363</v>
      </c>
      <c r="B1424" s="138">
        <f>'Expenditures 15-22'!D257</f>
        <v>6731</v>
      </c>
      <c r="C1424" s="2" t="s">
        <v>594</v>
      </c>
      <c r="D1424" s="2" t="str">
        <f t="shared" si="21"/>
        <v>Error?</v>
      </c>
    </row>
    <row r="1425" spans="1:4" x14ac:dyDescent="0.2">
      <c r="A1425" s="5">
        <v>1364</v>
      </c>
      <c r="B1425" s="138">
        <f>'Expenditures 15-22'!D259</f>
        <v>27206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27206</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16382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62963</v>
      </c>
      <c r="D1431" s="2" t="str">
        <f t="shared" si="21"/>
        <v>Error?</v>
      </c>
    </row>
    <row r="1432" spans="1:4" x14ac:dyDescent="0.2">
      <c r="A1432" s="5">
        <v>1371</v>
      </c>
      <c r="B1432" s="138">
        <f>'Expenditures 15-22'!D267</f>
        <v>37060</v>
      </c>
      <c r="D1432" s="2" t="str">
        <f t="shared" si="21"/>
        <v>Error?</v>
      </c>
    </row>
    <row r="1433" spans="1:4" x14ac:dyDescent="0.2">
      <c r="A1433" s="5">
        <v>1372</v>
      </c>
      <c r="B1433" s="138">
        <f>'Expenditures 15-22'!D268</f>
        <v>32675</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149080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192901</v>
      </c>
      <c r="C1446" s="2" t="s">
        <v>594</v>
      </c>
      <c r="D1446" s="2" t="str">
        <f t="shared" si="21"/>
        <v>Error?</v>
      </c>
    </row>
    <row r="1447" spans="1:4" x14ac:dyDescent="0.2">
      <c r="A1447" s="5">
        <v>1386</v>
      </c>
      <c r="B1447" s="138">
        <f>'Expenditures 15-22'!D280</f>
        <v>66</v>
      </c>
      <c r="D1447" s="2" t="str">
        <f t="shared" si="21"/>
        <v>Error?</v>
      </c>
    </row>
    <row r="1448" spans="1:4" x14ac:dyDescent="0.2">
      <c r="A1448" s="5">
        <v>1387</v>
      </c>
      <c r="B1448" s="138">
        <f>'Expenditures 15-22'!D295</f>
        <v>303445</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3672</v>
      </c>
      <c r="C1471" s="2" t="s">
        <v>594</v>
      </c>
      <c r="D1471" s="2" t="str">
        <f t="shared" ref="D1471:D1534" si="22">IF(ISBLANK(B1471),"OK",IF(A1471-B1471=0,"OK","Error?"))</f>
        <v>Error?</v>
      </c>
    </row>
    <row r="1472" spans="1:4" x14ac:dyDescent="0.2">
      <c r="A1472" s="5">
        <v>1411</v>
      </c>
      <c r="B1472" s="138">
        <f>'Expenditures 15-22'!K223</f>
        <v>4185</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110478</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1484</v>
      </c>
      <c r="C1476" s="2" t="s">
        <v>594</v>
      </c>
      <c r="D1476" s="2" t="str">
        <f t="shared" si="22"/>
        <v>Error?</v>
      </c>
    </row>
    <row r="1477" spans="1:4" x14ac:dyDescent="0.2">
      <c r="A1477" s="5">
        <v>1416</v>
      </c>
      <c r="B1477" s="138">
        <f>'Expenditures 15-22'!K234</f>
        <v>5534</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7018</v>
      </c>
      <c r="C1481" s="2" t="s">
        <v>594</v>
      </c>
      <c r="D1481" s="2" t="str">
        <f t="shared" si="22"/>
        <v>Error?</v>
      </c>
    </row>
    <row r="1482" spans="1:4" x14ac:dyDescent="0.2">
      <c r="A1482" s="5">
        <v>1421</v>
      </c>
      <c r="B1482" s="138">
        <f>'Expenditures 15-22'!K240</f>
        <v>11</v>
      </c>
      <c r="C1482" s="2" t="s">
        <v>594</v>
      </c>
      <c r="D1482" s="2" t="str">
        <f t="shared" si="22"/>
        <v>Error?</v>
      </c>
    </row>
    <row r="1483" spans="1:4" x14ac:dyDescent="0.2">
      <c r="A1483" s="5">
        <v>1422</v>
      </c>
      <c r="B1483" s="138">
        <f>'Expenditures 15-22'!K241</f>
        <v>2855</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2866</v>
      </c>
      <c r="C1485" s="2" t="s">
        <v>594</v>
      </c>
      <c r="D1485" s="2" t="str">
        <f t="shared" si="22"/>
        <v>Error?</v>
      </c>
    </row>
    <row r="1486" spans="1:4" x14ac:dyDescent="0.2">
      <c r="A1486" s="5">
        <v>1425</v>
      </c>
      <c r="B1486" s="138">
        <f>'Expenditures 15-22'!K245</f>
        <v>2395</v>
      </c>
      <c r="C1486" s="2" t="s">
        <v>594</v>
      </c>
      <c r="D1486" s="2" t="str">
        <f t="shared" si="22"/>
        <v>Error?</v>
      </c>
    </row>
    <row r="1487" spans="1:4" x14ac:dyDescent="0.2">
      <c r="A1487" s="5">
        <v>1426</v>
      </c>
      <c r="B1487" s="138">
        <f>'Expenditures 15-22'!K246</f>
        <v>4336</v>
      </c>
      <c r="C1487" s="2" t="s">
        <v>594</v>
      </c>
      <c r="D1487" s="2" t="str">
        <f t="shared" si="22"/>
        <v>Error?</v>
      </c>
    </row>
    <row r="1488" spans="1:4" x14ac:dyDescent="0.2">
      <c r="A1488" s="5">
        <v>1427</v>
      </c>
      <c r="B1488" s="138">
        <f>'Expenditures 15-22'!K257</f>
        <v>6731</v>
      </c>
      <c r="C1488" s="2" t="s">
        <v>594</v>
      </c>
      <c r="D1488" s="2" t="str">
        <f t="shared" si="22"/>
        <v>Error?</v>
      </c>
    </row>
    <row r="1489" spans="1:4" x14ac:dyDescent="0.2">
      <c r="A1489" s="5">
        <v>1428</v>
      </c>
      <c r="B1489" s="138">
        <f>'Expenditures 15-22'!K259</f>
        <v>27206</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27206</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16382</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62963</v>
      </c>
      <c r="C1495" s="2" t="s">
        <v>594</v>
      </c>
      <c r="D1495" s="2" t="str">
        <f t="shared" si="22"/>
        <v>Error?</v>
      </c>
    </row>
    <row r="1496" spans="1:4" x14ac:dyDescent="0.2">
      <c r="A1496" s="5">
        <v>1435</v>
      </c>
      <c r="B1496" s="138">
        <f>'Expenditures 15-22'!K267</f>
        <v>37060</v>
      </c>
      <c r="C1496" s="2" t="s">
        <v>594</v>
      </c>
      <c r="D1496" s="2" t="str">
        <f t="shared" si="22"/>
        <v>Error?</v>
      </c>
    </row>
    <row r="1497" spans="1:4" x14ac:dyDescent="0.2">
      <c r="A1497" s="5">
        <v>1436</v>
      </c>
      <c r="B1497" s="138">
        <f>'Expenditures 15-22'!K268</f>
        <v>32675</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149080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192901</v>
      </c>
      <c r="C1510" s="2" t="s">
        <v>594</v>
      </c>
      <c r="D1510" s="2" t="str">
        <f t="shared" si="22"/>
        <v>Error?</v>
      </c>
    </row>
    <row r="1511" spans="1:4" x14ac:dyDescent="0.2">
      <c r="A1511" s="5">
        <v>1450</v>
      </c>
      <c r="B1511" s="138">
        <f>'Expenditures 15-22'!K280</f>
        <v>66</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303445</v>
      </c>
      <c r="C1517" s="2" t="s">
        <v>594</v>
      </c>
      <c r="D1517" s="2" t="str">
        <f t="shared" si="22"/>
        <v>Error?</v>
      </c>
    </row>
    <row r="1518" spans="1:4" x14ac:dyDescent="0.2">
      <c r="A1518" s="5">
        <v>1457</v>
      </c>
      <c r="B1518" s="138">
        <f>'Expenditures 15-22'!K296</f>
        <v>-159547</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884008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884008</v>
      </c>
      <c r="C1547" s="2" t="s">
        <v>594</v>
      </c>
      <c r="D1547" s="2" t="str">
        <f t="shared" si="23"/>
        <v>Error?</v>
      </c>
    </row>
    <row r="1548" spans="1:4" x14ac:dyDescent="0.2">
      <c r="A1548" s="5">
        <v>1487</v>
      </c>
      <c r="B1548" s="138">
        <f>'Expenditures 15-22'!G312</f>
        <v>884008</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884008</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884008</v>
      </c>
      <c r="C1559" s="2" t="s">
        <v>594</v>
      </c>
      <c r="D1559" s="2" t="str">
        <f t="shared" si="23"/>
        <v>Error?</v>
      </c>
    </row>
    <row r="1560" spans="1:4" x14ac:dyDescent="0.2">
      <c r="A1560" s="5">
        <v>1499</v>
      </c>
      <c r="B1560" s="138">
        <f>'Expenditures 15-22'!K312</f>
        <v>884008</v>
      </c>
      <c r="C1560" s="2" t="s">
        <v>594</v>
      </c>
      <c r="D1560" s="2" t="str">
        <f t="shared" si="23"/>
        <v>Error?</v>
      </c>
    </row>
    <row r="1561" spans="1:4" x14ac:dyDescent="0.2">
      <c r="A1561" s="5">
        <v>1500</v>
      </c>
      <c r="B1561" s="138">
        <f>'Expenditures 15-22'!K313</f>
        <v>-757285</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516438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1014932</v>
      </c>
      <c r="C1630" s="2" t="s">
        <v>594</v>
      </c>
      <c r="D1630" s="2" t="str">
        <f t="shared" si="24"/>
        <v>Error?</v>
      </c>
    </row>
    <row r="1631" spans="1:4" x14ac:dyDescent="0.2">
      <c r="A1631" s="5">
        <v>1570</v>
      </c>
      <c r="B1631" s="138">
        <f>'Acct Summary 7-8'!D79</f>
        <v>162142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110025</v>
      </c>
      <c r="C1644" s="2" t="s">
        <v>594</v>
      </c>
      <c r="D1644" s="2" t="str">
        <f t="shared" si="24"/>
        <v>Error?</v>
      </c>
    </row>
    <row r="1645" spans="1:4" x14ac:dyDescent="0.2">
      <c r="A1645" s="5">
        <v>1584</v>
      </c>
      <c r="B1645" s="138">
        <f>'Acct Summary 7-8'!E79</f>
        <v>235972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227526</v>
      </c>
      <c r="C1658" s="2" t="s">
        <v>594</v>
      </c>
      <c r="D1658" s="2" t="str">
        <f t="shared" si="24"/>
        <v>Error?</v>
      </c>
    </row>
    <row r="1659" spans="1:4" x14ac:dyDescent="0.2">
      <c r="A1659" s="5">
        <v>1598</v>
      </c>
      <c r="B1659" s="138">
        <f>'Acct Summary 7-8'!F79</f>
        <v>619403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659958</v>
      </c>
      <c r="C1672" s="2" t="s">
        <v>594</v>
      </c>
      <c r="D1672" s="2" t="str">
        <f t="shared" si="25"/>
        <v>Error?</v>
      </c>
    </row>
    <row r="1673" spans="1:4" x14ac:dyDescent="0.2">
      <c r="A1673" s="5">
        <v>1612</v>
      </c>
      <c r="B1673" s="138">
        <f>'Acct Summary 7-8'!G79</f>
        <v>347298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187751</v>
      </c>
      <c r="C1686" s="2" t="s">
        <v>594</v>
      </c>
      <c r="D1686" s="2" t="str">
        <f t="shared" si="25"/>
        <v>Error?</v>
      </c>
    </row>
    <row r="1687" spans="1:4" x14ac:dyDescent="0.2">
      <c r="A1687" s="5">
        <v>1626</v>
      </c>
      <c r="B1687" s="138">
        <f>'Acct Summary 7-8'!H79</f>
        <v>1016142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258857</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2110184</v>
      </c>
      <c r="C1744" s="2" t="s">
        <v>594</v>
      </c>
      <c r="D1744" s="2" t="str">
        <f t="shared" si="26"/>
        <v>Error?</v>
      </c>
    </row>
    <row r="1745" spans="1:5" x14ac:dyDescent="0.2">
      <c r="A1745" s="5">
        <v>1684</v>
      </c>
      <c r="B1745" s="138">
        <f>'Tax Sched 23'!B5</f>
        <v>484596</v>
      </c>
      <c r="C1745" s="2" t="s">
        <v>594</v>
      </c>
      <c r="D1745" s="2" t="str">
        <f t="shared" si="26"/>
        <v>Error?</v>
      </c>
    </row>
    <row r="1746" spans="1:5" x14ac:dyDescent="0.2">
      <c r="A1746" s="5">
        <v>1685</v>
      </c>
      <c r="B1746" s="138">
        <f>'Tax Sched 23'!B6</f>
        <v>247446</v>
      </c>
      <c r="C1746" s="2" t="s">
        <v>594</v>
      </c>
      <c r="D1746" s="2" t="str">
        <f t="shared" si="26"/>
        <v>Error?</v>
      </c>
    </row>
    <row r="1747" spans="1:5" x14ac:dyDescent="0.2">
      <c r="A1747" s="5">
        <v>1686</v>
      </c>
      <c r="B1747" s="138">
        <f>'Tax Sched 23'!B7</f>
        <v>225400</v>
      </c>
      <c r="C1747" s="2" t="s">
        <v>594</v>
      </c>
      <c r="D1747" s="2" t="str">
        <f t="shared" si="26"/>
        <v>Error?</v>
      </c>
    </row>
    <row r="1748" spans="1:5" x14ac:dyDescent="0.2">
      <c r="A1748" s="5">
        <v>1687</v>
      </c>
      <c r="B1748" s="138">
        <f>'Tax Sched 23'!B8</f>
        <v>1008</v>
      </c>
      <c r="C1748" s="2" t="s">
        <v>594</v>
      </c>
      <c r="D1748" s="2" t="str">
        <f t="shared" si="26"/>
        <v>Error?</v>
      </c>
    </row>
    <row r="1749" spans="1:5" x14ac:dyDescent="0.2">
      <c r="A1749" s="5">
        <v>1688</v>
      </c>
      <c r="B1749" s="138">
        <f>'Tax Sched 23'!B10</f>
        <v>48999</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211779</v>
      </c>
      <c r="C1752" s="2" t="s">
        <v>594</v>
      </c>
      <c r="D1752" s="2" t="str">
        <f t="shared" si="26"/>
        <v>Error?</v>
      </c>
    </row>
    <row r="1753" spans="1:5" x14ac:dyDescent="0.2">
      <c r="A1753" s="5">
        <v>1692</v>
      </c>
      <c r="B1753" s="138">
        <f>'Tax Sched 23'!B12</f>
        <v>48996</v>
      </c>
      <c r="C1753" s="2" t="s">
        <v>594</v>
      </c>
      <c r="D1753" s="2" t="str">
        <f t="shared" si="26"/>
        <v>Error?</v>
      </c>
    </row>
    <row r="1754" spans="1:5" x14ac:dyDescent="0.2">
      <c r="A1754" s="5">
        <v>1693</v>
      </c>
      <c r="B1754" s="138">
        <f>'Tax Sched 23'!B14</f>
        <v>38679</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3548878</v>
      </c>
      <c r="C1759" s="2" t="s">
        <v>594</v>
      </c>
      <c r="D1759" s="2" t="str">
        <f t="shared" si="26"/>
        <v>Error?</v>
      </c>
    </row>
    <row r="1760" spans="1:5" x14ac:dyDescent="0.2">
      <c r="A1760" s="5">
        <v>1699</v>
      </c>
      <c r="B1760" s="138">
        <f>'Tax Sched 23'!D4</f>
        <v>2089405</v>
      </c>
      <c r="C1760" s="2" t="s">
        <v>594</v>
      </c>
      <c r="D1760" s="2" t="str">
        <f t="shared" si="26"/>
        <v>Error?</v>
      </c>
    </row>
    <row r="1761" spans="1:5" x14ac:dyDescent="0.2">
      <c r="A1761" s="5">
        <v>1700</v>
      </c>
      <c r="B1761" s="138">
        <f>'Tax Sched 23'!D5</f>
        <v>479824</v>
      </c>
      <c r="C1761" s="2" t="s">
        <v>594</v>
      </c>
      <c r="D1761" s="2" t="str">
        <f t="shared" si="26"/>
        <v>Error?</v>
      </c>
    </row>
    <row r="1762" spans="1:5" s="8" customFormat="1" x14ac:dyDescent="0.2">
      <c r="A1762" s="5">
        <v>1701</v>
      </c>
      <c r="B1762" s="138">
        <f>'Tax Sched 23'!D6</f>
        <v>245009</v>
      </c>
      <c r="C1762" s="2" t="s">
        <v>594</v>
      </c>
      <c r="D1762" s="2" t="str">
        <f t="shared" si="26"/>
        <v>Error?</v>
      </c>
      <c r="E1762" s="9"/>
    </row>
    <row r="1763" spans="1:5" x14ac:dyDescent="0.2">
      <c r="A1763" s="5">
        <v>1702</v>
      </c>
      <c r="B1763" s="138">
        <f>'Tax Sched 23'!D7</f>
        <v>223181</v>
      </c>
      <c r="C1763" s="2" t="s">
        <v>594</v>
      </c>
      <c r="D1763" s="2" t="str">
        <f t="shared" si="26"/>
        <v>Error?</v>
      </c>
    </row>
    <row r="1764" spans="1:5" x14ac:dyDescent="0.2">
      <c r="A1764" s="5">
        <v>1703</v>
      </c>
      <c r="B1764" s="138">
        <f>'Tax Sched 23'!D8</f>
        <v>998</v>
      </c>
      <c r="C1764" s="2" t="s">
        <v>594</v>
      </c>
      <c r="D1764" s="2" t="str">
        <f t="shared" si="26"/>
        <v>Error?</v>
      </c>
    </row>
    <row r="1765" spans="1:5" x14ac:dyDescent="0.2">
      <c r="A1765" s="5">
        <v>1704</v>
      </c>
      <c r="B1765" s="138">
        <f>'Tax Sched 23'!D10</f>
        <v>48517</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209694</v>
      </c>
      <c r="C1768" s="2" t="s">
        <v>594</v>
      </c>
      <c r="D1768" s="2" t="str">
        <f t="shared" si="26"/>
        <v>Error?</v>
      </c>
    </row>
    <row r="1769" spans="1:5" x14ac:dyDescent="0.2">
      <c r="A1769" s="5">
        <v>1708</v>
      </c>
      <c r="B1769" s="138">
        <f>'Tax Sched 23'!D12</f>
        <v>48514</v>
      </c>
      <c r="C1769" s="2" t="s">
        <v>594</v>
      </c>
      <c r="D1769" s="2" t="str">
        <f t="shared" si="26"/>
        <v>Error?</v>
      </c>
    </row>
    <row r="1770" spans="1:5" x14ac:dyDescent="0.2">
      <c r="A1770" s="5">
        <v>1709</v>
      </c>
      <c r="B1770" s="138">
        <f>'Tax Sched 23'!D14</f>
        <v>38298</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3513933</v>
      </c>
      <c r="C1775" s="2" t="s">
        <v>594</v>
      </c>
      <c r="D1775" s="2" t="str">
        <f t="shared" si="26"/>
        <v>Error?</v>
      </c>
    </row>
    <row r="1776" spans="1:5" x14ac:dyDescent="0.2">
      <c r="A1776" s="5">
        <v>1715</v>
      </c>
      <c r="B1776" s="138">
        <f>'Tax Sched 23'!C4</f>
        <v>20779</v>
      </c>
      <c r="D1776" s="2" t="str">
        <f t="shared" si="26"/>
        <v>Error?</v>
      </c>
    </row>
    <row r="1777" spans="1:4" x14ac:dyDescent="0.2">
      <c r="A1777" s="5">
        <v>1716</v>
      </c>
      <c r="B1777" s="138">
        <f>'Tax Sched 23'!C5</f>
        <v>4772</v>
      </c>
      <c r="D1777" s="2" t="str">
        <f t="shared" si="26"/>
        <v>Error?</v>
      </c>
    </row>
    <row r="1778" spans="1:4" x14ac:dyDescent="0.2">
      <c r="A1778" s="5">
        <v>1717</v>
      </c>
      <c r="B1778" s="138">
        <f>'Tax Sched 23'!C6</f>
        <v>2437</v>
      </c>
      <c r="D1778" s="2" t="str">
        <f t="shared" si="26"/>
        <v>Error?</v>
      </c>
    </row>
    <row r="1779" spans="1:4" x14ac:dyDescent="0.2">
      <c r="A1779" s="5">
        <v>1718</v>
      </c>
      <c r="B1779" s="138">
        <f>'Tax Sched 23'!C7</f>
        <v>2219</v>
      </c>
      <c r="D1779" s="2" t="str">
        <f t="shared" si="26"/>
        <v>Error?</v>
      </c>
    </row>
    <row r="1780" spans="1:4" x14ac:dyDescent="0.2">
      <c r="A1780" s="5">
        <v>1719</v>
      </c>
      <c r="B1780" s="138">
        <f>'Tax Sched 23'!C8</f>
        <v>10</v>
      </c>
      <c r="D1780" s="2" t="str">
        <f t="shared" si="26"/>
        <v>Error?</v>
      </c>
    </row>
    <row r="1781" spans="1:4" x14ac:dyDescent="0.2">
      <c r="A1781" s="5">
        <v>1720</v>
      </c>
      <c r="B1781" s="138">
        <f>'Tax Sched 23'!C10</f>
        <v>482</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2085</v>
      </c>
      <c r="D1784" s="2" t="str">
        <f t="shared" si="26"/>
        <v>Error?</v>
      </c>
    </row>
    <row r="1785" spans="1:4" x14ac:dyDescent="0.2">
      <c r="A1785" s="5">
        <v>1724</v>
      </c>
      <c r="B1785" s="138">
        <f>'Tax Sched 23'!C12</f>
        <v>482</v>
      </c>
      <c r="D1785" s="2" t="str">
        <f t="shared" si="26"/>
        <v>Error?</v>
      </c>
    </row>
    <row r="1786" spans="1:4" x14ac:dyDescent="0.2">
      <c r="A1786" s="5">
        <v>1725</v>
      </c>
      <c r="B1786" s="138">
        <f>'Tax Sched 23'!C14</f>
        <v>381</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34945</v>
      </c>
      <c r="C1791" s="2" t="s">
        <v>594</v>
      </c>
      <c r="D1791" s="2" t="str">
        <f t="shared" ref="D1791:D1854" si="27">IF(ISBLANK(B1791),"OK",IF(A1791-B1791=0,"OK","Error?"))</f>
        <v>Error?</v>
      </c>
    </row>
    <row r="1792" spans="1:4" x14ac:dyDescent="0.2">
      <c r="A1792" s="5">
        <v>1731</v>
      </c>
      <c r="B1792" s="138">
        <f>'Tax Sched 23'!F4</f>
        <v>2159579</v>
      </c>
      <c r="C1792" s="2" t="s">
        <v>594</v>
      </c>
      <c r="D1792" s="2" t="str">
        <f t="shared" si="27"/>
        <v>Error?</v>
      </c>
    </row>
    <row r="1793" spans="1:4" x14ac:dyDescent="0.2">
      <c r="A1793" s="5">
        <v>1732</v>
      </c>
      <c r="B1793" s="138">
        <f>'Tax Sched 23'!F5</f>
        <v>479218</v>
      </c>
      <c r="C1793" s="2" t="s">
        <v>594</v>
      </c>
      <c r="D1793" s="2" t="str">
        <f t="shared" si="27"/>
        <v>Error?</v>
      </c>
    </row>
    <row r="1794" spans="1:4" x14ac:dyDescent="0.2">
      <c r="A1794" s="5">
        <v>1733</v>
      </c>
      <c r="B1794" s="138">
        <f>'Tax Sched 23'!F6</f>
        <v>150371</v>
      </c>
      <c r="C1794" s="2" t="s">
        <v>594</v>
      </c>
      <c r="D1794" s="2" t="str">
        <f t="shared" si="27"/>
        <v>Error?</v>
      </c>
    </row>
    <row r="1795" spans="1:4" x14ac:dyDescent="0.2">
      <c r="A1795" s="5">
        <v>1734</v>
      </c>
      <c r="B1795" s="138">
        <f>'Tax Sched 23'!F7</f>
        <v>218688</v>
      </c>
      <c r="C1795" s="2" t="s">
        <v>594</v>
      </c>
      <c r="D1795" s="2" t="str">
        <f t="shared" si="27"/>
        <v>Error?</v>
      </c>
    </row>
    <row r="1796" spans="1:4" x14ac:dyDescent="0.2">
      <c r="A1796" s="5">
        <v>1735</v>
      </c>
      <c r="B1796" s="138">
        <f>'Tax Sched 23'!F8</f>
        <v>1022</v>
      </c>
      <c r="C1796" s="2" t="s">
        <v>594</v>
      </c>
      <c r="D1796" s="2" t="str">
        <f t="shared" si="27"/>
        <v>Error?</v>
      </c>
    </row>
    <row r="1797" spans="1:4" x14ac:dyDescent="0.2">
      <c r="A1797" s="5">
        <v>1736</v>
      </c>
      <c r="B1797" s="138">
        <f>'Tax Sched 23'!F10</f>
        <v>48481</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209451</v>
      </c>
      <c r="C1800" s="2" t="s">
        <v>594</v>
      </c>
      <c r="D1800" s="2" t="str">
        <f t="shared" si="27"/>
        <v>Error?</v>
      </c>
    </row>
    <row r="1801" spans="1:4" x14ac:dyDescent="0.2">
      <c r="A1801" s="5">
        <v>1740</v>
      </c>
      <c r="B1801" s="138">
        <f>'Tax Sched 23'!F12</f>
        <v>48481</v>
      </c>
      <c r="C1801" s="2" t="s">
        <v>594</v>
      </c>
      <c r="D1801" s="2" t="str">
        <f t="shared" si="27"/>
        <v>Error?</v>
      </c>
    </row>
    <row r="1802" spans="1:4" x14ac:dyDescent="0.2">
      <c r="A1802" s="5">
        <v>1741</v>
      </c>
      <c r="B1802" s="138">
        <f>'Tax Sched 23'!F14</f>
        <v>38278</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3567658</v>
      </c>
      <c r="C1807" s="2" t="s">
        <v>594</v>
      </c>
      <c r="D1807" s="2" t="str">
        <f t="shared" si="27"/>
        <v>Error?</v>
      </c>
    </row>
    <row r="1808" spans="1:4" x14ac:dyDescent="0.2">
      <c r="A1808" s="5">
        <v>1747</v>
      </c>
      <c r="B1808" s="138">
        <f>'Tax Sched 23'!E4</f>
        <v>2180358</v>
      </c>
      <c r="D1808" s="2" t="str">
        <f t="shared" si="27"/>
        <v>Error?</v>
      </c>
    </row>
    <row r="1809" spans="1:4" x14ac:dyDescent="0.2">
      <c r="A1809" s="5">
        <v>1748</v>
      </c>
      <c r="B1809" s="138">
        <f>'Tax Sched 23'!E5</f>
        <v>483990</v>
      </c>
      <c r="D1809" s="2" t="str">
        <f t="shared" si="27"/>
        <v>Error?</v>
      </c>
    </row>
    <row r="1810" spans="1:4" x14ac:dyDescent="0.2">
      <c r="A1810" s="5">
        <v>1749</v>
      </c>
      <c r="B1810" s="138">
        <f>'Tax Sched 23'!E6</f>
        <v>152808</v>
      </c>
      <c r="D1810" s="2" t="str">
        <f t="shared" si="27"/>
        <v>Error?</v>
      </c>
    </row>
    <row r="1811" spans="1:4" x14ac:dyDescent="0.2">
      <c r="A1811" s="5">
        <v>1750</v>
      </c>
      <c r="B1811" s="138">
        <f>'Tax Sched 23'!E7</f>
        <v>220907</v>
      </c>
      <c r="D1811" s="2" t="str">
        <f t="shared" si="27"/>
        <v>Error?</v>
      </c>
    </row>
    <row r="1812" spans="1:4" x14ac:dyDescent="0.2">
      <c r="A1812" s="5">
        <v>1751</v>
      </c>
      <c r="B1812" s="138">
        <f>'Tax Sched 23'!E8</f>
        <v>1032</v>
      </c>
      <c r="D1812" s="2" t="str">
        <f t="shared" si="27"/>
        <v>Error?</v>
      </c>
    </row>
    <row r="1813" spans="1:4" x14ac:dyDescent="0.2">
      <c r="A1813" s="5">
        <v>1752</v>
      </c>
      <c r="B1813" s="138">
        <f>'Tax Sched 23'!E10</f>
        <v>48963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211536</v>
      </c>
      <c r="D1816" s="2" t="str">
        <f t="shared" si="27"/>
        <v>Error?</v>
      </c>
    </row>
    <row r="1817" spans="1:4" x14ac:dyDescent="0.2">
      <c r="A1817" s="5">
        <v>1756</v>
      </c>
      <c r="B1817" s="138">
        <f>'Tax Sched 23'!E12</f>
        <v>48963</v>
      </c>
      <c r="D1817" s="2" t="str">
        <f t="shared" si="27"/>
        <v>Error?</v>
      </c>
    </row>
    <row r="1818" spans="1:4" x14ac:dyDescent="0.2">
      <c r="A1818" s="5">
        <v>1757</v>
      </c>
      <c r="B1818" s="138">
        <f>'Tax Sched 23'!E14</f>
        <v>38659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3602603</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4550000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38679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38679</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38679</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223421</v>
      </c>
      <c r="D2008" s="2" t="str">
        <f t="shared" si="30"/>
        <v>Error?</v>
      </c>
    </row>
    <row r="2009" spans="1:4" x14ac:dyDescent="0.2">
      <c r="A2009" s="5">
        <v>1948</v>
      </c>
      <c r="B2009" s="138">
        <f>'Cap Outlay Deprec 26'!C8</f>
        <v>12984453</v>
      </c>
      <c r="D2009" s="2" t="str">
        <f t="shared" si="30"/>
        <v>Error?</v>
      </c>
    </row>
    <row r="2010" spans="1:4" x14ac:dyDescent="0.2">
      <c r="A2010" s="5">
        <v>1949</v>
      </c>
      <c r="B2010" s="138">
        <f>'Cap Outlay Deprec 26'!C10</f>
        <v>773280</v>
      </c>
      <c r="D2010" s="2" t="str">
        <f t="shared" si="30"/>
        <v>Error?</v>
      </c>
    </row>
    <row r="2011" spans="1:4" x14ac:dyDescent="0.2">
      <c r="A2011" s="5">
        <v>1950</v>
      </c>
      <c r="B2011" s="138">
        <f>'Cap Outlay Deprec 26'!C12</f>
        <v>4623159</v>
      </c>
      <c r="D2011" s="2" t="str">
        <f t="shared" si="30"/>
        <v>Error?</v>
      </c>
    </row>
    <row r="2012" spans="1:4" x14ac:dyDescent="0.2">
      <c r="A2012" s="5">
        <v>1951</v>
      </c>
      <c r="B2012" s="138">
        <f>'Cap Outlay Deprec 26'!C13</f>
        <v>1708221</v>
      </c>
      <c r="D2012" s="2" t="str">
        <f t="shared" si="30"/>
        <v>Error?</v>
      </c>
    </row>
    <row r="2013" spans="1:4" x14ac:dyDescent="0.2">
      <c r="A2013" s="5">
        <v>1952</v>
      </c>
      <c r="B2013" s="138">
        <f>'Cap Outlay Deprec 26'!C16</f>
        <v>20312534</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884009</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303569</v>
      </c>
      <c r="D2017" s="2" t="str">
        <f t="shared" si="30"/>
        <v>Error?</v>
      </c>
    </row>
    <row r="2018" spans="1:4" x14ac:dyDescent="0.2">
      <c r="A2018" s="5">
        <v>1957</v>
      </c>
      <c r="B2018" s="138">
        <f>'Cap Outlay Deprec 26'!D13</f>
        <v>79393</v>
      </c>
      <c r="D2018" s="2" t="str">
        <f t="shared" si="30"/>
        <v>Error?</v>
      </c>
    </row>
    <row r="2019" spans="1:4" x14ac:dyDescent="0.2">
      <c r="A2019" s="5">
        <v>1958</v>
      </c>
      <c r="B2019" s="138">
        <f>'Cap Outlay Deprec 26'!D16</f>
        <v>1266971</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121137</v>
      </c>
      <c r="D2024" s="2" t="str">
        <f t="shared" si="30"/>
        <v>Error?</v>
      </c>
    </row>
    <row r="2025" spans="1:4" x14ac:dyDescent="0.2">
      <c r="A2025" s="5">
        <v>1964</v>
      </c>
      <c r="B2025" s="138">
        <f>'Cap Outlay Deprec 26'!E16</f>
        <v>121137</v>
      </c>
      <c r="C2025" s="2" t="s">
        <v>594</v>
      </c>
      <c r="D2025" s="2" t="str">
        <f t="shared" si="30"/>
        <v>Error?</v>
      </c>
    </row>
    <row r="2026" spans="1:4" x14ac:dyDescent="0.2">
      <c r="A2026" s="5">
        <v>1965</v>
      </c>
      <c r="B2026" s="138">
        <f>'Cap Outlay Deprec 26'!F5</f>
        <v>223421</v>
      </c>
      <c r="C2026" s="2" t="s">
        <v>594</v>
      </c>
      <c r="D2026" s="2" t="str">
        <f t="shared" si="30"/>
        <v>Error?</v>
      </c>
    </row>
    <row r="2027" spans="1:4" x14ac:dyDescent="0.2">
      <c r="A2027" s="5">
        <v>1966</v>
      </c>
      <c r="B2027" s="138">
        <f>'Cap Outlay Deprec 26'!F8</f>
        <v>13868462</v>
      </c>
      <c r="C2027" s="2" t="s">
        <v>594</v>
      </c>
      <c r="D2027" s="2" t="str">
        <f t="shared" si="30"/>
        <v>Error?</v>
      </c>
    </row>
    <row r="2028" spans="1:4" x14ac:dyDescent="0.2">
      <c r="A2028" s="5">
        <v>1967</v>
      </c>
      <c r="B2028" s="138">
        <f>'Cap Outlay Deprec 26'!F10</f>
        <v>773280</v>
      </c>
      <c r="C2028" s="2" t="s">
        <v>594</v>
      </c>
      <c r="D2028" s="2" t="str">
        <f t="shared" si="30"/>
        <v>Error?</v>
      </c>
    </row>
    <row r="2029" spans="1:4" x14ac:dyDescent="0.2">
      <c r="A2029" s="5">
        <v>1968</v>
      </c>
      <c r="B2029" s="138">
        <f>'Cap Outlay Deprec 26'!F12</f>
        <v>4926728</v>
      </c>
      <c r="C2029" s="2" t="s">
        <v>594</v>
      </c>
      <c r="D2029" s="2" t="str">
        <f t="shared" si="30"/>
        <v>Error?</v>
      </c>
    </row>
    <row r="2030" spans="1:4" x14ac:dyDescent="0.2">
      <c r="A2030" s="5">
        <v>1969</v>
      </c>
      <c r="B2030" s="138">
        <f>'Cap Outlay Deprec 26'!F13</f>
        <v>1666477</v>
      </c>
      <c r="C2030" s="2" t="s">
        <v>594</v>
      </c>
      <c r="D2030" s="2" t="str">
        <f t="shared" si="30"/>
        <v>Error?</v>
      </c>
    </row>
    <row r="2031" spans="1:4" x14ac:dyDescent="0.2">
      <c r="A2031" s="5">
        <v>1970</v>
      </c>
      <c r="B2031" s="138">
        <f>'Cap Outlay Deprec 26'!F16</f>
        <v>21458368</v>
      </c>
      <c r="C2031" s="2" t="s">
        <v>594</v>
      </c>
      <c r="D2031" s="2" t="str">
        <f t="shared" si="30"/>
        <v>Error?</v>
      </c>
    </row>
    <row r="2032" spans="1:4" x14ac:dyDescent="0.2">
      <c r="A2032" s="10">
        <v>1971</v>
      </c>
      <c r="D2032" s="2" t="str">
        <f t="shared" si="30"/>
        <v>OK</v>
      </c>
    </row>
    <row r="2033" spans="1:4" x14ac:dyDescent="0.2">
      <c r="A2033" s="5">
        <v>1972</v>
      </c>
      <c r="B2033" s="138">
        <f>'Cap Outlay Deprec 26'!H8</f>
        <v>5328737</v>
      </c>
      <c r="D2033" s="2" t="str">
        <f t="shared" si="30"/>
        <v>Error?</v>
      </c>
    </row>
    <row r="2034" spans="1:4" x14ac:dyDescent="0.2">
      <c r="A2034" s="5">
        <v>1973</v>
      </c>
      <c r="B2034" s="138">
        <f>'Cap Outlay Deprec 26'!H10</f>
        <v>391675</v>
      </c>
      <c r="D2034" s="2" t="str">
        <f t="shared" si="30"/>
        <v>Error?</v>
      </c>
    </row>
    <row r="2035" spans="1:4" x14ac:dyDescent="0.2">
      <c r="A2035" s="5">
        <v>1974</v>
      </c>
      <c r="B2035" s="138">
        <f>'Cap Outlay Deprec 26'!H12</f>
        <v>3313772</v>
      </c>
      <c r="D2035" s="2" t="str">
        <f t="shared" si="30"/>
        <v>Error?</v>
      </c>
    </row>
    <row r="2036" spans="1:4" x14ac:dyDescent="0.2">
      <c r="A2036" s="5">
        <v>1975</v>
      </c>
      <c r="B2036" s="138">
        <f>'Cap Outlay Deprec 26'!H13</f>
        <v>1314164</v>
      </c>
      <c r="D2036" s="2" t="str">
        <f t="shared" si="30"/>
        <v>Error?</v>
      </c>
    </row>
    <row r="2037" spans="1:4" x14ac:dyDescent="0.2">
      <c r="A2037" s="5">
        <v>1976</v>
      </c>
      <c r="B2037" s="138">
        <f>'Cap Outlay Deprec 26'!H16</f>
        <v>10348348</v>
      </c>
      <c r="C2037" s="2" t="s">
        <v>594</v>
      </c>
      <c r="D2037" s="2" t="str">
        <f t="shared" si="30"/>
        <v>Error?</v>
      </c>
    </row>
    <row r="2038" spans="1:4" x14ac:dyDescent="0.2">
      <c r="A2038" s="10">
        <v>1977</v>
      </c>
      <c r="D2038" s="2" t="str">
        <f t="shared" si="30"/>
        <v>OK</v>
      </c>
    </row>
    <row r="2039" spans="1:4" x14ac:dyDescent="0.2">
      <c r="A2039" s="5">
        <v>1978</v>
      </c>
      <c r="B2039" s="138">
        <f>'Cap Outlay Deprec 26'!I8</f>
        <v>161954</v>
      </c>
      <c r="D2039" s="2" t="str">
        <f t="shared" si="30"/>
        <v>Error?</v>
      </c>
    </row>
    <row r="2040" spans="1:4" x14ac:dyDescent="0.2">
      <c r="A2040" s="5">
        <v>1979</v>
      </c>
      <c r="B2040" s="138">
        <f>'Cap Outlay Deprec 26'!I10</f>
        <v>19080</v>
      </c>
      <c r="D2040" s="2" t="str">
        <f t="shared" si="30"/>
        <v>Error?</v>
      </c>
    </row>
    <row r="2041" spans="1:4" x14ac:dyDescent="0.2">
      <c r="A2041" s="5">
        <v>1980</v>
      </c>
      <c r="B2041" s="138">
        <f>'Cap Outlay Deprec 26'!I12</f>
        <v>146117</v>
      </c>
      <c r="D2041" s="2" t="str">
        <f t="shared" si="30"/>
        <v>Error?</v>
      </c>
    </row>
    <row r="2042" spans="1:4" x14ac:dyDescent="0.2">
      <c r="A2042" s="5">
        <v>1981</v>
      </c>
      <c r="B2042" s="138">
        <f>'Cap Outlay Deprec 26'!I13</f>
        <v>74637</v>
      </c>
      <c r="D2042" s="2" t="str">
        <f t="shared" si="30"/>
        <v>Error?</v>
      </c>
    </row>
    <row r="2043" spans="1:4" x14ac:dyDescent="0.2">
      <c r="A2043" s="5">
        <v>1982</v>
      </c>
      <c r="B2043" s="138">
        <f>'Cap Outlay Deprec 26'!I16</f>
        <v>401788</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121137</v>
      </c>
      <c r="D2048" s="2" t="str">
        <f t="shared" si="31"/>
        <v>Error?</v>
      </c>
    </row>
    <row r="2049" spans="1:4" x14ac:dyDescent="0.2">
      <c r="A2049" s="5">
        <v>1988</v>
      </c>
      <c r="B2049" s="138">
        <f>'Cap Outlay Deprec 26'!J16</f>
        <v>121137</v>
      </c>
      <c r="C2049" s="2" t="s">
        <v>594</v>
      </c>
      <c r="D2049" s="2" t="str">
        <f t="shared" si="31"/>
        <v>Error?</v>
      </c>
    </row>
    <row r="2050" spans="1:4" x14ac:dyDescent="0.2">
      <c r="A2050" s="10">
        <v>1989</v>
      </c>
      <c r="D2050" s="2" t="str">
        <f t="shared" si="31"/>
        <v>OK</v>
      </c>
    </row>
    <row r="2051" spans="1:4" x14ac:dyDescent="0.2">
      <c r="A2051" s="5">
        <v>1990</v>
      </c>
      <c r="B2051" s="138">
        <f>'Cap Outlay Deprec 26'!K8</f>
        <v>5490691</v>
      </c>
      <c r="C2051" s="2" t="s">
        <v>594</v>
      </c>
      <c r="D2051" s="2" t="str">
        <f t="shared" si="31"/>
        <v>Error?</v>
      </c>
    </row>
    <row r="2052" spans="1:4" x14ac:dyDescent="0.2">
      <c r="A2052" s="5">
        <v>1991</v>
      </c>
      <c r="B2052" s="138">
        <f>'Cap Outlay Deprec 26'!K10</f>
        <v>410755</v>
      </c>
      <c r="C2052" s="2" t="s">
        <v>594</v>
      </c>
      <c r="D2052" s="2" t="str">
        <f t="shared" si="31"/>
        <v>Error?</v>
      </c>
    </row>
    <row r="2053" spans="1:4" x14ac:dyDescent="0.2">
      <c r="A2053" s="5">
        <v>1992</v>
      </c>
      <c r="B2053" s="138">
        <f>'Cap Outlay Deprec 26'!K12</f>
        <v>3459889</v>
      </c>
      <c r="C2053" s="2" t="s">
        <v>594</v>
      </c>
      <c r="D2053" s="2" t="str">
        <f t="shared" si="31"/>
        <v>Error?</v>
      </c>
    </row>
    <row r="2054" spans="1:4" x14ac:dyDescent="0.2">
      <c r="A2054" s="5">
        <v>1993</v>
      </c>
      <c r="B2054" s="138">
        <f>'Cap Outlay Deprec 26'!K13</f>
        <v>1267664</v>
      </c>
      <c r="C2054" s="2" t="s">
        <v>594</v>
      </c>
      <c r="D2054" s="2" t="str">
        <f t="shared" si="31"/>
        <v>Error?</v>
      </c>
    </row>
    <row r="2055" spans="1:4" x14ac:dyDescent="0.2">
      <c r="A2055" s="5">
        <v>1994</v>
      </c>
      <c r="B2055" s="138">
        <f>'Cap Outlay Deprec 26'!K16</f>
        <v>10628999</v>
      </c>
      <c r="C2055" s="2" t="s">
        <v>594</v>
      </c>
      <c r="D2055" s="2" t="str">
        <f t="shared" si="31"/>
        <v>Error?</v>
      </c>
    </row>
    <row r="2056" spans="1:4" x14ac:dyDescent="0.2">
      <c r="A2056" s="5">
        <v>1995</v>
      </c>
      <c r="B2056" s="138">
        <f>'Cap Outlay Deprec 26'!L5</f>
        <v>223421</v>
      </c>
      <c r="C2056" s="2" t="s">
        <v>594</v>
      </c>
      <c r="D2056" s="2" t="str">
        <f t="shared" si="31"/>
        <v>Error?</v>
      </c>
    </row>
    <row r="2057" spans="1:4" x14ac:dyDescent="0.2">
      <c r="A2057" s="5">
        <v>1996</v>
      </c>
      <c r="B2057" s="138">
        <f>'Cap Outlay Deprec 26'!L8</f>
        <v>8377771</v>
      </c>
      <c r="C2057" s="2" t="s">
        <v>594</v>
      </c>
      <c r="D2057" s="2" t="str">
        <f t="shared" si="31"/>
        <v>Error?</v>
      </c>
    </row>
    <row r="2058" spans="1:4" x14ac:dyDescent="0.2">
      <c r="A2058" s="5">
        <v>1997</v>
      </c>
      <c r="B2058" s="138">
        <f>'Cap Outlay Deprec 26'!L10</f>
        <v>362525</v>
      </c>
      <c r="C2058" s="2" t="s">
        <v>594</v>
      </c>
      <c r="D2058" s="2" t="str">
        <f t="shared" si="31"/>
        <v>Error?</v>
      </c>
    </row>
    <row r="2059" spans="1:4" x14ac:dyDescent="0.2">
      <c r="A2059" s="5">
        <v>1998</v>
      </c>
      <c r="B2059" s="138">
        <f>'Cap Outlay Deprec 26'!L12</f>
        <v>1466839</v>
      </c>
      <c r="C2059" s="2" t="s">
        <v>594</v>
      </c>
      <c r="D2059" s="2" t="str">
        <f t="shared" si="31"/>
        <v>Error?</v>
      </c>
    </row>
    <row r="2060" spans="1:4" x14ac:dyDescent="0.2">
      <c r="A2060" s="5">
        <v>1999</v>
      </c>
      <c r="B2060" s="138">
        <f>'Cap Outlay Deprec 26'!L13</f>
        <v>398813</v>
      </c>
      <c r="C2060" s="2" t="s">
        <v>594</v>
      </c>
      <c r="D2060" s="2" t="str">
        <f t="shared" si="31"/>
        <v>Error?</v>
      </c>
    </row>
    <row r="2061" spans="1:4" x14ac:dyDescent="0.2">
      <c r="A2061" s="5">
        <v>2000</v>
      </c>
      <c r="B2061" s="138">
        <f>'Cap Outlay Deprec 26'!L16</f>
        <v>10829369</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9738</v>
      </c>
      <c r="C2088" s="2" t="s">
        <v>594</v>
      </c>
      <c r="D2088" s="2" t="str">
        <f t="shared" si="31"/>
        <v>Error?</v>
      </c>
    </row>
    <row r="2089" spans="1:4" x14ac:dyDescent="0.2">
      <c r="A2089" s="5">
        <v>2028</v>
      </c>
      <c r="B2089" s="138">
        <f>'Expenditures 15-22'!K92</f>
        <v>706664</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187751</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227526</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258857</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2676014</v>
      </c>
      <c r="C2551" s="2" t="s">
        <v>594</v>
      </c>
      <c r="D2551" s="2" t="str">
        <f t="shared" si="38"/>
        <v>Error?</v>
      </c>
    </row>
    <row r="2552" spans="1:4" x14ac:dyDescent="0.2">
      <c r="A2552" s="10">
        <v>2491</v>
      </c>
      <c r="D2552" s="2" t="str">
        <f t="shared" si="38"/>
        <v>OK</v>
      </c>
    </row>
    <row r="2553" spans="1:4" x14ac:dyDescent="0.2">
      <c r="A2553" s="5">
        <v>2492</v>
      </c>
      <c r="B2553" s="138">
        <f>'Acct Summary 7-8'!C6</f>
        <v>4885049</v>
      </c>
      <c r="C2553" s="2" t="s">
        <v>594</v>
      </c>
      <c r="D2553" s="2" t="str">
        <f t="shared" si="38"/>
        <v>Error?</v>
      </c>
    </row>
    <row r="2554" spans="1:4" x14ac:dyDescent="0.2">
      <c r="A2554" s="5">
        <v>2493</v>
      </c>
      <c r="B2554" s="138">
        <f>'Acct Summary 7-8'!C7</f>
        <v>936335</v>
      </c>
      <c r="C2554" s="2" t="s">
        <v>594</v>
      </c>
      <c r="D2554" s="2" t="str">
        <f t="shared" si="38"/>
        <v>Error?</v>
      </c>
    </row>
    <row r="2555" spans="1:4" x14ac:dyDescent="0.2">
      <c r="A2555" s="5">
        <v>2494</v>
      </c>
      <c r="B2555" s="138">
        <f>'Acct Summary 7-8'!C8</f>
        <v>8497398</v>
      </c>
      <c r="C2555" s="2" t="s">
        <v>594</v>
      </c>
      <c r="D2555" s="2" t="str">
        <f t="shared" si="38"/>
        <v>Error?</v>
      </c>
    </row>
    <row r="2556" spans="1:4" x14ac:dyDescent="0.2">
      <c r="A2556" s="5">
        <v>2495</v>
      </c>
      <c r="B2556" s="138">
        <f>'Acct Summary 7-8'!C12</f>
        <v>5553964</v>
      </c>
      <c r="C2556" s="2" t="s">
        <v>594</v>
      </c>
      <c r="D2556" s="2" t="str">
        <f t="shared" si="38"/>
        <v>Error?</v>
      </c>
    </row>
    <row r="2557" spans="1:4" x14ac:dyDescent="0.2">
      <c r="A2557" s="5">
        <v>2496</v>
      </c>
      <c r="B2557" s="138">
        <f>'Acct Summary 7-8'!C13</f>
        <v>1699539</v>
      </c>
      <c r="C2557" s="2" t="s">
        <v>594</v>
      </c>
      <c r="D2557" s="2" t="str">
        <f t="shared" si="38"/>
        <v>Error?</v>
      </c>
    </row>
    <row r="2558" spans="1:4" x14ac:dyDescent="0.2">
      <c r="A2558" s="5">
        <v>2497</v>
      </c>
      <c r="B2558" s="138">
        <f>'Acct Summary 7-8'!C14</f>
        <v>28999</v>
      </c>
      <c r="C2558" s="2" t="s">
        <v>594</v>
      </c>
      <c r="D2558" s="2" t="str">
        <f t="shared" si="38"/>
        <v>Error?</v>
      </c>
    </row>
    <row r="2559" spans="1:4" x14ac:dyDescent="0.2">
      <c r="A2559" s="5">
        <v>2498</v>
      </c>
      <c r="B2559" s="138">
        <f>'Acct Summary 7-8'!C15</f>
        <v>716402</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7998904</v>
      </c>
      <c r="C2561" s="2" t="s">
        <v>594</v>
      </c>
      <c r="D2561" s="2" t="str">
        <f t="shared" si="39"/>
        <v>Error?</v>
      </c>
    </row>
    <row r="2562" spans="1:4" x14ac:dyDescent="0.2">
      <c r="A2562" s="5">
        <v>2501</v>
      </c>
      <c r="B2562" s="138">
        <f>'Acct Summary 7-8'!C20</f>
        <v>498494</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563455</v>
      </c>
      <c r="C2564" s="2" t="s">
        <v>594</v>
      </c>
      <c r="D2564" s="2" t="str">
        <f t="shared" si="39"/>
        <v>Error?</v>
      </c>
    </row>
    <row r="2565" spans="1:4" x14ac:dyDescent="0.2">
      <c r="A2565" s="10">
        <v>2504</v>
      </c>
      <c r="D2565" s="2" t="str">
        <f t="shared" si="39"/>
        <v>OK</v>
      </c>
    </row>
    <row r="2566" spans="1:4" x14ac:dyDescent="0.2">
      <c r="A2566" s="5">
        <v>2505</v>
      </c>
      <c r="B2566" s="138">
        <f>'Acct Summary 7-8'!D6</f>
        <v>300000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863455</v>
      </c>
      <c r="C2568" s="2" t="s">
        <v>594</v>
      </c>
      <c r="D2568" s="2" t="str">
        <f t="shared" si="39"/>
        <v>Error?</v>
      </c>
    </row>
    <row r="2569" spans="1:4" x14ac:dyDescent="0.2">
      <c r="A2569" s="5">
        <v>2508</v>
      </c>
      <c r="B2569" s="138">
        <f>'Acct Summary 7-8'!D13</f>
        <v>915572</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915572</v>
      </c>
      <c r="C2573" s="2" t="s">
        <v>594</v>
      </c>
      <c r="D2573" s="2" t="str">
        <f t="shared" si="39"/>
        <v>Error?</v>
      </c>
    </row>
    <row r="2574" spans="1:4" x14ac:dyDescent="0.2">
      <c r="A2574" s="5">
        <v>2513</v>
      </c>
      <c r="B2574" s="138">
        <f>'Acct Summary 7-8'!D20</f>
        <v>-52117</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240795</v>
      </c>
      <c r="C2591" s="2" t="s">
        <v>594</v>
      </c>
      <c r="D2591" s="2" t="str">
        <f t="shared" si="39"/>
        <v>Error?</v>
      </c>
    </row>
    <row r="2592" spans="1:4" x14ac:dyDescent="0.2">
      <c r="A2592" s="10">
        <v>2531</v>
      </c>
      <c r="D2592" s="2" t="str">
        <f t="shared" si="39"/>
        <v>OK</v>
      </c>
    </row>
    <row r="2593" spans="1:4" x14ac:dyDescent="0.2">
      <c r="A2593" s="5">
        <v>2532</v>
      </c>
      <c r="B2593" s="138">
        <f>'Acct Summary 7-8'!F6</f>
        <v>253689</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494484</v>
      </c>
      <c r="C2595" s="2" t="s">
        <v>594</v>
      </c>
      <c r="D2595" s="2" t="str">
        <f t="shared" si="39"/>
        <v>Error?</v>
      </c>
    </row>
    <row r="2596" spans="1:4" x14ac:dyDescent="0.2">
      <c r="A2596" s="5">
        <v>2535</v>
      </c>
      <c r="B2596" s="138">
        <f>'Acct Summary 7-8'!F13</f>
        <v>453929</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453929</v>
      </c>
      <c r="C2600" s="2" t="s">
        <v>594</v>
      </c>
      <c r="D2600" s="2" t="str">
        <f t="shared" si="39"/>
        <v>Error?</v>
      </c>
    </row>
    <row r="2601" spans="1:4" x14ac:dyDescent="0.2">
      <c r="A2601" s="5">
        <v>2540</v>
      </c>
      <c r="B2601" s="138">
        <f>'Acct Summary 7-8'!F20</f>
        <v>40555</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143898</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143898</v>
      </c>
      <c r="C2606" s="2" t="s">
        <v>594</v>
      </c>
      <c r="D2606" s="2" t="str">
        <f t="shared" si="39"/>
        <v>Error?</v>
      </c>
    </row>
    <row r="2607" spans="1:4" x14ac:dyDescent="0.2">
      <c r="A2607" s="5">
        <v>2546</v>
      </c>
      <c r="B2607" s="138">
        <f>'Acct Summary 7-8'!G12</f>
        <v>110478</v>
      </c>
      <c r="C2607" s="2" t="s">
        <v>594</v>
      </c>
      <c r="D2607" s="2" t="str">
        <f t="shared" si="39"/>
        <v>Error?</v>
      </c>
    </row>
    <row r="2608" spans="1:4" x14ac:dyDescent="0.2">
      <c r="A2608" s="5">
        <v>2547</v>
      </c>
      <c r="B2608" s="138">
        <f>'Acct Summary 7-8'!G13</f>
        <v>192901</v>
      </c>
      <c r="C2608" s="2" t="s">
        <v>594</v>
      </c>
      <c r="D2608" s="2" t="str">
        <f t="shared" si="39"/>
        <v>Error?</v>
      </c>
    </row>
    <row r="2609" spans="1:4" x14ac:dyDescent="0.2">
      <c r="A2609" s="5">
        <v>2548</v>
      </c>
      <c r="B2609" s="138">
        <f>'Acct Summary 7-8'!G14</f>
        <v>66</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303445</v>
      </c>
      <c r="C2612" s="2" t="s">
        <v>594</v>
      </c>
      <c r="D2612" s="2" t="str">
        <f t="shared" si="39"/>
        <v>Error?</v>
      </c>
    </row>
    <row r="2613" spans="1:4" x14ac:dyDescent="0.2">
      <c r="A2613" s="5">
        <v>2552</v>
      </c>
      <c r="B2613" s="138">
        <f>'Acct Summary 7-8'!G20</f>
        <v>-159547</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411920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411920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290366</v>
      </c>
      <c r="C2634" s="2" t="s">
        <v>594</v>
      </c>
      <c r="D2634" s="2" t="str">
        <f t="shared" si="40"/>
        <v>Error?</v>
      </c>
    </row>
    <row r="2635" spans="1:4" x14ac:dyDescent="0.2">
      <c r="A2635" s="5">
        <v>2574</v>
      </c>
      <c r="B2635" s="138">
        <f>'Acct Summary 7-8'!E17</f>
        <v>290366</v>
      </c>
      <c r="C2635" s="2" t="s">
        <v>594</v>
      </c>
      <c r="D2635" s="2" t="str">
        <f t="shared" si="40"/>
        <v>Error?</v>
      </c>
    </row>
    <row r="2636" spans="1:4" x14ac:dyDescent="0.2">
      <c r="A2636" s="5">
        <v>2575</v>
      </c>
      <c r="B2636" s="138">
        <f>'Acct Summary 7-8'!E20</f>
        <v>121554</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126723</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126723</v>
      </c>
      <c r="C2658" s="2" t="s">
        <v>594</v>
      </c>
      <c r="D2658" s="2" t="str">
        <f t="shared" si="40"/>
        <v>Error?</v>
      </c>
    </row>
    <row r="2659" spans="1:4" x14ac:dyDescent="0.2">
      <c r="A2659" s="5">
        <v>2598</v>
      </c>
      <c r="B2659" s="138">
        <f>'Acct Summary 7-8'!H13</f>
        <v>884008</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884008</v>
      </c>
      <c r="C2661" s="2" t="s">
        <v>594</v>
      </c>
      <c r="D2661" s="2" t="str">
        <f t="shared" si="40"/>
        <v>Error?</v>
      </c>
    </row>
    <row r="2662" spans="1:4" x14ac:dyDescent="0.2">
      <c r="A2662" s="5">
        <v>2601</v>
      </c>
      <c r="B2662" s="138">
        <f>'Acct Summary 7-8'!H20</f>
        <v>-757285</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9738</v>
      </c>
      <c r="C2789" s="2" t="s">
        <v>594</v>
      </c>
      <c r="D2789" s="2" t="str">
        <f t="shared" si="42"/>
        <v>Error?</v>
      </c>
    </row>
    <row r="2790" spans="1:4" x14ac:dyDescent="0.2">
      <c r="A2790" s="5">
        <v>2729</v>
      </c>
      <c r="B2790" s="138">
        <f>'Expenditures 15-22'!E102</f>
        <v>9738</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635358</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1251486</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76241</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199911</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1251486</v>
      </c>
      <c r="D2912" s="2" t="str">
        <f t="shared" si="44"/>
        <v>Error?</v>
      </c>
    </row>
    <row r="2913" spans="1:4" x14ac:dyDescent="0.2">
      <c r="A2913" s="5">
        <v>2852</v>
      </c>
      <c r="B2913" s="138">
        <f>'Assets-Liab 5-6'!I41</f>
        <v>1251486</v>
      </c>
      <c r="C2913" s="2" t="s">
        <v>594</v>
      </c>
      <c r="D2913" s="2" t="str">
        <f t="shared" si="44"/>
        <v>Error?</v>
      </c>
    </row>
    <row r="2914" spans="1:4" x14ac:dyDescent="0.2">
      <c r="A2914" s="5">
        <v>2853</v>
      </c>
      <c r="B2914" s="138">
        <f>'Assets-Liab 5-6'!L33</f>
        <v>199911</v>
      </c>
      <c r="D2914" s="2" t="str">
        <f t="shared" si="44"/>
        <v>Error?</v>
      </c>
    </row>
    <row r="2915" spans="1:4" x14ac:dyDescent="0.2">
      <c r="A2915" s="10">
        <v>2854</v>
      </c>
      <c r="D2915" s="2" t="str">
        <f t="shared" si="44"/>
        <v>OK</v>
      </c>
    </row>
    <row r="2916" spans="1:4" x14ac:dyDescent="0.2">
      <c r="A2916" s="5">
        <v>2855</v>
      </c>
      <c r="B2916" s="138">
        <f>'Assets-Liab 5-6'!L34</f>
        <v>199911</v>
      </c>
      <c r="C2916" s="2" t="s">
        <v>594</v>
      </c>
      <c r="D2916" s="2" t="str">
        <f t="shared" si="44"/>
        <v>Error?</v>
      </c>
    </row>
    <row r="2917" spans="1:4" x14ac:dyDescent="0.2">
      <c r="A2917" s="5">
        <v>2856</v>
      </c>
      <c r="B2917" s="138">
        <f>'Assets-Liab 5-6'!L41</f>
        <v>199911</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9738</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9738</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88599</v>
      </c>
      <c r="D3055" s="2" t="str">
        <f t="shared" si="46"/>
        <v>Error?</v>
      </c>
    </row>
    <row r="3056" spans="1:4" x14ac:dyDescent="0.2">
      <c r="A3056" s="5">
        <v>2995</v>
      </c>
      <c r="B3056" s="138">
        <f>'Expenditures 15-22'!D10</f>
        <v>4937</v>
      </c>
      <c r="D3056" s="2" t="str">
        <f t="shared" si="46"/>
        <v>Error?</v>
      </c>
    </row>
    <row r="3057" spans="1:4" x14ac:dyDescent="0.2">
      <c r="A3057" s="5">
        <v>2996</v>
      </c>
      <c r="B3057" s="138">
        <f>'Expenditures 15-22'!E10</f>
        <v>4270</v>
      </c>
      <c r="D3057" s="2" t="str">
        <f t="shared" si="46"/>
        <v>Error?</v>
      </c>
    </row>
    <row r="3058" spans="1:4" x14ac:dyDescent="0.2">
      <c r="A3058" s="5">
        <v>2997</v>
      </c>
      <c r="B3058" s="138">
        <f>'Expenditures 15-22'!F10</f>
        <v>67487</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165293</v>
      </c>
      <c r="C3062" s="2" t="s">
        <v>594</v>
      </c>
      <c r="D3062" s="2" t="str">
        <f t="shared" si="46"/>
        <v>Error?</v>
      </c>
    </row>
    <row r="3063" spans="1:4" x14ac:dyDescent="0.2">
      <c r="A3063" s="10">
        <v>3002</v>
      </c>
      <c r="D3063" s="2" t="str">
        <f t="shared" si="46"/>
        <v>OK</v>
      </c>
    </row>
    <row r="3064" spans="1:4" x14ac:dyDescent="0.2">
      <c r="A3064" s="5">
        <v>3003</v>
      </c>
      <c r="B3064" s="138">
        <f>'Expenditures 15-22'!D219</f>
        <v>17148</v>
      </c>
      <c r="D3064" s="2" t="str">
        <f t="shared" si="46"/>
        <v>Error?</v>
      </c>
    </row>
    <row r="3065" spans="1:4" x14ac:dyDescent="0.2">
      <c r="A3065" s="5">
        <v>3004</v>
      </c>
      <c r="B3065" s="138">
        <f>'Expenditures 15-22'!K219</f>
        <v>17148</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52860</v>
      </c>
      <c r="C3225" s="2" t="s">
        <v>594</v>
      </c>
      <c r="D3225" s="2" t="str">
        <f t="shared" si="49"/>
        <v>Error?</v>
      </c>
    </row>
    <row r="3226" spans="1:4" x14ac:dyDescent="0.2">
      <c r="A3226" s="5">
        <v>3165</v>
      </c>
      <c r="B3226" s="138">
        <f>'Acct Summary 7-8'!I8</f>
        <v>52860</v>
      </c>
      <c r="C3226" s="2" t="s">
        <v>594</v>
      </c>
      <c r="D3226" s="2" t="str">
        <f t="shared" si="49"/>
        <v>Error?</v>
      </c>
    </row>
    <row r="3227" spans="1:4" x14ac:dyDescent="0.2">
      <c r="A3227" s="5">
        <v>3166</v>
      </c>
      <c r="B3227" s="138">
        <f>'Acct Summary 7-8'!I20</f>
        <v>52860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498494</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-52117</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40555</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-159547</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130000</v>
      </c>
      <c r="D3275" s="2" t="str">
        <f t="shared" si="50"/>
        <v>Error?</v>
      </c>
    </row>
    <row r="3276" spans="1:4" x14ac:dyDescent="0.2">
      <c r="A3276" s="5">
        <v>3215</v>
      </c>
      <c r="B3276" s="138">
        <f>'Acct Summary 7-8'!E76</f>
        <v>130000</v>
      </c>
      <c r="C3276" s="2" t="s">
        <v>594</v>
      </c>
      <c r="D3276" s="2" t="str">
        <f t="shared" si="50"/>
        <v>Error?</v>
      </c>
    </row>
    <row r="3277" spans="1:4" x14ac:dyDescent="0.2">
      <c r="A3277" s="5">
        <v>3216</v>
      </c>
      <c r="B3277" s="138">
        <f>'Acct Summary 7-8'!E77</f>
        <v>-130000</v>
      </c>
      <c r="C3277" s="2" t="s">
        <v>594</v>
      </c>
      <c r="D3277" s="2" t="str">
        <f t="shared" si="50"/>
        <v>Error?</v>
      </c>
    </row>
    <row r="3278" spans="1:4" x14ac:dyDescent="0.2">
      <c r="A3278" s="5">
        <v>3217</v>
      </c>
      <c r="B3278" s="138">
        <f>'Acct Summary 7-8'!E78</f>
        <v>-8446</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-757285</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52860</v>
      </c>
      <c r="C3320" s="2" t="s">
        <v>594</v>
      </c>
      <c r="D3320" s="2" t="str">
        <f t="shared" si="50"/>
        <v>Error?</v>
      </c>
    </row>
    <row r="3321" spans="1:4" x14ac:dyDescent="0.2">
      <c r="A3321" s="5">
        <v>3260</v>
      </c>
      <c r="B3321" s="138">
        <f>'Acct Summary 7-8'!I79</f>
        <v>1198626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1251486</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547721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87720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1604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637045</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54427</v>
      </c>
      <c r="D3387" s="2" t="str">
        <f t="shared" si="51"/>
        <v>Error?</v>
      </c>
    </row>
    <row r="3388" spans="1:4" x14ac:dyDescent="0.2">
      <c r="A3388" s="5">
        <v>3327</v>
      </c>
      <c r="B3388" s="138">
        <f>'Expenditures 15-22'!D217</f>
        <v>21605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54427</v>
      </c>
      <c r="C3390" s="2" t="s">
        <v>594</v>
      </c>
      <c r="D3390" s="2" t="str">
        <f t="shared" si="51"/>
        <v>Error?</v>
      </c>
    </row>
    <row r="3391" spans="1:4" x14ac:dyDescent="0.2">
      <c r="A3391" s="5">
        <v>3330</v>
      </c>
      <c r="B3391" s="138">
        <f>'Expenditures 15-22'!K217</f>
        <v>21605</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1014932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110025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227526</v>
      </c>
      <c r="D3417" s="2" t="str">
        <f t="shared" si="52"/>
        <v>Error?</v>
      </c>
    </row>
    <row r="3418" spans="1:4" x14ac:dyDescent="0.2">
      <c r="A3418" s="10">
        <v>3357</v>
      </c>
      <c r="D3418" s="2" t="str">
        <f t="shared" si="52"/>
        <v>OK</v>
      </c>
    </row>
    <row r="3419" spans="1:4" x14ac:dyDescent="0.2">
      <c r="A3419" s="5">
        <v>3358</v>
      </c>
      <c r="B3419" s="138">
        <f>'Assets-Liab 5-6'!F4</f>
        <v>659958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187751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258857</v>
      </c>
      <c r="D3425" s="2" t="str">
        <f t="shared" si="52"/>
        <v>Error?</v>
      </c>
    </row>
    <row r="3426" spans="1:4" x14ac:dyDescent="0.2">
      <c r="A3426" s="10">
        <v>3365</v>
      </c>
      <c r="D3426" s="2" t="str">
        <f t="shared" si="52"/>
        <v>OK</v>
      </c>
    </row>
    <row r="3427" spans="1:4" x14ac:dyDescent="0.2">
      <c r="A3427" s="5">
        <v>3366</v>
      </c>
      <c r="B3427" s="138">
        <f>'Assets-Liab 5-6'!I4</f>
        <v>616128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123670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131791</v>
      </c>
      <c r="C3446" s="2" t="s">
        <v>594</v>
      </c>
      <c r="D3446" s="2" t="str">
        <f t="shared" si="52"/>
        <v>Error?</v>
      </c>
    </row>
    <row r="3447" spans="1:4" x14ac:dyDescent="0.2">
      <c r="A3447" s="5">
        <v>3386</v>
      </c>
      <c r="B3447" s="138">
        <f>'Tax Sched 23'!D16</f>
        <v>130493</v>
      </c>
      <c r="C3447" s="2" t="s">
        <v>594</v>
      </c>
      <c r="D3447" s="2" t="str">
        <f t="shared" si="52"/>
        <v>Error?</v>
      </c>
    </row>
    <row r="3448" spans="1:4" x14ac:dyDescent="0.2">
      <c r="A3448" s="5">
        <v>3387</v>
      </c>
      <c r="B3448" s="138">
        <f>'Tax Sched 23'!C16</f>
        <v>1298</v>
      </c>
      <c r="D3448" s="2" t="str">
        <f t="shared" si="52"/>
        <v>Error?</v>
      </c>
    </row>
    <row r="3449" spans="1:4" x14ac:dyDescent="0.2">
      <c r="A3449" s="5">
        <v>3388</v>
      </c>
      <c r="B3449" s="138">
        <f>'Tax Sched 23'!F16</f>
        <v>130389</v>
      </c>
      <c r="C3449" s="2" t="s">
        <v>594</v>
      </c>
      <c r="D3449" s="2" t="str">
        <f t="shared" si="52"/>
        <v>Error?</v>
      </c>
    </row>
    <row r="3450" spans="1:4" x14ac:dyDescent="0.2">
      <c r="A3450" s="5">
        <v>3389</v>
      </c>
      <c r="B3450" s="138">
        <f>'Tax Sched 23'!E16</f>
        <v>131687</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112964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112964</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112964</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112964</v>
      </c>
      <c r="C3568" s="2" t="s">
        <v>594</v>
      </c>
      <c r="D3568" s="2" t="str">
        <f t="shared" si="54"/>
        <v>Error?</v>
      </c>
    </row>
    <row r="3569" spans="1:4" x14ac:dyDescent="0.2">
      <c r="A3569" s="5">
        <v>3508</v>
      </c>
      <c r="B3569" s="138">
        <f>'Acct Summary 7-8'!K4</f>
        <v>49367</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49367</v>
      </c>
      <c r="C3571" s="2" t="s">
        <v>594</v>
      </c>
      <c r="D3571" s="2" t="str">
        <f t="shared" si="54"/>
        <v>Error?</v>
      </c>
    </row>
    <row r="3572" spans="1:4" x14ac:dyDescent="0.2">
      <c r="A3572" s="5">
        <v>3511</v>
      </c>
      <c r="B3572" s="138">
        <f>'Acct Summary 7-8'!K13</f>
        <v>28935</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28935</v>
      </c>
      <c r="C3575" s="2" t="s">
        <v>594</v>
      </c>
      <c r="D3575" s="2" t="str">
        <f t="shared" si="54"/>
        <v>Error?</v>
      </c>
    </row>
    <row r="3576" spans="1:4" x14ac:dyDescent="0.2">
      <c r="A3576" s="5">
        <v>3515</v>
      </c>
      <c r="B3576" s="138">
        <f>'Acct Summary 7-8'!K20</f>
        <v>20432</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20432</v>
      </c>
      <c r="C3588" s="2" t="s">
        <v>594</v>
      </c>
      <c r="D3588" s="2" t="str">
        <f t="shared" si="55"/>
        <v>Error?</v>
      </c>
    </row>
    <row r="3589" spans="1:4" x14ac:dyDescent="0.2">
      <c r="A3589" s="5">
        <v>3528</v>
      </c>
      <c r="B3589" s="138">
        <f>'Acct Summary 7-8'!K79</f>
        <v>92532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112964</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17993</v>
      </c>
      <c r="D3631" s="2" t="str">
        <f t="shared" si="55"/>
        <v>Error?</v>
      </c>
    </row>
    <row r="3632" spans="1:4" x14ac:dyDescent="0.2">
      <c r="A3632" s="5">
        <v>3571</v>
      </c>
      <c r="B3632" s="138">
        <f>'Expenditures 15-22'!E349</f>
        <v>10732</v>
      </c>
      <c r="D3632" s="2" t="str">
        <f t="shared" si="55"/>
        <v>Error?</v>
      </c>
    </row>
    <row r="3633" spans="1:4" x14ac:dyDescent="0.2">
      <c r="A3633" s="5">
        <v>3572</v>
      </c>
      <c r="B3633" s="138">
        <f>'Expenditures 15-22'!E350</f>
        <v>28725</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28725</v>
      </c>
      <c r="C3635" s="2" t="s">
        <v>594</v>
      </c>
      <c r="D3635" s="2" t="str">
        <f t="shared" si="55"/>
        <v>Error?</v>
      </c>
    </row>
    <row r="3636" spans="1:4" x14ac:dyDescent="0.2">
      <c r="A3636" s="5">
        <v>3575</v>
      </c>
      <c r="B3636" s="138">
        <f>'Expenditures 15-22'!E367</f>
        <v>28725</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210</v>
      </c>
      <c r="D3639" s="2" t="str">
        <f t="shared" si="55"/>
        <v>Error?</v>
      </c>
    </row>
    <row r="3640" spans="1:4" x14ac:dyDescent="0.2">
      <c r="A3640" s="5">
        <v>3579</v>
      </c>
      <c r="B3640" s="138">
        <f>'Expenditures 15-22'!F350</f>
        <v>210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210</v>
      </c>
      <c r="C3642" s="2" t="s">
        <v>594</v>
      </c>
      <c r="D3642" s="2" t="str">
        <f t="shared" si="55"/>
        <v>Error?</v>
      </c>
    </row>
    <row r="3643" spans="1:4" x14ac:dyDescent="0.2">
      <c r="A3643" s="5">
        <v>3582</v>
      </c>
      <c r="B3643" s="138">
        <f>'Expenditures 15-22'!F367</f>
        <v>210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17993</v>
      </c>
      <c r="C3668" s="2" t="s">
        <v>594</v>
      </c>
      <c r="D3668" s="2" t="str">
        <f t="shared" si="56"/>
        <v>Error?</v>
      </c>
    </row>
    <row r="3669" spans="1:4" x14ac:dyDescent="0.2">
      <c r="A3669" s="5">
        <v>3608</v>
      </c>
      <c r="B3669" s="138">
        <f>'Expenditures 15-22'!K349</f>
        <v>10942</v>
      </c>
      <c r="C3669" s="2" t="s">
        <v>594</v>
      </c>
      <c r="D3669" s="2" t="str">
        <f t="shared" si="56"/>
        <v>Error?</v>
      </c>
    </row>
    <row r="3670" spans="1:4" x14ac:dyDescent="0.2">
      <c r="A3670" s="5">
        <v>3609</v>
      </c>
      <c r="B3670" s="138">
        <f>'Expenditures 15-22'!K350</f>
        <v>28935</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28935</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28935</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20432</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242465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83700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83700</v>
      </c>
      <c r="D4111" s="2" t="str">
        <f t="shared" si="63"/>
        <v>Error?</v>
      </c>
    </row>
    <row r="4112" spans="1:4" x14ac:dyDescent="0.2">
      <c r="A4112" s="10">
        <v>4051</v>
      </c>
      <c r="D4112" s="2" t="str">
        <f t="shared" si="63"/>
        <v>OK</v>
      </c>
    </row>
    <row r="4113" spans="1:4" x14ac:dyDescent="0.2">
      <c r="A4113" s="5">
        <v>4052</v>
      </c>
      <c r="B4113" s="138">
        <f>'Acct Summary 7-8'!C9</f>
        <v>3474438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11971836</v>
      </c>
      <c r="C4122" s="2" t="s">
        <v>594</v>
      </c>
      <c r="D4122" s="2" t="str">
        <f t="shared" si="63"/>
        <v>Error?</v>
      </c>
    </row>
    <row r="4123" spans="1:4" x14ac:dyDescent="0.2">
      <c r="A4123" s="5">
        <v>4062</v>
      </c>
      <c r="B4123" s="138">
        <f>'Acct Summary 7-8'!D10</f>
        <v>863455</v>
      </c>
      <c r="C4123" s="2" t="s">
        <v>594</v>
      </c>
      <c r="D4123" s="2" t="str">
        <f t="shared" si="63"/>
        <v>Error?</v>
      </c>
    </row>
    <row r="4124" spans="1:4" x14ac:dyDescent="0.2">
      <c r="A4124" s="5">
        <v>4063</v>
      </c>
      <c r="B4124" s="138">
        <f>'Acct Summary 7-8'!E10</f>
        <v>411920</v>
      </c>
      <c r="C4124" s="2" t="s">
        <v>594</v>
      </c>
      <c r="D4124" s="2" t="str">
        <f t="shared" si="63"/>
        <v>Error?</v>
      </c>
    </row>
    <row r="4125" spans="1:4" x14ac:dyDescent="0.2">
      <c r="A4125" s="5">
        <v>4064</v>
      </c>
      <c r="B4125" s="138">
        <f>'Acct Summary 7-8'!F10</f>
        <v>494484</v>
      </c>
      <c r="C4125" s="2" t="s">
        <v>594</v>
      </c>
      <c r="D4125" s="2" t="str">
        <f t="shared" si="63"/>
        <v>Error?</v>
      </c>
    </row>
    <row r="4126" spans="1:4" x14ac:dyDescent="0.2">
      <c r="A4126" s="5">
        <v>4065</v>
      </c>
      <c r="B4126" s="138">
        <f>'Acct Summary 7-8'!G10</f>
        <v>143898</v>
      </c>
      <c r="C4126" s="2" t="s">
        <v>594</v>
      </c>
      <c r="D4126" s="2" t="str">
        <f t="shared" si="63"/>
        <v>Error?</v>
      </c>
    </row>
    <row r="4127" spans="1:4" x14ac:dyDescent="0.2">
      <c r="A4127" s="5">
        <v>4066</v>
      </c>
      <c r="B4127" s="138">
        <f>'Acct Summary 7-8'!H10</f>
        <v>126723</v>
      </c>
      <c r="C4127" s="2" t="s">
        <v>594</v>
      </c>
      <c r="D4127" s="2" t="str">
        <f t="shared" si="63"/>
        <v>Error?</v>
      </c>
    </row>
    <row r="4128" spans="1:4" x14ac:dyDescent="0.2">
      <c r="A4128" s="5">
        <v>4067</v>
      </c>
      <c r="B4128" s="138">
        <f>'Acct Summary 7-8'!I10</f>
        <v>52860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49367</v>
      </c>
      <c r="C4130" s="2" t="s">
        <v>594</v>
      </c>
      <c r="D4130" s="2" t="str">
        <f t="shared" si="63"/>
        <v>Error?</v>
      </c>
    </row>
    <row r="4131" spans="1:4" x14ac:dyDescent="0.2">
      <c r="A4131" s="5">
        <v>4070</v>
      </c>
      <c r="B4131" s="138">
        <f>'Acct Summary 7-8'!C18</f>
        <v>3474438</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11473342</v>
      </c>
      <c r="C4136" s="2" t="s">
        <v>594</v>
      </c>
      <c r="D4136" s="2" t="str">
        <f t="shared" si="63"/>
        <v>Error?</v>
      </c>
    </row>
    <row r="4137" spans="1:4" x14ac:dyDescent="0.2">
      <c r="A4137" s="5">
        <v>4076</v>
      </c>
      <c r="B4137" s="138">
        <f>'Acct Summary 7-8'!D19</f>
        <v>915572</v>
      </c>
      <c r="C4137" s="2" t="s">
        <v>594</v>
      </c>
      <c r="D4137" s="2" t="str">
        <f t="shared" si="63"/>
        <v>Error?</v>
      </c>
    </row>
    <row r="4138" spans="1:4" x14ac:dyDescent="0.2">
      <c r="A4138" s="5">
        <v>4077</v>
      </c>
      <c r="B4138" s="138">
        <f>'Acct Summary 7-8'!E19</f>
        <v>290366</v>
      </c>
      <c r="C4138" s="2" t="s">
        <v>594</v>
      </c>
      <c r="D4138" s="2" t="str">
        <f t="shared" si="63"/>
        <v>Error?</v>
      </c>
    </row>
    <row r="4139" spans="1:4" x14ac:dyDescent="0.2">
      <c r="A4139" s="5">
        <v>4078</v>
      </c>
      <c r="B4139" s="138">
        <f>'Acct Summary 7-8'!F19</f>
        <v>453929</v>
      </c>
      <c r="C4139" s="2" t="s">
        <v>594</v>
      </c>
      <c r="D4139" s="2" t="str">
        <f t="shared" si="63"/>
        <v>Error?</v>
      </c>
    </row>
    <row r="4140" spans="1:4" x14ac:dyDescent="0.2">
      <c r="A4140" s="5">
        <v>4079</v>
      </c>
      <c r="B4140" s="138">
        <f>'Acct Summary 7-8'!G19</f>
        <v>303445</v>
      </c>
      <c r="C4140" s="2" t="s">
        <v>594</v>
      </c>
      <c r="D4140" s="2" t="str">
        <f t="shared" si="63"/>
        <v>Error?</v>
      </c>
    </row>
    <row r="4141" spans="1:4" x14ac:dyDescent="0.2">
      <c r="A4141" s="5">
        <v>4080</v>
      </c>
      <c r="B4141" s="138">
        <f>'Acct Summary 7-8'!H19</f>
        <v>884008</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28935</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4455000</v>
      </c>
      <c r="C4171" s="2" t="s">
        <v>594</v>
      </c>
      <c r="D4171" s="2" t="str">
        <f t="shared" si="64"/>
        <v>Error?</v>
      </c>
    </row>
    <row r="4172" spans="1:4" x14ac:dyDescent="0.2">
      <c r="A4172" s="5">
        <v>4111</v>
      </c>
      <c r="B4172" s="138">
        <f>'Short-Term Long-Term Debt 24'!J49</f>
        <v>4227474</v>
      </c>
      <c r="C4172" s="2" t="s">
        <v>594</v>
      </c>
      <c r="D4172" s="2" t="str">
        <f t="shared" si="64"/>
        <v>Error?</v>
      </c>
    </row>
    <row r="4173" spans="1:4" x14ac:dyDescent="0.2">
      <c r="A4173" s="5">
        <v>4112</v>
      </c>
      <c r="B4173" s="138">
        <f>'Short-Term Long-Term Debt 24'!H49</f>
        <v>95000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3872.6299999999997</v>
      </c>
      <c r="C4265" s="2" t="s">
        <v>594</v>
      </c>
      <c r="D4265" s="2" t="str">
        <f t="shared" si="65"/>
        <v>Error?</v>
      </c>
      <c r="E4265" s="128"/>
    </row>
    <row r="4266" spans="1:5" x14ac:dyDescent="0.2">
      <c r="A4266" s="12">
        <v>4205</v>
      </c>
      <c r="B4266" s="138">
        <f>('FP Info 3'!F10)*100000</f>
        <v>882.68999999999983</v>
      </c>
      <c r="C4266" s="2" t="s">
        <v>594</v>
      </c>
      <c r="D4266" s="2" t="str">
        <f t="shared" si="65"/>
        <v>Error?</v>
      </c>
      <c r="E4266" s="128"/>
    </row>
    <row r="4267" spans="1:5" x14ac:dyDescent="0.2">
      <c r="A4267" s="12">
        <v>4206</v>
      </c>
      <c r="B4267" s="138">
        <f>('FP Info 3'!H10)*100000</f>
        <v>399.08</v>
      </c>
      <c r="C4267" s="2" t="s">
        <v>594</v>
      </c>
      <c r="D4267" s="2" t="str">
        <f t="shared" si="65"/>
        <v>Error?</v>
      </c>
      <c r="E4267" s="128"/>
    </row>
    <row r="4268" spans="1:5" x14ac:dyDescent="0.2">
      <c r="A4268" s="12">
        <v>4207</v>
      </c>
      <c r="B4268" s="138">
        <f>('FP Info 3'!J10)*100000</f>
        <v>5154</v>
      </c>
      <c r="C4268" s="2" t="s">
        <v>594</v>
      </c>
      <c r="D4268" s="2" t="str">
        <f t="shared" si="65"/>
        <v>Error?</v>
      </c>
    </row>
    <row r="4269" spans="1:5" x14ac:dyDescent="0.2">
      <c r="A4269" s="12">
        <v>4208</v>
      </c>
      <c r="B4269" s="138">
        <f>'FP Info 3'!J16</f>
        <v>3036401</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16137</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34015</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54467</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89.320000000000007</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56</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110482236</v>
      </c>
      <c r="D4995" s="2" t="str">
        <f t="shared" si="77"/>
        <v>Error?</v>
      </c>
    </row>
    <row r="4996" spans="1:4" x14ac:dyDescent="0.2">
      <c r="A4996" s="12">
        <v>4935</v>
      </c>
      <c r="B4996" s="138">
        <f>'FP Info 3'!H31</f>
        <v>15246548.568000002</v>
      </c>
      <c r="D4996" s="2" t="str">
        <f t="shared" si="77"/>
        <v>Error?</v>
      </c>
    </row>
    <row r="4997" spans="1:4" x14ac:dyDescent="0.2">
      <c r="A4997" s="12">
        <v>4936</v>
      </c>
      <c r="B4997" s="138">
        <f>'FP Info 3'!H37</f>
        <v>4455000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2110184</v>
      </c>
      <c r="D5061" s="2" t="str">
        <f t="shared" si="78"/>
        <v>Error?</v>
      </c>
    </row>
    <row r="5062" spans="1:4" x14ac:dyDescent="0.2">
      <c r="A5062" s="10">
        <v>5001</v>
      </c>
      <c r="D5062" s="2" t="str">
        <f t="shared" si="78"/>
        <v>OK</v>
      </c>
    </row>
    <row r="5063" spans="1:4" x14ac:dyDescent="0.2">
      <c r="A5063" s="5">
        <v>5002</v>
      </c>
      <c r="B5063" s="138">
        <f>'Revenues 9-14'!C7</f>
        <v>38679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2148863</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175115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175115</v>
      </c>
      <c r="C5071" s="2" t="s">
        <v>594</v>
      </c>
      <c r="D5071" s="2" t="str">
        <f t="shared" si="78"/>
        <v>Error?</v>
      </c>
    </row>
    <row r="5072" spans="1:4" x14ac:dyDescent="0.2">
      <c r="A5072" s="5">
        <v>5011</v>
      </c>
      <c r="B5072" s="138">
        <f>'Revenues 9-14'!C20</f>
        <v>6155</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6155</v>
      </c>
      <c r="C5087" s="2" t="s">
        <v>594</v>
      </c>
      <c r="D5087" s="2" t="str">
        <f t="shared" si="78"/>
        <v>Error?</v>
      </c>
    </row>
    <row r="5088" spans="1:4" x14ac:dyDescent="0.2">
      <c r="A5088" s="5">
        <v>5027</v>
      </c>
      <c r="B5088" s="138">
        <f>'Revenues 9-14'!C65</f>
        <v>3939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3939</v>
      </c>
      <c r="C5090" s="2" t="s">
        <v>594</v>
      </c>
      <c r="D5090" s="2" t="str">
        <f t="shared" si="78"/>
        <v>Error?</v>
      </c>
    </row>
    <row r="5091" spans="1:4" x14ac:dyDescent="0.2">
      <c r="A5091" s="5">
        <v>5030</v>
      </c>
      <c r="B5091" s="138">
        <f>'Revenues 9-14'!C70</f>
        <v>11393</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111240</v>
      </c>
      <c r="C5096" s="2" t="s">
        <v>594</v>
      </c>
      <c r="D5096" s="2" t="str">
        <f t="shared" si="78"/>
        <v>Error?</v>
      </c>
    </row>
    <row r="5097" spans="1:4" x14ac:dyDescent="0.2">
      <c r="A5097" s="5">
        <v>5036</v>
      </c>
      <c r="B5097" s="138">
        <f>'Revenues 9-14'!C77</f>
        <v>30024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74450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104474</v>
      </c>
      <c r="C5102" s="2" t="s">
        <v>594</v>
      </c>
      <c r="D5102" s="2" t="str">
        <f t="shared" si="78"/>
        <v>Error?</v>
      </c>
    </row>
    <row r="5103" spans="1:4" x14ac:dyDescent="0.2">
      <c r="A5103" s="5">
        <v>5042</v>
      </c>
      <c r="B5103" s="138">
        <f>'Revenues 9-14'!C84</f>
        <v>59994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59994</v>
      </c>
      <c r="C5112" s="2" t="s">
        <v>594</v>
      </c>
      <c r="D5112" s="2" t="str">
        <f t="shared" si="78"/>
        <v>Error?</v>
      </c>
    </row>
    <row r="5113" spans="1:4" x14ac:dyDescent="0.2">
      <c r="A5113" s="5">
        <v>5052</v>
      </c>
      <c r="B5113" s="138">
        <f>'Revenues 9-14'!C95</f>
        <v>900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985</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64349</v>
      </c>
      <c r="D5119" s="2" t="str">
        <f t="shared" ref="D5119:D5182" si="79">IF(ISBLANK(B5119),"OK",IF(A5119-B5119=0,"OK","Error?"))</f>
        <v>Error?</v>
      </c>
    </row>
    <row r="5120" spans="1:4" x14ac:dyDescent="0.2">
      <c r="A5120" s="5">
        <v>5059</v>
      </c>
      <c r="B5120" s="138">
        <f>'Revenues 9-14'!C108</f>
        <v>66234</v>
      </c>
      <c r="C5120" s="2" t="s">
        <v>594</v>
      </c>
      <c r="D5120" s="2" t="str">
        <f t="shared" si="79"/>
        <v>Error?</v>
      </c>
    </row>
    <row r="5121" spans="1:4" x14ac:dyDescent="0.2">
      <c r="A5121" s="5">
        <v>5060</v>
      </c>
      <c r="B5121" s="138">
        <f>'Revenues 9-14'!C109</f>
        <v>2676014</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4319266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4319266</v>
      </c>
      <c r="C5132" s="2" t="s">
        <v>594</v>
      </c>
      <c r="D5132" s="2" t="str">
        <f t="shared" si="79"/>
        <v>Error?</v>
      </c>
    </row>
    <row r="5133" spans="1:4" x14ac:dyDescent="0.2">
      <c r="A5133" s="5">
        <v>5072</v>
      </c>
      <c r="B5133" s="138">
        <f>'Revenues 9-14'!C124</f>
        <v>74058</v>
      </c>
      <c r="D5133" s="2" t="str">
        <f t="shared" si="79"/>
        <v>Error?</v>
      </c>
    </row>
    <row r="5134" spans="1:4" x14ac:dyDescent="0.2">
      <c r="A5134" s="5">
        <v>5073</v>
      </c>
      <c r="B5134" s="138">
        <f>'Revenues 9-14'!C125</f>
        <v>80453</v>
      </c>
      <c r="D5134" s="2" t="str">
        <f t="shared" si="79"/>
        <v>Error?</v>
      </c>
    </row>
    <row r="5135" spans="1:4" x14ac:dyDescent="0.2">
      <c r="A5135" s="5">
        <v>5074</v>
      </c>
      <c r="B5135" s="138">
        <f>'Revenues 9-14'!C126</f>
        <v>37779</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2561</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194851</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24375</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27601</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3781</v>
      </c>
      <c r="D5167" s="2" t="str">
        <f t="shared" si="79"/>
        <v>Error?</v>
      </c>
    </row>
    <row r="5168" spans="1:4" x14ac:dyDescent="0.2">
      <c r="A5168" s="5">
        <v>5107</v>
      </c>
      <c r="B5168" s="138">
        <f>'Revenues 9-14'!C147</f>
        <v>26293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313201</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565783</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4885049</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188286</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52979</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241265</v>
      </c>
      <c r="C5246" s="2" t="s">
        <v>594</v>
      </c>
      <c r="D5246" s="2" t="str">
        <f t="shared" si="80"/>
        <v>Error?</v>
      </c>
    </row>
    <row r="5247" spans="1:4" x14ac:dyDescent="0.2">
      <c r="A5247" s="5">
        <v>5186</v>
      </c>
      <c r="B5247" s="138">
        <f>'Revenues 9-14'!C203</f>
        <v>232316</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232316</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15426</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331543</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346969</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11166</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11166</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936335</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936335</v>
      </c>
      <c r="C5326" s="2" t="s">
        <v>594</v>
      </c>
      <c r="D5326" s="2" t="str">
        <f t="shared" si="82"/>
        <v>Error?</v>
      </c>
    </row>
    <row r="5327" spans="1:4" x14ac:dyDescent="0.2">
      <c r="A5327" s="5">
        <v>5266</v>
      </c>
      <c r="B5327" s="138">
        <f>'Revenues 9-14'!C275</f>
        <v>8497398</v>
      </c>
      <c r="C5327" s="2" t="s">
        <v>594</v>
      </c>
      <c r="D5327" s="2" t="str">
        <f t="shared" si="82"/>
        <v>Error?</v>
      </c>
    </row>
    <row r="5328" spans="1:4" x14ac:dyDescent="0.2">
      <c r="A5328" s="5">
        <v>5267</v>
      </c>
      <c r="B5328" s="138">
        <f>'Revenues 9-14'!D5</f>
        <v>484596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484596</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752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752</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23400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54707</v>
      </c>
      <c r="D5354" s="2" t="str">
        <f t="shared" si="82"/>
        <v>Error?</v>
      </c>
    </row>
    <row r="5355" spans="1:4" x14ac:dyDescent="0.2">
      <c r="A5355" s="5">
        <v>5294</v>
      </c>
      <c r="B5355" s="138">
        <f>'Revenues 9-14'!D108</f>
        <v>78107</v>
      </c>
      <c r="C5355" s="2" t="s">
        <v>594</v>
      </c>
      <c r="D5355" s="2" t="str">
        <f t="shared" si="82"/>
        <v>Error?</v>
      </c>
    </row>
    <row r="5356" spans="1:4" x14ac:dyDescent="0.2">
      <c r="A5356" s="5">
        <v>5295</v>
      </c>
      <c r="B5356" s="138">
        <f>'Revenues 9-14'!D109</f>
        <v>563455</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300000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300000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300000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863455</v>
      </c>
      <c r="C5508" s="2" t="s">
        <v>594</v>
      </c>
      <c r="D5508" s="2" t="str">
        <f t="shared" si="85"/>
        <v>Error?</v>
      </c>
    </row>
    <row r="5509" spans="1:4" x14ac:dyDescent="0.2">
      <c r="A5509" s="5">
        <v>5448</v>
      </c>
      <c r="B5509" s="138">
        <f>'Revenues 9-14'!E5</f>
        <v>247446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247446</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642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642</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163832</v>
      </c>
      <c r="C5526" s="2" t="s">
        <v>594</v>
      </c>
      <c r="D5526" s="2" t="str">
        <f t="shared" si="85"/>
        <v>Error?</v>
      </c>
    </row>
    <row r="5527" spans="1:4" x14ac:dyDescent="0.2">
      <c r="A5527" s="5">
        <v>5466</v>
      </c>
      <c r="B5527" s="138">
        <f>'Revenues 9-14'!E109</f>
        <v>411920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411920</v>
      </c>
      <c r="C5552" s="2" t="s">
        <v>594</v>
      </c>
      <c r="D5552" s="2" t="str">
        <f t="shared" si="85"/>
        <v>Error?</v>
      </c>
    </row>
    <row r="5553" spans="1:4" x14ac:dyDescent="0.2">
      <c r="A5553" s="5">
        <v>5492</v>
      </c>
      <c r="B5553" s="138">
        <f>'Revenues 9-14'!F5</f>
        <v>225400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225400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7741</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7741</v>
      </c>
      <c r="C5579" s="2" t="s">
        <v>594</v>
      </c>
      <c r="D5579" s="2" t="str">
        <f t="shared" si="86"/>
        <v>Error?</v>
      </c>
    </row>
    <row r="5580" spans="1:4" x14ac:dyDescent="0.2">
      <c r="A5580" s="5">
        <v>5519</v>
      </c>
      <c r="B5580" s="138">
        <f>'Revenues 9-14'!F65</f>
        <v>2213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2213</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3866</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1575</v>
      </c>
      <c r="D5586" s="2" t="str">
        <f t="shared" si="86"/>
        <v>Error?</v>
      </c>
    </row>
    <row r="5587" spans="1:4" x14ac:dyDescent="0.2">
      <c r="A5587" s="5">
        <v>5526</v>
      </c>
      <c r="B5587" s="138">
        <f>'Revenues 9-14'!F108</f>
        <v>5441</v>
      </c>
      <c r="C5587" s="2" t="s">
        <v>594</v>
      </c>
      <c r="D5587" s="2" t="str">
        <f t="shared" si="86"/>
        <v>Error?</v>
      </c>
    </row>
    <row r="5588" spans="1:4" x14ac:dyDescent="0.2">
      <c r="A5588" s="5">
        <v>5527</v>
      </c>
      <c r="B5588" s="138">
        <f>'Revenues 9-14'!F109</f>
        <v>240795</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110936</v>
      </c>
      <c r="D5615" s="2" t="str">
        <f t="shared" si="86"/>
        <v>Error?</v>
      </c>
    </row>
    <row r="5616" spans="1:4" x14ac:dyDescent="0.2">
      <c r="A5616" s="10">
        <v>5555</v>
      </c>
      <c r="D5616" s="2" t="str">
        <f t="shared" si="86"/>
        <v>OK</v>
      </c>
    </row>
    <row r="5617" spans="1:4" x14ac:dyDescent="0.2">
      <c r="A5617" s="5">
        <v>5556</v>
      </c>
      <c r="B5617" s="138">
        <f>'Revenues 9-14'!F152</f>
        <v>142753</v>
      </c>
      <c r="D5617" s="2" t="str">
        <f t="shared" si="86"/>
        <v>Error?</v>
      </c>
    </row>
    <row r="5618" spans="1:4" x14ac:dyDescent="0.2">
      <c r="A5618" s="5">
        <v>5557</v>
      </c>
      <c r="B5618" s="138">
        <f>'Revenues 9-14'!F154</f>
        <v>253689</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253689</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253689</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494484</v>
      </c>
      <c r="C5720" s="2" t="s">
        <v>594</v>
      </c>
      <c r="D5720" s="2" t="str">
        <f t="shared" si="88"/>
        <v>Error?</v>
      </c>
    </row>
    <row r="5721" spans="1:4" x14ac:dyDescent="0.2">
      <c r="A5721" s="5">
        <v>5660</v>
      </c>
      <c r="B5721" s="138">
        <f>'Revenues 9-14'!G5</f>
        <v>1008</v>
      </c>
      <c r="D5721" s="2" t="str">
        <f t="shared" si="88"/>
        <v>Error?</v>
      </c>
    </row>
    <row r="5722" spans="1:4" x14ac:dyDescent="0.2">
      <c r="A5722" s="5">
        <v>5661</v>
      </c>
      <c r="B5722" s="138">
        <f>'Revenues 9-14'!G7</f>
        <v>0</v>
      </c>
      <c r="D5722" s="2" t="str">
        <f t="shared" si="88"/>
        <v>Error?</v>
      </c>
    </row>
    <row r="5723" spans="1:4" x14ac:dyDescent="0.2">
      <c r="A5723" s="5">
        <v>5662</v>
      </c>
      <c r="B5723" s="138">
        <f>'Revenues 9-14'!G8</f>
        <v>131791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132799</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10117</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10117</v>
      </c>
      <c r="C5730" s="2" t="s">
        <v>594</v>
      </c>
      <c r="D5730" s="2" t="str">
        <f t="shared" si="88"/>
        <v>Error?</v>
      </c>
    </row>
    <row r="5731" spans="1:4" x14ac:dyDescent="0.2">
      <c r="A5731" s="5">
        <v>5670</v>
      </c>
      <c r="B5731" s="138">
        <f>'Revenues 9-14'!G65</f>
        <v>982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982</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143898</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1376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1376</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125347</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126723</v>
      </c>
      <c r="C5915" s="2" t="s">
        <v>594</v>
      </c>
      <c r="D5915" s="2" t="str">
        <f t="shared" si="91"/>
        <v>Error?</v>
      </c>
    </row>
    <row r="5916" spans="1:4" x14ac:dyDescent="0.2">
      <c r="A5916" s="5">
        <v>5855</v>
      </c>
      <c r="B5916" s="138">
        <f>'Revenues 9-14'!I5</f>
        <v>48999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48999</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3861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3861</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52860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48996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48996</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371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371</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49367</v>
      </c>
      <c r="C6023" s="2" t="s">
        <v>594</v>
      </c>
      <c r="D6023" s="2" t="str">
        <f t="shared" si="93"/>
        <v>Error?</v>
      </c>
    </row>
    <row r="6024" spans="1:5" x14ac:dyDescent="0.2">
      <c r="A6024" s="5">
        <v>5963</v>
      </c>
      <c r="B6024" s="138">
        <f>'Revenues 9-14'!G109</f>
        <v>143898</v>
      </c>
      <c r="C6024" s="2" t="s">
        <v>594</v>
      </c>
      <c r="D6024" s="2" t="str">
        <f t="shared" si="93"/>
        <v>Error?</v>
      </c>
    </row>
    <row r="6025" spans="1:5" x14ac:dyDescent="0.2">
      <c r="A6025" s="5">
        <v>5964</v>
      </c>
      <c r="B6025" s="138">
        <f>'Revenues 9-14'!H109</f>
        <v>126723</v>
      </c>
      <c r="C6025" s="2" t="s">
        <v>594</v>
      </c>
      <c r="D6025" s="2" t="str">
        <f t="shared" si="93"/>
        <v>Error?</v>
      </c>
    </row>
    <row r="6026" spans="1:5" x14ac:dyDescent="0.2">
      <c r="A6026" s="5">
        <v>5965</v>
      </c>
      <c r="B6026" s="138">
        <f>'Revenues 9-14'!I109</f>
        <v>52860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49367</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99847</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17861</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1170.8800000000001</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76638</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76638</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76638</v>
      </c>
      <c r="D6216" s="2" t="str">
        <f t="shared" si="96"/>
        <v>Error?</v>
      </c>
      <c r="E6216" s="2" t="s">
        <v>199</v>
      </c>
    </row>
    <row r="6217" spans="1:5" x14ac:dyDescent="0.2">
      <c r="A6217">
        <v>6156</v>
      </c>
      <c r="B6217" s="138">
        <f>'Assets-Liab 5-6'!J4</f>
        <v>76638</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211987</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211987</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211987</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209147</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209147</v>
      </c>
      <c r="D6229" s="2" t="str">
        <f t="shared" si="96"/>
        <v>Error?</v>
      </c>
      <c r="E6229" s="2" t="s">
        <v>199</v>
      </c>
    </row>
    <row r="6230" spans="1:5" x14ac:dyDescent="0.2">
      <c r="A6230">
        <v>6169</v>
      </c>
      <c r="B6230" s="138">
        <f>'Acct Summary 7-8'!J20</f>
        <v>2840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2840</v>
      </c>
      <c r="D6263" s="2" t="str">
        <f t="shared" si="96"/>
        <v>Error?</v>
      </c>
      <c r="E6263" s="2" t="s">
        <v>199</v>
      </c>
    </row>
    <row r="6264" spans="1:5" x14ac:dyDescent="0.2">
      <c r="A6264">
        <v>6203</v>
      </c>
      <c r="B6264" s="138">
        <f>'Acct Summary 7-8'!J79</f>
        <v>73798</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76638</v>
      </c>
      <c r="D6266" s="2" t="str">
        <f t="shared" si="96"/>
        <v>Error?</v>
      </c>
      <c r="E6266" s="2" t="s">
        <v>199</v>
      </c>
    </row>
    <row r="6267" spans="1:5" x14ac:dyDescent="0.2">
      <c r="A6267">
        <v>6206</v>
      </c>
      <c r="B6267" s="138">
        <f>'Acct Summary 7-8'!C82</f>
        <v>498494</v>
      </c>
      <c r="D6267" s="2" t="str">
        <f t="shared" si="96"/>
        <v>Error?</v>
      </c>
      <c r="E6267" s="2" t="s">
        <v>199</v>
      </c>
    </row>
    <row r="6268" spans="1:5" x14ac:dyDescent="0.2">
      <c r="A6268">
        <v>6207</v>
      </c>
      <c r="B6268" s="138">
        <f>'Acct Summary 7-8'!D82</f>
        <v>-52117</v>
      </c>
      <c r="D6268" s="2" t="str">
        <f t="shared" si="96"/>
        <v>Error?</v>
      </c>
      <c r="E6268" s="2" t="s">
        <v>199</v>
      </c>
    </row>
    <row r="6269" spans="1:5" x14ac:dyDescent="0.2">
      <c r="A6269">
        <v>6208</v>
      </c>
      <c r="B6269" s="138">
        <f>'Acct Summary 7-8'!E82</f>
        <v>-8446</v>
      </c>
      <c r="D6269" s="2" t="str">
        <f t="shared" si="96"/>
        <v>Error?</v>
      </c>
      <c r="E6269" s="2" t="s">
        <v>199</v>
      </c>
    </row>
    <row r="6270" spans="1:5" x14ac:dyDescent="0.2">
      <c r="A6270">
        <v>6209</v>
      </c>
      <c r="B6270" s="138">
        <f>'Acct Summary 7-8'!F82</f>
        <v>40555</v>
      </c>
      <c r="D6270" s="2" t="str">
        <f t="shared" si="96"/>
        <v>Error?</v>
      </c>
      <c r="E6270" s="2" t="s">
        <v>199</v>
      </c>
    </row>
    <row r="6271" spans="1:5" x14ac:dyDescent="0.2">
      <c r="A6271">
        <v>6210</v>
      </c>
      <c r="B6271" s="138">
        <f>'Acct Summary 7-8'!G82</f>
        <v>-159547</v>
      </c>
      <c r="D6271" s="2" t="str">
        <f t="shared" ref="D6271:D6334" si="97">IF(ISBLANK(B6271),"OK",IF(A6271-B6271=0,"OK","Error?"))</f>
        <v>Error?</v>
      </c>
      <c r="E6271" s="2" t="s">
        <v>199</v>
      </c>
    </row>
    <row r="6272" spans="1:5" x14ac:dyDescent="0.2">
      <c r="A6272">
        <v>6211</v>
      </c>
      <c r="B6272" s="138">
        <f>'Acct Summary 7-8'!H82</f>
        <v>-757285</v>
      </c>
      <c r="D6272" s="2" t="str">
        <f t="shared" si="97"/>
        <v>Error?</v>
      </c>
      <c r="E6272" s="2" t="s">
        <v>199</v>
      </c>
    </row>
    <row r="6273" spans="1:5" x14ac:dyDescent="0.2">
      <c r="A6273">
        <v>6212</v>
      </c>
      <c r="B6273" s="138">
        <f>'Acct Summary 7-8'!I82</f>
        <v>52860</v>
      </c>
      <c r="D6273" s="2" t="str">
        <f t="shared" si="97"/>
        <v>Error?</v>
      </c>
      <c r="E6273" s="2" t="s">
        <v>199</v>
      </c>
    </row>
    <row r="6274" spans="1:5" x14ac:dyDescent="0.2">
      <c r="A6274">
        <v>6213</v>
      </c>
      <c r="B6274" s="138">
        <f>'Acct Summary 7-8'!J82</f>
        <v>2840</v>
      </c>
      <c r="D6274" s="2" t="str">
        <f t="shared" si="97"/>
        <v>Error?</v>
      </c>
      <c r="E6274" s="2" t="s">
        <v>199</v>
      </c>
    </row>
    <row r="6275" spans="1:5" x14ac:dyDescent="0.2">
      <c r="A6275">
        <v>6214</v>
      </c>
      <c r="B6275" s="138">
        <f>'Acct Summary 7-8'!K82</f>
        <v>20432</v>
      </c>
      <c r="D6275" s="2" t="str">
        <f t="shared" si="97"/>
        <v>Error?</v>
      </c>
      <c r="E6275" s="2" t="s">
        <v>199</v>
      </c>
    </row>
    <row r="6276" spans="1:5" x14ac:dyDescent="0.2">
      <c r="A6276">
        <v>6215</v>
      </c>
      <c r="B6276" s="138">
        <f>'Acct Summary 7-8'!C83</f>
        <v>0.49115999889647777</v>
      </c>
      <c r="D6276" s="2" t="str">
        <f t="shared" si="97"/>
        <v>Error?</v>
      </c>
      <c r="E6276" s="2" t="s">
        <v>199</v>
      </c>
    </row>
    <row r="6277" spans="1:5" x14ac:dyDescent="0.2">
      <c r="A6277">
        <v>6216</v>
      </c>
      <c r="B6277" s="138">
        <f>'Acct Summary 7-8'!D83</f>
        <v>-0.47368325380595322</v>
      </c>
      <c r="D6277" s="2" t="str">
        <f t="shared" si="97"/>
        <v>Error?</v>
      </c>
      <c r="E6277" s="2" t="s">
        <v>199</v>
      </c>
    </row>
    <row r="6278" spans="1:5" x14ac:dyDescent="0.2">
      <c r="A6278">
        <v>6217</v>
      </c>
      <c r="B6278" s="138">
        <f>'Acct Summary 7-8'!E83</f>
        <v>-3.712103232158083E-2</v>
      </c>
      <c r="D6278" s="2" t="str">
        <f t="shared" si="97"/>
        <v>Error?</v>
      </c>
      <c r="E6278" s="2" t="s">
        <v>199</v>
      </c>
    </row>
    <row r="6279" spans="1:5" x14ac:dyDescent="0.2">
      <c r="A6279">
        <v>6218</v>
      </c>
      <c r="B6279" s="138">
        <f>'Acct Summary 7-8'!F83</f>
        <v>6.1450880207528355E-2</v>
      </c>
      <c r="D6279" s="2" t="str">
        <f t="shared" si="97"/>
        <v>Error?</v>
      </c>
      <c r="E6279" s="2" t="s">
        <v>199</v>
      </c>
    </row>
    <row r="6280" spans="1:5" x14ac:dyDescent="0.2">
      <c r="A6280">
        <v>6219</v>
      </c>
      <c r="B6280" s="138">
        <f>'Acct Summary 7-8'!G83</f>
        <v>-0.84977976149261525</v>
      </c>
      <c r="D6280" s="2" t="str">
        <f t="shared" si="97"/>
        <v>Error?</v>
      </c>
      <c r="E6280" s="2" t="s">
        <v>199</v>
      </c>
    </row>
    <row r="6281" spans="1:5" x14ac:dyDescent="0.2">
      <c r="A6281">
        <v>6220</v>
      </c>
      <c r="B6281" s="138">
        <f>'Acct Summary 7-8'!H83</f>
        <v>-2.9254955438717127</v>
      </c>
      <c r="D6281" s="2" t="str">
        <f t="shared" si="97"/>
        <v>Error?</v>
      </c>
      <c r="E6281" s="2" t="s">
        <v>199</v>
      </c>
    </row>
    <row r="6282" spans="1:5" x14ac:dyDescent="0.2">
      <c r="A6282">
        <v>6221</v>
      </c>
      <c r="B6282" s="138">
        <f>'Acct Summary 7-8'!I83</f>
        <v>4.2237787717960891E-2</v>
      </c>
      <c r="D6282" s="2" t="str">
        <f t="shared" si="97"/>
        <v>Error?</v>
      </c>
      <c r="E6282" s="2" t="s">
        <v>199</v>
      </c>
    </row>
    <row r="6283" spans="1:5" x14ac:dyDescent="0.2">
      <c r="A6283">
        <v>6222</v>
      </c>
      <c r="B6283" s="138">
        <f>'Acct Summary 7-8'!J83</f>
        <v>3.7057334481588766E-2</v>
      </c>
      <c r="D6283" s="2" t="str">
        <f t="shared" si="97"/>
        <v>Error?</v>
      </c>
      <c r="E6283" s="2" t="s">
        <v>199</v>
      </c>
    </row>
    <row r="6284" spans="1:5" x14ac:dyDescent="0.2">
      <c r="A6284">
        <v>6223</v>
      </c>
      <c r="B6284" s="138">
        <f>'Acct Summary 7-8'!K83</f>
        <v>0.18087178216068836</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211779</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211779</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208</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208</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211987</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3226</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142165</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197246</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4500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4500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4500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706664</v>
      </c>
      <c r="D6983" s="2" t="str">
        <f t="shared" si="108"/>
        <v>Error?</v>
      </c>
    </row>
    <row r="6984" spans="1:4" x14ac:dyDescent="0.2">
      <c r="A6984">
        <v>6923</v>
      </c>
      <c r="B6984" s="138">
        <f>'Expenditures 15-22'!K86</f>
        <v>706664</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706664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4500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209147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211987</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9441</v>
      </c>
      <c r="D7073" s="2" t="str">
        <f t="shared" si="109"/>
        <v>Error?</v>
      </c>
    </row>
    <row r="7074" spans="1:4" x14ac:dyDescent="0.2">
      <c r="A7074">
        <v>7013</v>
      </c>
      <c r="B7074" s="138">
        <f>'Expenditures 15-22'!K216</f>
        <v>9441</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104926</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104926</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5024</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5024</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209147</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209147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209147</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209147</v>
      </c>
      <c r="D7224" s="2" t="str">
        <f t="shared" si="111"/>
        <v>Error?</v>
      </c>
    </row>
    <row r="7225" spans="1:4" x14ac:dyDescent="0.2">
      <c r="A7225">
        <v>7164</v>
      </c>
      <c r="B7225" s="138">
        <f>'Expenditures 15-22'!K343</f>
        <v>2840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12850</v>
      </c>
      <c r="D7246" s="2" t="str">
        <f t="shared" si="112"/>
        <v>Error?</v>
      </c>
    </row>
    <row r="7247" spans="1:4" x14ac:dyDescent="0.2">
      <c r="A7247">
        <f t="shared" si="113"/>
        <v>7186</v>
      </c>
      <c r="B7247" s="138">
        <f>'Expenditures 15-22'!E7</f>
        <v>1491</v>
      </c>
      <c r="D7247" s="2" t="str">
        <f t="shared" si="112"/>
        <v>Error?</v>
      </c>
    </row>
    <row r="7248" spans="1:4" x14ac:dyDescent="0.2">
      <c r="A7248">
        <f t="shared" si="113"/>
        <v>7187</v>
      </c>
      <c r="B7248" s="138">
        <f>'Expenditures 15-22'!F7</f>
        <v>22156</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18584</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401788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98871</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98871</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326</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326</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289179</v>
      </c>
      <c r="D7713" s="2" t="str">
        <f t="shared" si="126"/>
        <v>Error?</v>
      </c>
      <c r="E7713" s="2" t="s">
        <v>881</v>
      </c>
    </row>
    <row r="7714" spans="1:6" x14ac:dyDescent="0.2">
      <c r="A7714">
        <v>7653</v>
      </c>
      <c r="B7714" s="138">
        <f>'Rest Tax Levies-Tort Im 25'!K9</f>
        <v>26293</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289179</v>
      </c>
      <c r="D7718" s="2" t="str">
        <f t="shared" si="126"/>
        <v>Error?</v>
      </c>
      <c r="E7718" s="2" t="s">
        <v>881</v>
      </c>
    </row>
    <row r="7719" spans="1:6" x14ac:dyDescent="0.2">
      <c r="A7719">
        <v>7658</v>
      </c>
      <c r="B7719" s="138">
        <f>'Rest Tax Levies-Tort Im 25'!K12</f>
        <v>26293</v>
      </c>
      <c r="D7719" s="2" t="str">
        <f t="shared" si="126"/>
        <v>Error?</v>
      </c>
      <c r="E7719" s="2" t="s">
        <v>881</v>
      </c>
    </row>
    <row r="7720" spans="1:6" x14ac:dyDescent="0.2">
      <c r="A7720">
        <v>7659</v>
      </c>
      <c r="B7720" s="138">
        <f>'Rest Tax Levies-Tort Im 25'!H14</f>
        <v>38679</v>
      </c>
      <c r="D7720" s="2" t="str">
        <f t="shared" si="126"/>
        <v>Error?</v>
      </c>
      <c r="E7720" s="2" t="s">
        <v>881</v>
      </c>
    </row>
    <row r="7721" spans="1:6" x14ac:dyDescent="0.2">
      <c r="A7721">
        <v>7660</v>
      </c>
      <c r="B7721" s="138">
        <f>'Rest Tax Levies-Tort Im 25'!K14</f>
        <v>26293</v>
      </c>
      <c r="D7721" s="2" t="str">
        <f t="shared" si="126"/>
        <v>Error?</v>
      </c>
      <c r="E7721" s="2" t="s">
        <v>881</v>
      </c>
    </row>
    <row r="7722" spans="1:6" x14ac:dyDescent="0.2">
      <c r="A7722">
        <v>7661</v>
      </c>
      <c r="B7722" s="138">
        <f>'Rest Tax Levies-Tort Im 25'!J15</f>
        <v>289179</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163832</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289179</v>
      </c>
      <c r="D7730" s="2" t="str">
        <f t="shared" si="126"/>
        <v>Error?</v>
      </c>
      <c r="E7730" s="2" t="s">
        <v>881</v>
      </c>
    </row>
    <row r="7731" spans="1:6" x14ac:dyDescent="0.2">
      <c r="A7731">
        <v>7670</v>
      </c>
      <c r="B7731" s="138">
        <f>'Revenues 9-14'!H103</f>
        <v>125347</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1963</v>
      </c>
    </row>
    <row r="7775" spans="1:5" x14ac:dyDescent="0.2">
      <c r="A7775">
        <v>7714</v>
      </c>
      <c r="B7775" s="138">
        <f>'Expenditures 15-22'!H133</f>
        <v>0</v>
      </c>
      <c r="D7775" s="2" t="str">
        <f t="shared" si="127"/>
        <v>Error?</v>
      </c>
      <c r="E7775" s="4" t="s">
        <v>1963</v>
      </c>
    </row>
    <row r="7776" spans="1:5" x14ac:dyDescent="0.2">
      <c r="A7776">
        <v>7715</v>
      </c>
      <c r="B7776" s="138">
        <f>'Expenditures 15-22'!K133</f>
        <v>0</v>
      </c>
      <c r="D7776" s="2" t="str">
        <f t="shared" si="127"/>
        <v>Error?</v>
      </c>
      <c r="E7776" s="4" t="s">
        <v>1963</v>
      </c>
    </row>
    <row r="7777" spans="1:5" x14ac:dyDescent="0.2">
      <c r="A7777">
        <v>7716</v>
      </c>
      <c r="B7777" s="138">
        <f>'Expenditures 15-22'!H157</f>
        <v>0</v>
      </c>
      <c r="D7777" s="2" t="str">
        <f t="shared" si="127"/>
        <v>Error?</v>
      </c>
      <c r="E7777" s="4" t="s">
        <v>1963</v>
      </c>
    </row>
    <row r="7778" spans="1:5" x14ac:dyDescent="0.2">
      <c r="A7778">
        <v>7717</v>
      </c>
      <c r="B7778" s="138">
        <f>'Expenditures 15-22'!K157</f>
        <v>0</v>
      </c>
      <c r="D7778" s="2" t="str">
        <f t="shared" si="127"/>
        <v>Error?</v>
      </c>
      <c r="E7778" s="4" t="s">
        <v>1963</v>
      </c>
    </row>
    <row r="7779" spans="1:5" x14ac:dyDescent="0.2">
      <c r="A7779">
        <v>7718</v>
      </c>
      <c r="B7779" s="138">
        <f>'Expenditures 15-22'!H158</f>
        <v>0</v>
      </c>
      <c r="D7779" s="2" t="str">
        <f t="shared" si="127"/>
        <v>Error?</v>
      </c>
      <c r="E7779" s="4" t="s">
        <v>1963</v>
      </c>
    </row>
    <row r="7780" spans="1:5" x14ac:dyDescent="0.2">
      <c r="A7780">
        <v>7719</v>
      </c>
      <c r="B7780" s="138">
        <f>'Expenditures 15-22'!K158</f>
        <v>0</v>
      </c>
      <c r="D7780" s="2" t="str">
        <f t="shared" si="127"/>
        <v>Error?</v>
      </c>
      <c r="E7780" s="4" t="s">
        <v>1963</v>
      </c>
    </row>
    <row r="7781" spans="1:5" x14ac:dyDescent="0.2">
      <c r="A7781">
        <v>7720</v>
      </c>
      <c r="B7781" s="138">
        <f>'Expenditures 15-22'!H159</f>
        <v>0</v>
      </c>
      <c r="D7781" s="2" t="str">
        <f t="shared" si="127"/>
        <v>Error?</v>
      </c>
      <c r="E7781" s="4" t="s">
        <v>1963</v>
      </c>
    </row>
    <row r="7782" spans="1:5" x14ac:dyDescent="0.2">
      <c r="A7782">
        <v>7721</v>
      </c>
      <c r="B7782" s="138">
        <f>'Expenditures 15-22'!K159</f>
        <v>0</v>
      </c>
      <c r="D7782" s="2" t="str">
        <f t="shared" si="127"/>
        <v>Error?</v>
      </c>
      <c r="E7782" s="4" t="s">
        <v>1963</v>
      </c>
    </row>
    <row r="7783" spans="1:5" x14ac:dyDescent="0.2">
      <c r="A7783">
        <v>7722</v>
      </c>
      <c r="B7783" s="138">
        <f>'Expenditures 15-22'!D282</f>
        <v>0</v>
      </c>
      <c r="D7783" s="2" t="str">
        <f t="shared" si="127"/>
        <v>Error?</v>
      </c>
      <c r="E7783" s="4" t="s">
        <v>1963</v>
      </c>
    </row>
    <row r="7784" spans="1:5" x14ac:dyDescent="0.2">
      <c r="A7784">
        <v>7723</v>
      </c>
      <c r="B7784" s="138">
        <f>'Expenditures 15-22'!K282</f>
        <v>0</v>
      </c>
      <c r="D7784" s="2" t="str">
        <f t="shared" si="127"/>
        <v>Error?</v>
      </c>
      <c r="E7784" s="4" t="s">
        <v>1963</v>
      </c>
    </row>
    <row r="7785" spans="1:5" x14ac:dyDescent="0.2">
      <c r="A7785">
        <v>7724</v>
      </c>
      <c r="B7785" s="138">
        <f>'Expenditures 15-22'!H332</f>
        <v>0</v>
      </c>
      <c r="D7785" s="2" t="str">
        <f t="shared" si="127"/>
        <v>Error?</v>
      </c>
      <c r="E7785" s="4" t="s">
        <v>1963</v>
      </c>
    </row>
    <row r="7786" spans="1:5" x14ac:dyDescent="0.2">
      <c r="A7786">
        <v>7725</v>
      </c>
      <c r="B7786" s="138">
        <f>'Expenditures 15-22'!K332</f>
        <v>0</v>
      </c>
      <c r="D7786" s="2" t="str">
        <f t="shared" si="127"/>
        <v>Error?</v>
      </c>
      <c r="E7786" s="4" t="s">
        <v>1963</v>
      </c>
    </row>
    <row r="7787" spans="1:5" x14ac:dyDescent="0.2">
      <c r="A7787">
        <v>7726</v>
      </c>
      <c r="B7787" s="138">
        <f>'Expenditures 15-22'!H333</f>
        <v>0</v>
      </c>
      <c r="D7787" s="2" t="str">
        <f t="shared" si="127"/>
        <v>Error?</v>
      </c>
      <c r="E7787" s="4" t="s">
        <v>1963</v>
      </c>
    </row>
    <row r="7788" spans="1:5" x14ac:dyDescent="0.2">
      <c r="A7788">
        <v>7727</v>
      </c>
      <c r="B7788" s="138">
        <f>'Expenditures 15-22'!K333</f>
        <v>0</v>
      </c>
      <c r="D7788" s="2" t="str">
        <f t="shared" si="127"/>
        <v>Error?</v>
      </c>
      <c r="E7788" s="4" t="s">
        <v>1963</v>
      </c>
    </row>
    <row r="7789" spans="1:5" x14ac:dyDescent="0.2">
      <c r="A7789">
        <v>7728</v>
      </c>
      <c r="B7789" s="138">
        <f>'Expenditures 15-22'!H334</f>
        <v>0</v>
      </c>
      <c r="D7789" s="2" t="str">
        <f t="shared" si="127"/>
        <v>Error?</v>
      </c>
      <c r="E7789" s="4" t="s">
        <v>1963</v>
      </c>
    </row>
    <row r="7790" spans="1:5" x14ac:dyDescent="0.2">
      <c r="A7790">
        <v>7729</v>
      </c>
      <c r="B7790" s="138">
        <f>'Expenditures 15-22'!K334</f>
        <v>0</v>
      </c>
      <c r="D7790" s="2" t="str">
        <f t="shared" si="127"/>
        <v>Error?</v>
      </c>
      <c r="E7790" s="4" t="s">
        <v>1963</v>
      </c>
    </row>
    <row r="7791" spans="1:5" x14ac:dyDescent="0.2">
      <c r="A7791">
        <v>7730</v>
      </c>
      <c r="B7791" s="138">
        <f>'Expenditures 15-22'!H354</f>
        <v>0</v>
      </c>
      <c r="D7791" s="2" t="str">
        <f t="shared" si="127"/>
        <v>Error?</v>
      </c>
      <c r="E7791" s="4" t="s">
        <v>1963</v>
      </c>
    </row>
    <row r="7792" spans="1:5" x14ac:dyDescent="0.2">
      <c r="A7792">
        <v>7731</v>
      </c>
      <c r="B7792" s="138">
        <f>'Expenditures 15-22'!K354</f>
        <v>0</v>
      </c>
      <c r="D7792" s="2" t="str">
        <f t="shared" si="127"/>
        <v>Error?</v>
      </c>
      <c r="E7792" s="4" t="s">
        <v>1963</v>
      </c>
    </row>
    <row r="7793" spans="1:5" x14ac:dyDescent="0.2">
      <c r="A7793">
        <v>7732</v>
      </c>
      <c r="B7793" s="138">
        <f>'Expenditures 15-22'!H355</f>
        <v>0</v>
      </c>
      <c r="D7793" s="2" t="str">
        <f t="shared" si="127"/>
        <v>Error?</v>
      </c>
      <c r="E7793" s="4" t="s">
        <v>1963</v>
      </c>
    </row>
    <row r="7794" spans="1:5" x14ac:dyDescent="0.2">
      <c r="A7794">
        <v>7733</v>
      </c>
      <c r="B7794" s="138">
        <f>'Expenditures 15-22'!K355</f>
        <v>0</v>
      </c>
      <c r="D7794" s="2" t="str">
        <f t="shared" si="127"/>
        <v>Error?</v>
      </c>
      <c r="E7794" s="4" t="s">
        <v>1963</v>
      </c>
    </row>
    <row r="7795" spans="1:5" x14ac:dyDescent="0.2">
      <c r="A7795">
        <v>7734</v>
      </c>
      <c r="B7795" s="138">
        <f>'Expenditures 15-22'!E138</f>
        <v>0</v>
      </c>
      <c r="D7795" s="2" t="str">
        <f t="shared" si="127"/>
        <v>Error?</v>
      </c>
      <c r="E7795" s="4" t="s">
        <v>1963</v>
      </c>
    </row>
    <row r="7796" spans="1:5" x14ac:dyDescent="0.2">
      <c r="A7796">
        <v>7735</v>
      </c>
      <c r="B7796" s="138">
        <f>'Acct Summary 7-8'!J15</f>
        <v>0</v>
      </c>
      <c r="D7796" s="2" t="str">
        <f t="shared" si="127"/>
        <v>Error?</v>
      </c>
      <c r="E7796" s="4" t="s">
        <v>1963</v>
      </c>
    </row>
    <row r="7797" spans="1:5" x14ac:dyDescent="0.2">
      <c r="A7797">
        <v>7736</v>
      </c>
      <c r="B7797" s="138">
        <f>'Contracts Paid in CY 29'!D141</f>
        <v>0</v>
      </c>
      <c r="D7797" s="2" t="str">
        <f t="shared" si="127"/>
        <v>Error?</v>
      </c>
      <c r="E7797" s="4" t="s">
        <v>2016</v>
      </c>
    </row>
    <row r="7798" spans="1:5" x14ac:dyDescent="0.2">
      <c r="A7798">
        <v>7737</v>
      </c>
      <c r="B7798" s="138">
        <f>'Contracts Paid in CY 29'!F141</f>
        <v>0</v>
      </c>
      <c r="D7798" s="2" t="str">
        <f t="shared" si="127"/>
        <v>Error?</v>
      </c>
      <c r="E7798" s="4" t="s">
        <v>2016</v>
      </c>
    </row>
    <row r="7799" spans="1:5" x14ac:dyDescent="0.2">
      <c r="A7799">
        <v>7738</v>
      </c>
      <c r="B7799" s="138">
        <f>'Contracts Paid in CY 29'!G141</f>
        <v>0</v>
      </c>
      <c r="D7799" s="2" t="str">
        <f t="shared" si="127"/>
        <v>Error?</v>
      </c>
      <c r="E7799" s="4" t="s">
        <v>2016</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9" zoomScale="110" zoomScaleNormal="110" workbookViewId="0">
      <selection activeCell="B43" sqref="B43"/>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0" t="s">
        <v>1253</v>
      </c>
      <c r="B2" s="2420"/>
      <c r="C2" s="2420"/>
      <c r="D2" s="2420"/>
      <c r="E2" s="2420"/>
      <c r="F2" s="2420"/>
      <c r="G2" s="2420"/>
      <c r="H2" s="2420"/>
      <c r="I2" s="2420"/>
      <c r="J2" s="2420"/>
      <c r="K2" s="2420"/>
      <c r="L2" s="2420"/>
    </row>
    <row r="3" spans="1:29" ht="13.5" customHeight="1" x14ac:dyDescent="0.2">
      <c r="A3" s="2406" t="s">
        <v>1252</v>
      </c>
      <c r="B3" s="2406"/>
      <c r="C3" s="2406"/>
      <c r="D3" s="2406"/>
      <c r="E3" s="2406"/>
      <c r="F3" s="2406"/>
      <c r="G3" s="2406"/>
      <c r="H3" s="2406"/>
      <c r="I3" s="2406"/>
      <c r="J3" s="2406"/>
      <c r="K3" s="2406"/>
      <c r="L3" s="2406"/>
    </row>
    <row r="4" spans="1:29" ht="13.5" customHeight="1" x14ac:dyDescent="0.2">
      <c r="A4" s="2420" t="s">
        <v>1799</v>
      </c>
      <c r="B4" s="2437"/>
      <c r="C4" s="2437"/>
      <c r="D4" s="2437"/>
      <c r="E4" s="2437"/>
      <c r="F4" s="2437"/>
      <c r="G4" s="2437"/>
      <c r="H4" s="2437"/>
      <c r="I4" s="2437"/>
      <c r="J4" s="2437"/>
      <c r="K4" s="2437"/>
      <c r="L4" s="2437"/>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0" t="str">
        <f>COVER!A17</f>
        <v>Staunton CUSD 6</v>
      </c>
      <c r="B7" s="2401"/>
      <c r="C7" s="2401"/>
      <c r="D7" s="2438"/>
      <c r="E7" s="2439">
        <f>COVER!A13</f>
        <v>40056006026</v>
      </c>
      <c r="F7" s="2440"/>
      <c r="G7" s="2407" t="str">
        <f>COVER!T23</f>
        <v>060-003363</v>
      </c>
      <c r="H7" s="2408"/>
      <c r="I7" s="2408"/>
      <c r="J7" s="2408"/>
      <c r="K7" s="2408"/>
      <c r="L7" s="2409"/>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0"/>
      <c r="B9" s="2411"/>
      <c r="C9" s="2411"/>
      <c r="D9" s="2411"/>
      <c r="E9" s="2411"/>
      <c r="F9" s="2412"/>
      <c r="G9" s="2413" t="str">
        <f>COVER!T13</f>
        <v>LOY MILLER TALLEY, PC</v>
      </c>
      <c r="H9" s="2414"/>
      <c r="I9" s="2414"/>
      <c r="J9" s="2414"/>
      <c r="K9" s="2414"/>
      <c r="L9" s="2415"/>
    </row>
    <row r="10" spans="1:29" ht="13.5" customHeight="1" x14ac:dyDescent="0.2">
      <c r="A10" s="2397" t="str">
        <f>COVER!A38</f>
        <v>DAN COX</v>
      </c>
      <c r="B10" s="2398"/>
      <c r="C10" s="2398"/>
      <c r="D10" s="2398"/>
      <c r="E10" s="2398"/>
      <c r="F10" s="2399"/>
      <c r="G10" s="2413" t="str">
        <f>COVER!T17</f>
        <v>#2 CROSSROADS CT.</v>
      </c>
      <c r="H10" s="2426"/>
      <c r="I10" s="2426"/>
      <c r="J10" s="2426"/>
      <c r="K10" s="2426"/>
      <c r="L10" s="2427"/>
    </row>
    <row r="11" spans="1:29" ht="13.5" customHeight="1" x14ac:dyDescent="0.2">
      <c r="A11" s="1185" t="s">
        <v>1599</v>
      </c>
      <c r="B11" s="1186"/>
      <c r="C11" s="1187"/>
      <c r="D11" s="1192"/>
      <c r="E11" s="1187"/>
      <c r="F11" s="1191"/>
      <c r="G11" s="2413" t="str">
        <f>COVER!T19</f>
        <v>ALTON</v>
      </c>
      <c r="H11" s="2426"/>
      <c r="I11" s="2426"/>
      <c r="J11" s="2426"/>
      <c r="K11" s="2426"/>
      <c r="L11" s="2427"/>
    </row>
    <row r="12" spans="1:29" ht="13.5" customHeight="1" x14ac:dyDescent="0.2">
      <c r="A12" s="2431" t="s">
        <v>1598</v>
      </c>
      <c r="B12" s="2432"/>
      <c r="C12" s="2432"/>
      <c r="D12" s="2432"/>
      <c r="E12" s="2432"/>
      <c r="F12" s="2433"/>
      <c r="G12" s="2428"/>
      <c r="H12" s="2429"/>
      <c r="I12" s="2429"/>
      <c r="J12" s="2429"/>
      <c r="K12" s="2429"/>
      <c r="L12" s="2430"/>
    </row>
    <row r="13" spans="1:29" ht="13.5" customHeight="1" x14ac:dyDescent="0.2">
      <c r="A13" s="2413"/>
      <c r="B13" s="2426"/>
      <c r="C13" s="2426"/>
      <c r="D13" s="2426"/>
      <c r="E13" s="2426"/>
      <c r="F13" s="2427"/>
      <c r="G13" s="2421" t="s">
        <v>1600</v>
      </c>
      <c r="H13" s="2422"/>
      <c r="I13" s="2434" t="str">
        <f>COVER!T25</f>
        <v>KEN@LMTCPAS.COM</v>
      </c>
      <c r="J13" s="2435"/>
      <c r="K13" s="2435"/>
      <c r="L13" s="2436"/>
    </row>
    <row r="14" spans="1:29" ht="13.5" customHeight="1" x14ac:dyDescent="0.2">
      <c r="A14" s="2413" t="str">
        <f>COVER!A19</f>
        <v>801 N DENEEN STREET</v>
      </c>
      <c r="B14" s="2426"/>
      <c r="C14" s="2426"/>
      <c r="D14" s="2426"/>
      <c r="E14" s="2426"/>
      <c r="F14" s="2427"/>
      <c r="G14" s="1196" t="s">
        <v>1247</v>
      </c>
      <c r="H14" s="1194"/>
      <c r="I14" s="1194"/>
      <c r="J14" s="1194"/>
      <c r="K14" s="1194"/>
      <c r="L14" s="1195"/>
    </row>
    <row r="15" spans="1:29" ht="13.5" customHeight="1" x14ac:dyDescent="0.2">
      <c r="A15" s="2413" t="str">
        <f>COVER!A21</f>
        <v>STAUNTON</v>
      </c>
      <c r="B15" s="2426"/>
      <c r="C15" s="2426"/>
      <c r="D15" s="2426"/>
      <c r="E15" s="2426"/>
      <c r="F15" s="2427"/>
      <c r="G15" s="2423" t="str">
        <f>COVER!T15</f>
        <v>KENNETH E. LOY, CPA</v>
      </c>
      <c r="H15" s="2424"/>
      <c r="I15" s="2424"/>
      <c r="J15" s="2424"/>
      <c r="K15" s="2424"/>
      <c r="L15" s="2425"/>
    </row>
    <row r="16" spans="1:29" ht="12.2" customHeight="1" x14ac:dyDescent="0.2">
      <c r="A16" s="2403">
        <f>COVER!A25</f>
        <v>62088</v>
      </c>
      <c r="B16" s="2404"/>
      <c r="C16" s="2404"/>
      <c r="D16" s="2404"/>
      <c r="E16" s="2404"/>
      <c r="F16" s="2405"/>
      <c r="G16" s="2416"/>
      <c r="H16" s="2417"/>
      <c r="I16" s="2417"/>
      <c r="J16" s="2417"/>
      <c r="K16" s="2417"/>
      <c r="L16" s="2418"/>
    </row>
    <row r="17" spans="1:13" ht="12.2" customHeight="1" x14ac:dyDescent="0.2">
      <c r="A17" s="2419"/>
      <c r="B17" s="2404"/>
      <c r="C17" s="2404"/>
      <c r="D17" s="2404"/>
      <c r="E17" s="2404"/>
      <c r="F17" s="2405"/>
      <c r="G17" s="1196" t="s">
        <v>1246</v>
      </c>
      <c r="H17" s="1194"/>
      <c r="I17" s="1194"/>
      <c r="J17" s="1194"/>
      <c r="K17" s="1198" t="s">
        <v>1245</v>
      </c>
      <c r="L17" s="1191"/>
      <c r="M17" s="1184"/>
    </row>
    <row r="18" spans="1:13" ht="12.2" customHeight="1" x14ac:dyDescent="0.2">
      <c r="A18" s="2397"/>
      <c r="B18" s="2398"/>
      <c r="C18" s="2398"/>
      <c r="D18" s="2398"/>
      <c r="E18" s="2398"/>
      <c r="F18" s="2399"/>
      <c r="G18" s="2400" t="str">
        <f>COVER!T21</f>
        <v>618-465-1196</v>
      </c>
      <c r="H18" s="2401"/>
      <c r="I18" s="2401"/>
      <c r="J18" s="2401"/>
      <c r="K18" s="2400" t="str">
        <f>COVER!X21</f>
        <v>618-465-2900</v>
      </c>
      <c r="L18" s="2402"/>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t="s">
        <v>2074</v>
      </c>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t="s">
        <v>2074</v>
      </c>
      <c r="C26" s="1203" t="s">
        <v>1801</v>
      </c>
    </row>
    <row r="27" spans="1:13" s="1199" customFormat="1" ht="9" customHeight="1" x14ac:dyDescent="0.2">
      <c r="B27" s="1204"/>
      <c r="C27" s="1203"/>
    </row>
    <row r="28" spans="1:13" s="1199" customFormat="1" ht="12.2" customHeight="1" x14ac:dyDescent="0.2">
      <c r="A28" s="1206"/>
      <c r="B28" s="1202" t="s">
        <v>2074</v>
      </c>
      <c r="C28" s="1203" t="s">
        <v>1802</v>
      </c>
    </row>
    <row r="29" spans="1:13" s="1199" customFormat="1" ht="9" customHeight="1" x14ac:dyDescent="0.2">
      <c r="A29" s="1206"/>
      <c r="B29" s="1204"/>
      <c r="C29" s="1203"/>
    </row>
    <row r="30" spans="1:13" s="1199" customFormat="1" ht="12.2" customHeight="1" x14ac:dyDescent="0.2">
      <c r="B30" s="1202" t="s">
        <v>2074</v>
      </c>
      <c r="C30" s="1203" t="s">
        <v>1643</v>
      </c>
      <c r="D30" s="1197"/>
      <c r="E30" s="1197"/>
    </row>
    <row r="31" spans="1:13" s="1199" customFormat="1" ht="9" customHeight="1" x14ac:dyDescent="0.2">
      <c r="B31" s="1204"/>
      <c r="C31" s="1203"/>
      <c r="D31" s="1197"/>
      <c r="E31" s="1197"/>
    </row>
    <row r="32" spans="1:13" s="1199" customFormat="1" ht="12.2" customHeight="1" x14ac:dyDescent="0.2">
      <c r="B32" s="1202" t="s">
        <v>2074</v>
      </c>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t="s">
        <v>2074</v>
      </c>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t="s">
        <v>2074</v>
      </c>
      <c r="C38" s="1203" t="s">
        <v>1647</v>
      </c>
    </row>
    <row r="39" spans="1:8" ht="9" customHeight="1" x14ac:dyDescent="0.2">
      <c r="B39" s="1204"/>
      <c r="C39" s="1207"/>
    </row>
    <row r="40" spans="1:8" s="1199" customFormat="1" ht="13.5" customHeight="1" x14ac:dyDescent="0.2">
      <c r="B40" s="1202" t="s">
        <v>2074</v>
      </c>
      <c r="C40" s="1203" t="s">
        <v>1648</v>
      </c>
    </row>
    <row r="41" spans="1:8" ht="9" customHeight="1" x14ac:dyDescent="0.2">
      <c r="A41" s="1208"/>
      <c r="B41" s="1204"/>
      <c r="C41" s="1207"/>
    </row>
    <row r="42" spans="1:8" s="1199" customFormat="1" ht="13.5" customHeight="1" x14ac:dyDescent="0.2">
      <c r="B42" s="1202" t="s">
        <v>2074</v>
      </c>
      <c r="C42" s="1203" t="s">
        <v>1943</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t="s">
        <v>2074</v>
      </c>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1" t="str">
        <f>'Single Audit Cover'!A7</f>
        <v>Staunton CUSD 6</v>
      </c>
      <c r="B1" s="2437"/>
      <c r="C1" s="2437"/>
      <c r="D1" s="2437"/>
    </row>
    <row r="2" spans="1:11" s="1215" customFormat="1" ht="12.75" x14ac:dyDescent="0.2">
      <c r="A2" s="2442">
        <f>'Single Audit Cover'!E7</f>
        <v>40056006026</v>
      </c>
      <c r="B2" s="2443"/>
      <c r="C2" s="2443"/>
      <c r="D2" s="2443"/>
    </row>
    <row r="3" spans="1:11" s="1215" customFormat="1" ht="12.75" x14ac:dyDescent="0.2">
      <c r="A3" s="2441" t="s">
        <v>1593</v>
      </c>
      <c r="B3" s="2437"/>
      <c r="C3" s="2437"/>
      <c r="D3" s="2437"/>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1944</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5" t="str">
        <f>'Single Audit Cover'!A7</f>
        <v>Staunton CUSD 6</v>
      </c>
      <c r="B1" s="2445"/>
      <c r="C1" s="2445"/>
      <c r="D1" s="2445"/>
      <c r="E1" s="2445"/>
    </row>
    <row r="2" spans="1:5" x14ac:dyDescent="0.2">
      <c r="A2" s="2446">
        <f>'Single Audit Cover'!E7</f>
        <v>40056006026</v>
      </c>
      <c r="B2" s="2446"/>
      <c r="C2" s="2446"/>
      <c r="D2" s="2446"/>
      <c r="E2" s="2446"/>
    </row>
    <row r="3" spans="1:5" ht="4.5" customHeight="1" x14ac:dyDescent="0.2"/>
    <row r="4" spans="1:5" x14ac:dyDescent="0.2">
      <c r="A4" s="2445" t="s">
        <v>1307</v>
      </c>
      <c r="B4" s="2445"/>
      <c r="C4" s="2445"/>
      <c r="D4" s="2445"/>
      <c r="E4" s="2445"/>
    </row>
    <row r="5" spans="1:5" x14ac:dyDescent="0.2">
      <c r="A5" s="2448" t="str">
        <f>'Single Audit Cover'!A4</f>
        <v>Year Ending June 30, 2018</v>
      </c>
      <c r="B5" s="2448"/>
      <c r="C5" s="2448"/>
      <c r="D5" s="2448"/>
      <c r="E5" s="2448"/>
    </row>
    <row r="6" spans="1:5" x14ac:dyDescent="0.2">
      <c r="A6" s="2445" t="s">
        <v>1306</v>
      </c>
      <c r="B6" s="2445"/>
      <c r="C6" s="2445"/>
      <c r="D6" s="2445"/>
      <c r="E6" s="2445"/>
    </row>
    <row r="8" spans="1:5" x14ac:dyDescent="0.2">
      <c r="A8" s="1260" t="s">
        <v>1305</v>
      </c>
    </row>
    <row r="10" spans="1:5" x14ac:dyDescent="0.2">
      <c r="A10" s="1261" t="s">
        <v>1304</v>
      </c>
      <c r="B10" s="1262" t="s">
        <v>1303</v>
      </c>
      <c r="C10" s="1262"/>
      <c r="D10" s="1263">
        <f>SUM('Acct Summary 7-8'!C7:K7)</f>
        <v>936335</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17861</v>
      </c>
    </row>
    <row r="15" spans="1:5" x14ac:dyDescent="0.2">
      <c r="A15" s="1261"/>
      <c r="B15" s="1262"/>
      <c r="C15" s="1262"/>
    </row>
    <row r="16" spans="1:5" x14ac:dyDescent="0.2">
      <c r="A16" s="1261" t="s">
        <v>1952</v>
      </c>
      <c r="B16" s="1262"/>
      <c r="C16" s="1262"/>
    </row>
    <row r="17" spans="1:4" x14ac:dyDescent="0.2">
      <c r="A17" s="1261" t="s">
        <v>1601</v>
      </c>
      <c r="B17" s="1262" t="s">
        <v>1298</v>
      </c>
      <c r="C17" s="1262"/>
      <c r="D17" s="1264">
        <f>-SUM('Revenues 9-14'!C271:D271,'Revenues 9-14'!F271:G271)</f>
        <v>-34015</v>
      </c>
    </row>
    <row r="19" spans="1:4" ht="13.5" thickBot="1" x14ac:dyDescent="0.25">
      <c r="A19" s="1265" t="s">
        <v>1297</v>
      </c>
      <c r="D19" s="1266">
        <f>SUM(D10:D17)</f>
        <v>920181</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7"/>
      <c r="B24" s="2447"/>
      <c r="D24" s="1268"/>
    </row>
    <row r="25" spans="1:4" x14ac:dyDescent="0.2">
      <c r="A25" s="2444"/>
      <c r="B25" s="2444"/>
      <c r="D25" s="1268"/>
    </row>
    <row r="26" spans="1:4" x14ac:dyDescent="0.2">
      <c r="A26" s="2444"/>
      <c r="B26" s="2444"/>
      <c r="D26" s="1268"/>
    </row>
    <row r="27" spans="1:4" x14ac:dyDescent="0.2">
      <c r="A27" s="2444"/>
      <c r="B27" s="2444"/>
      <c r="D27" s="1268"/>
    </row>
    <row r="28" spans="1:4" x14ac:dyDescent="0.2">
      <c r="A28" s="2444"/>
      <c r="B28" s="2444"/>
      <c r="D28" s="1268"/>
    </row>
    <row r="29" spans="1:4" x14ac:dyDescent="0.2">
      <c r="A29" s="2444"/>
      <c r="B29" s="2444"/>
      <c r="D29" s="1268"/>
    </row>
    <row r="30" spans="1:4" x14ac:dyDescent="0.2">
      <c r="A30" s="2444"/>
      <c r="B30" s="2444"/>
      <c r="D30" s="1268"/>
    </row>
    <row r="32" spans="1:4" x14ac:dyDescent="0.2">
      <c r="A32" s="1260" t="s">
        <v>1295</v>
      </c>
      <c r="D32" s="1263">
        <f>SUM(D19:D30)</f>
        <v>920181</v>
      </c>
    </row>
    <row r="33" spans="1:4" x14ac:dyDescent="0.2">
      <c r="D33" s="1269"/>
    </row>
    <row r="34" spans="1:4" x14ac:dyDescent="0.2">
      <c r="A34" s="317" t="s">
        <v>1294</v>
      </c>
    </row>
    <row r="35" spans="1:4" x14ac:dyDescent="0.2">
      <c r="A35" s="317" t="s">
        <v>1293</v>
      </c>
      <c r="B35" s="1258" t="s">
        <v>1292</v>
      </c>
      <c r="D35" s="1270">
        <f>+' SEFA (5)'!F27</f>
        <v>920181</v>
      </c>
    </row>
    <row r="37" spans="1:4" x14ac:dyDescent="0.2">
      <c r="A37" s="1260" t="s">
        <v>1291</v>
      </c>
    </row>
    <row r="39" spans="1:4" ht="13.35" customHeight="1" x14ac:dyDescent="0.2">
      <c r="A39" s="1267" t="s">
        <v>1290</v>
      </c>
    </row>
    <row r="40" spans="1:4" x14ac:dyDescent="0.2">
      <c r="A40" s="2444"/>
      <c r="B40" s="2444"/>
      <c r="D40" s="1268"/>
    </row>
    <row r="41" spans="1:4" x14ac:dyDescent="0.2">
      <c r="A41" s="2444"/>
      <c r="B41" s="2444"/>
      <c r="D41" s="1271"/>
    </row>
    <row r="42" spans="1:4" x14ac:dyDescent="0.2">
      <c r="A42" s="2444"/>
      <c r="B42" s="2444"/>
      <c r="D42" s="1271"/>
    </row>
    <row r="43" spans="1:4" x14ac:dyDescent="0.2">
      <c r="A43" s="2444"/>
      <c r="B43" s="2444"/>
      <c r="D43" s="1271"/>
    </row>
    <row r="44" spans="1:4" x14ac:dyDescent="0.2">
      <c r="A44" s="2444"/>
      <c r="B44" s="2444"/>
      <c r="D44" s="1271"/>
    </row>
    <row r="45" spans="1:4" x14ac:dyDescent="0.2">
      <c r="A45" s="2444"/>
      <c r="B45" s="2444"/>
      <c r="D45" s="1271"/>
    </row>
    <row r="47" spans="1:4" x14ac:dyDescent="0.2">
      <c r="B47" s="1272" t="s">
        <v>1289</v>
      </c>
      <c r="C47" s="1272"/>
      <c r="D47" s="1273">
        <f>SUM(D35:D45)</f>
        <v>920181</v>
      </c>
    </row>
    <row r="49" spans="2:4" x14ac:dyDescent="0.2">
      <c r="B49" s="1272" t="s">
        <v>1288</v>
      </c>
      <c r="C49" s="1272"/>
      <c r="D49" s="1273">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5" zoomScale="120" zoomScaleNormal="120" workbookViewId="0">
      <selection activeCell="A32" sqref="A32:F32"/>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0" t="str">
        <f>'Single Audit Cover'!A7</f>
        <v>Staunton CUSD 6</v>
      </c>
      <c r="B1" s="2450"/>
      <c r="C1" s="2450"/>
      <c r="D1" s="2450"/>
      <c r="E1" s="2450"/>
      <c r="F1" s="2450"/>
    </row>
    <row r="2" spans="1:7" ht="13.5" customHeight="1" x14ac:dyDescent="0.2">
      <c r="A2" s="2451">
        <f>'Single Audit Cover'!E7</f>
        <v>40056006026</v>
      </c>
      <c r="B2" s="2451"/>
      <c r="C2" s="2451"/>
      <c r="D2" s="2451"/>
      <c r="E2" s="2451"/>
      <c r="F2" s="2451"/>
      <c r="G2" s="1275"/>
    </row>
    <row r="3" spans="1:7" ht="15.75" customHeight="1" x14ac:dyDescent="0.2">
      <c r="A3" s="2452" t="s">
        <v>1333</v>
      </c>
      <c r="B3" s="2452"/>
      <c r="C3" s="2452"/>
      <c r="D3" s="2452"/>
      <c r="E3" s="2452"/>
      <c r="F3" s="2452"/>
    </row>
    <row r="4" spans="1:7" ht="13.5" customHeight="1" x14ac:dyDescent="0.2">
      <c r="A4" s="2453" t="str">
        <f>'Single Audit Cover'!A4</f>
        <v>Year Ending June 30, 2018</v>
      </c>
      <c r="B4" s="2453"/>
      <c r="C4" s="2453"/>
      <c r="D4" s="2453"/>
      <c r="E4" s="2453"/>
      <c r="F4" s="2453"/>
    </row>
    <row r="5" spans="1:7" ht="8.25" customHeight="1" x14ac:dyDescent="0.2">
      <c r="C5" s="317"/>
      <c r="D5" s="317"/>
    </row>
    <row r="6" spans="1:7" ht="13.5" customHeight="1" x14ac:dyDescent="0.2">
      <c r="A6" s="1276" t="s">
        <v>1831</v>
      </c>
      <c r="C6" s="317"/>
      <c r="D6" s="317"/>
    </row>
    <row r="7" spans="1:7" ht="60.95" customHeight="1" x14ac:dyDescent="0.2">
      <c r="A7" s="2449" t="s">
        <v>2148</v>
      </c>
      <c r="B7" s="2449"/>
      <c r="C7" s="2449"/>
      <c r="D7" s="2449"/>
      <c r="E7" s="2449"/>
      <c r="F7" s="2449"/>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t="s">
        <v>2074</v>
      </c>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49" t="s">
        <v>2149</v>
      </c>
      <c r="B13" s="2449"/>
      <c r="C13" s="2449"/>
      <c r="D13" s="2449"/>
      <c r="E13" s="2449"/>
      <c r="F13" s="2449"/>
    </row>
    <row r="14" spans="1:7" ht="9.75" customHeight="1" x14ac:dyDescent="0.2">
      <c r="C14" s="1260"/>
      <c r="D14" s="1260"/>
    </row>
    <row r="15" spans="1:7" ht="13.5" customHeight="1" x14ac:dyDescent="0.2">
      <c r="C15" s="1871" t="s">
        <v>1332</v>
      </c>
      <c r="D15" s="2455" t="s">
        <v>1331</v>
      </c>
      <c r="E15" s="2455"/>
      <c r="F15" s="2455"/>
    </row>
    <row r="16" spans="1:7" ht="13.5" customHeight="1" x14ac:dyDescent="0.2">
      <c r="A16" s="1282"/>
      <c r="B16" s="1276" t="s">
        <v>1330</v>
      </c>
      <c r="C16" s="1871" t="s">
        <v>1329</v>
      </c>
      <c r="D16" s="2456" t="s">
        <v>1670</v>
      </c>
      <c r="E16" s="2456"/>
      <c r="F16" s="2456"/>
    </row>
    <row r="17" spans="1:6" ht="20.45" customHeight="1" x14ac:dyDescent="0.2">
      <c r="A17" s="1283"/>
      <c r="B17" s="1284" t="s">
        <v>2150</v>
      </c>
      <c r="C17" s="1285"/>
      <c r="D17" s="2454"/>
      <c r="E17" s="2454"/>
      <c r="F17" s="2454"/>
    </row>
    <row r="18" spans="1:6" ht="20.65" customHeight="1" x14ac:dyDescent="0.2">
      <c r="A18" s="1283"/>
      <c r="B18" s="1284"/>
      <c r="C18" s="1285"/>
      <c r="D18" s="2454"/>
      <c r="E18" s="2454"/>
      <c r="F18" s="2454"/>
    </row>
    <row r="19" spans="1:6" ht="20.65" customHeight="1" x14ac:dyDescent="0.2">
      <c r="A19" s="1283"/>
      <c r="B19" s="1284"/>
      <c r="C19" s="1285"/>
      <c r="D19" s="2454"/>
      <c r="E19" s="2454"/>
      <c r="F19" s="2454"/>
    </row>
    <row r="20" spans="1:6" ht="20.65" customHeight="1" x14ac:dyDescent="0.2">
      <c r="A20" s="1283"/>
      <c r="B20" s="1284"/>
      <c r="C20" s="1285"/>
      <c r="D20" s="2454"/>
      <c r="E20" s="2454"/>
      <c r="F20" s="2454"/>
    </row>
    <row r="21" spans="1:6" ht="20.65" customHeight="1" x14ac:dyDescent="0.2">
      <c r="A21" s="1283"/>
      <c r="B21" s="1284"/>
      <c r="C21" s="1285"/>
      <c r="D21" s="2454"/>
      <c r="E21" s="2454"/>
      <c r="F21" s="2454"/>
    </row>
    <row r="22" spans="1:6" ht="20.65" customHeight="1" x14ac:dyDescent="0.2">
      <c r="A22" s="1283"/>
      <c r="B22" s="1284"/>
      <c r="C22" s="1285"/>
      <c r="D22" s="2454"/>
      <c r="E22" s="2454"/>
      <c r="F22" s="2454"/>
    </row>
    <row r="23" spans="1:6" ht="20.65" customHeight="1" x14ac:dyDescent="0.2">
      <c r="A23" s="1283"/>
      <c r="B23" s="1284"/>
      <c r="C23" s="1285"/>
      <c r="D23" s="2454"/>
      <c r="E23" s="2454"/>
      <c r="F23" s="2454"/>
    </row>
    <row r="24" spans="1:6" ht="20.65" customHeight="1" x14ac:dyDescent="0.2">
      <c r="A24" s="1283"/>
      <c r="B24" s="1284"/>
      <c r="C24" s="1285"/>
      <c r="D24" s="2454"/>
      <c r="E24" s="2454"/>
      <c r="F24" s="2454"/>
    </row>
    <row r="25" spans="1:6" ht="20.65" customHeight="1" x14ac:dyDescent="0.2">
      <c r="A25" s="1283"/>
      <c r="B25" s="1284"/>
      <c r="C25" s="1285"/>
      <c r="D25" s="2454"/>
      <c r="E25" s="2454"/>
      <c r="F25" s="2454"/>
    </row>
    <row r="26" spans="1:6" ht="20.65" customHeight="1" x14ac:dyDescent="0.2">
      <c r="A26" s="1283"/>
      <c r="B26" s="1284"/>
      <c r="C26" s="1285"/>
      <c r="D26" s="2454"/>
      <c r="E26" s="2454"/>
      <c r="F26" s="2454"/>
    </row>
    <row r="27" spans="1:6" ht="20.65" customHeight="1" x14ac:dyDescent="0.2">
      <c r="A27" s="1283"/>
      <c r="B27" s="1284"/>
      <c r="C27" s="1285"/>
      <c r="D27" s="2454"/>
      <c r="E27" s="2454"/>
      <c r="F27" s="2454"/>
    </row>
    <row r="28" spans="1:6" ht="20.65" customHeight="1" x14ac:dyDescent="0.2">
      <c r="A28" s="1283"/>
      <c r="B28" s="1284"/>
      <c r="C28" s="1285"/>
      <c r="D28" s="2454"/>
      <c r="E28" s="2454"/>
      <c r="F28" s="2454"/>
    </row>
    <row r="29" spans="1:6" ht="20.65" customHeight="1" x14ac:dyDescent="0.2">
      <c r="A29" s="1283"/>
      <c r="B29" s="1284"/>
      <c r="C29" s="1285"/>
      <c r="D29" s="2454"/>
      <c r="E29" s="2454"/>
      <c r="F29" s="2454"/>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8" t="s">
        <v>2151</v>
      </c>
      <c r="B32" s="2458"/>
      <c r="C32" s="2458"/>
      <c r="D32" s="2458"/>
      <c r="E32" s="2458"/>
      <c r="F32" s="2458"/>
    </row>
    <row r="33" spans="1:6" ht="13.5" customHeight="1" x14ac:dyDescent="0.2">
      <c r="A33" s="328" t="s">
        <v>1509</v>
      </c>
      <c r="B33" s="328"/>
      <c r="C33" s="1288">
        <v>12047</v>
      </c>
      <c r="D33" s="1928"/>
      <c r="E33" s="1286"/>
    </row>
    <row r="34" spans="1:6" ht="13.5" customHeight="1" x14ac:dyDescent="0.2">
      <c r="A34" s="328" t="s">
        <v>1945</v>
      </c>
      <c r="B34" s="328"/>
      <c r="C34" s="1289">
        <v>5814</v>
      </c>
      <c r="D34" s="1928" t="s">
        <v>1671</v>
      </c>
      <c r="E34" s="2459">
        <f>+C33+C34</f>
        <v>17861</v>
      </c>
      <c r="F34" s="2460"/>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1" t="s">
        <v>1672</v>
      </c>
      <c r="C49" s="2461"/>
      <c r="D49" s="2461"/>
      <c r="E49" s="1399"/>
    </row>
    <row r="50" spans="1:5" s="1300" customFormat="1" ht="3.75" customHeight="1" x14ac:dyDescent="0.2">
      <c r="A50" s="1299"/>
      <c r="B50" s="1870"/>
      <c r="C50" s="1870"/>
      <c r="D50" s="1870"/>
      <c r="E50" s="1399"/>
    </row>
    <row r="51" spans="1:5" s="1300" customFormat="1" ht="20.25" customHeight="1" x14ac:dyDescent="0.2">
      <c r="A51" s="1301">
        <v>6</v>
      </c>
      <c r="B51" s="2457" t="s">
        <v>1632</v>
      </c>
      <c r="C51" s="2457"/>
      <c r="D51" s="2457"/>
    </row>
    <row r="52" spans="1:5" ht="14.25" customHeight="1" x14ac:dyDescent="0.2">
      <c r="A52" s="1301"/>
      <c r="B52" s="2457"/>
      <c r="C52" s="2457"/>
      <c r="D52" s="245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J24" sqref="J24"/>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6" t="str">
        <f>'Single Audit Cover'!A7</f>
        <v>Staunton CUSD 6</v>
      </c>
      <c r="C1" s="2462"/>
      <c r="D1" s="2462"/>
      <c r="E1" s="2462"/>
      <c r="F1" s="2462"/>
      <c r="G1" s="2462"/>
      <c r="H1" s="2462"/>
      <c r="I1" s="2462"/>
      <c r="J1" s="2462"/>
      <c r="K1" s="2462"/>
      <c r="L1" s="2462"/>
      <c r="M1" s="2462"/>
    </row>
    <row r="2" spans="2:14" ht="15" x14ac:dyDescent="0.2">
      <c r="B2" s="2451">
        <f>'Single Audit Cover'!E7</f>
        <v>40056006026</v>
      </c>
      <c r="C2" s="2451"/>
      <c r="D2" s="2451"/>
      <c r="E2" s="2451"/>
      <c r="F2" s="2451"/>
      <c r="G2" s="2451"/>
      <c r="H2" s="2451"/>
      <c r="I2" s="2451"/>
      <c r="J2" s="2451"/>
      <c r="K2" s="2451"/>
      <c r="L2" s="2451"/>
      <c r="M2" s="2451"/>
      <c r="N2" s="1302"/>
    </row>
    <row r="3" spans="2:14" ht="15" x14ac:dyDescent="0.2">
      <c r="B3" s="2463" t="s">
        <v>1281</v>
      </c>
      <c r="C3" s="2463"/>
      <c r="D3" s="2463"/>
      <c r="E3" s="2463"/>
      <c r="F3" s="2463"/>
      <c r="G3" s="2463"/>
      <c r="H3" s="2463"/>
      <c r="I3" s="2463"/>
      <c r="J3" s="2463"/>
      <c r="K3" s="2463"/>
      <c r="L3" s="2463"/>
      <c r="M3" s="2463"/>
      <c r="N3" s="1302"/>
    </row>
    <row r="4" spans="2:14" ht="15" x14ac:dyDescent="0.2">
      <c r="B4" s="2464" t="str">
        <f>'Single Audit Cover'!A4</f>
        <v>Year Ending June 30, 2018</v>
      </c>
      <c r="C4" s="2464"/>
      <c r="D4" s="2464"/>
      <c r="E4" s="2464"/>
      <c r="F4" s="2464"/>
      <c r="G4" s="2464"/>
      <c r="H4" s="2464"/>
      <c r="I4" s="2464"/>
      <c r="J4" s="2464"/>
      <c r="K4" s="2464"/>
      <c r="L4" s="2464"/>
      <c r="M4" s="2464"/>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1946</v>
      </c>
      <c r="K8" s="1319" t="s">
        <v>1323</v>
      </c>
      <c r="L8" s="1320" t="s">
        <v>1319</v>
      </c>
      <c r="M8" s="1321" t="s">
        <v>30</v>
      </c>
    </row>
    <row r="9" spans="2:14" ht="14.25" x14ac:dyDescent="0.2">
      <c r="B9" s="1325" t="s">
        <v>1321</v>
      </c>
      <c r="C9" s="1313" t="s">
        <v>1835</v>
      </c>
      <c r="D9" s="1314" t="s">
        <v>1836</v>
      </c>
      <c r="E9" s="1322" t="s">
        <v>1663</v>
      </c>
      <c r="F9" s="1323" t="s">
        <v>1946</v>
      </c>
      <c r="G9" s="1324" t="s">
        <v>1663</v>
      </c>
      <c r="H9" s="1317" t="s">
        <v>1664</v>
      </c>
      <c r="I9" s="1319" t="s">
        <v>1946</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2103</v>
      </c>
      <c r="C11" s="1338"/>
      <c r="D11" s="1339"/>
      <c r="E11" s="1340"/>
      <c r="F11" s="1340"/>
      <c r="G11" s="1340"/>
      <c r="H11" s="1340"/>
      <c r="I11" s="1340"/>
      <c r="J11" s="1340"/>
      <c r="K11" s="1340"/>
      <c r="L11" s="1340">
        <f>+G11+I11+K11</f>
        <v>0</v>
      </c>
      <c r="M11" s="1340"/>
    </row>
    <row r="12" spans="2:14" ht="20.100000000000001" customHeight="1" x14ac:dyDescent="0.2">
      <c r="B12" s="1337" t="s">
        <v>2104</v>
      </c>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t="s">
        <v>2105</v>
      </c>
      <c r="C14" s="1341">
        <v>10.555</v>
      </c>
      <c r="D14" s="1342" t="s">
        <v>2112</v>
      </c>
      <c r="E14" s="1343"/>
      <c r="F14" s="1343">
        <v>154672</v>
      </c>
      <c r="G14" s="1343"/>
      <c r="H14" s="1343"/>
      <c r="I14" s="1343">
        <v>154672</v>
      </c>
      <c r="J14" s="1343"/>
      <c r="K14" s="1343"/>
      <c r="L14" s="1340">
        <f t="shared" si="0"/>
        <v>154672</v>
      </c>
      <c r="M14" s="1343"/>
    </row>
    <row r="15" spans="2:14" ht="20.100000000000001" customHeight="1" x14ac:dyDescent="0.2">
      <c r="B15" s="1337" t="s">
        <v>2106</v>
      </c>
      <c r="C15" s="1341">
        <v>10.555</v>
      </c>
      <c r="D15" s="1342" t="s">
        <v>2113</v>
      </c>
      <c r="E15" s="1343">
        <v>163724</v>
      </c>
      <c r="F15" s="1343">
        <v>33614</v>
      </c>
      <c r="G15" s="1343">
        <v>163724</v>
      </c>
      <c r="H15" s="1343"/>
      <c r="I15" s="1343">
        <v>33614</v>
      </c>
      <c r="J15" s="1343"/>
      <c r="K15" s="1343"/>
      <c r="L15" s="1340">
        <f t="shared" si="0"/>
        <v>197338</v>
      </c>
      <c r="M15" s="1343"/>
    </row>
    <row r="16" spans="2:14" ht="20.100000000000001" customHeight="1" x14ac:dyDescent="0.2">
      <c r="B16" s="1337" t="s">
        <v>2107</v>
      </c>
      <c r="C16" s="1341">
        <v>10.553000000000001</v>
      </c>
      <c r="D16" s="1342" t="s">
        <v>2114</v>
      </c>
      <c r="E16" s="1343"/>
      <c r="F16" s="1343">
        <v>42812</v>
      </c>
      <c r="G16" s="1343"/>
      <c r="H16" s="1343"/>
      <c r="I16" s="1343">
        <v>42812</v>
      </c>
      <c r="J16" s="1343"/>
      <c r="K16" s="1343"/>
      <c r="L16" s="1340">
        <f t="shared" si="0"/>
        <v>42812</v>
      </c>
      <c r="M16" s="1343"/>
    </row>
    <row r="17" spans="2:14" ht="20.100000000000001" customHeight="1" x14ac:dyDescent="0.2">
      <c r="B17" s="1337" t="s">
        <v>2108</v>
      </c>
      <c r="C17" s="1341">
        <v>10.553000000000001</v>
      </c>
      <c r="D17" s="1342" t="s">
        <v>2115</v>
      </c>
      <c r="E17" s="1343">
        <v>42068</v>
      </c>
      <c r="F17" s="1343">
        <v>10167</v>
      </c>
      <c r="G17" s="1343">
        <v>42068</v>
      </c>
      <c r="H17" s="1343"/>
      <c r="I17" s="1343">
        <v>10167</v>
      </c>
      <c r="J17" s="1343"/>
      <c r="K17" s="1343"/>
      <c r="L17" s="1340">
        <f t="shared" si="0"/>
        <v>52235</v>
      </c>
      <c r="M17" s="1343"/>
    </row>
    <row r="18" spans="2:14" ht="20.100000000000001" customHeight="1" x14ac:dyDescent="0.2">
      <c r="B18" s="1337" t="s">
        <v>2109</v>
      </c>
      <c r="C18" s="1341">
        <v>10.565</v>
      </c>
      <c r="D18" s="1342" t="s">
        <v>2116</v>
      </c>
      <c r="E18" s="1343"/>
      <c r="F18" s="1343">
        <v>12047</v>
      </c>
      <c r="G18" s="1343"/>
      <c r="H18" s="1343"/>
      <c r="I18" s="1343">
        <v>12047</v>
      </c>
      <c r="J18" s="1343"/>
      <c r="K18" s="1343"/>
      <c r="L18" s="1340">
        <f t="shared" si="0"/>
        <v>12047</v>
      </c>
      <c r="M18" s="1343"/>
    </row>
    <row r="19" spans="2:14" ht="20.100000000000001" customHeight="1" x14ac:dyDescent="0.2">
      <c r="B19" s="1337" t="s">
        <v>2110</v>
      </c>
      <c r="C19" s="1341">
        <v>10.582000000000001</v>
      </c>
      <c r="D19" s="1342" t="s">
        <v>2116</v>
      </c>
      <c r="E19" s="1343"/>
      <c r="F19" s="1343">
        <v>5814</v>
      </c>
      <c r="G19" s="1343"/>
      <c r="H19" s="1343"/>
      <c r="I19" s="1343">
        <v>5814</v>
      </c>
      <c r="J19" s="1343"/>
      <c r="K19" s="1343"/>
      <c r="L19" s="1340">
        <f t="shared" si="0"/>
        <v>5814</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t="s">
        <v>2111</v>
      </c>
      <c r="C27" s="1341"/>
      <c r="D27" s="1342"/>
      <c r="E27" s="1343">
        <f>SUM(E13:E26)</f>
        <v>205792</v>
      </c>
      <c r="F27" s="1343">
        <f t="shared" ref="F27:K27" si="1">SUM(F13:F26)</f>
        <v>259126</v>
      </c>
      <c r="G27" s="1343">
        <f t="shared" si="1"/>
        <v>205792</v>
      </c>
      <c r="H27" s="1343">
        <f t="shared" si="1"/>
        <v>0</v>
      </c>
      <c r="I27" s="1343">
        <f t="shared" si="1"/>
        <v>259126</v>
      </c>
      <c r="J27" s="1343">
        <f t="shared" si="1"/>
        <v>0</v>
      </c>
      <c r="K27" s="1343">
        <f t="shared" si="1"/>
        <v>0</v>
      </c>
      <c r="L27" s="1340">
        <f t="shared" si="0"/>
        <v>464918</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1837</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1947</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1838</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1839</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1840</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1841</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J21" sqref="J21"/>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6" t="str">
        <f>'Single Audit Cover'!A7</f>
        <v>Staunton CUSD 6</v>
      </c>
      <c r="C1" s="2462"/>
      <c r="D1" s="2462"/>
      <c r="E1" s="2462"/>
      <c r="F1" s="2462"/>
      <c r="G1" s="2462"/>
      <c r="H1" s="2462"/>
      <c r="I1" s="2462"/>
      <c r="J1" s="2462"/>
      <c r="K1" s="2462"/>
      <c r="L1" s="2462"/>
      <c r="M1" s="2462"/>
    </row>
    <row r="2" spans="2:14" ht="15" x14ac:dyDescent="0.2">
      <c r="B2" s="2451">
        <f>'Single Audit Cover'!E7</f>
        <v>40056006026</v>
      </c>
      <c r="C2" s="2451"/>
      <c r="D2" s="2451"/>
      <c r="E2" s="2451"/>
      <c r="F2" s="2451"/>
      <c r="G2" s="2451"/>
      <c r="H2" s="2451"/>
      <c r="I2" s="2451"/>
      <c r="J2" s="2451"/>
      <c r="K2" s="2451"/>
      <c r="L2" s="2451"/>
      <c r="M2" s="2451"/>
      <c r="N2" s="1302"/>
    </row>
    <row r="3" spans="2:14" ht="15" x14ac:dyDescent="0.2">
      <c r="B3" s="2463" t="s">
        <v>1281</v>
      </c>
      <c r="C3" s="2463"/>
      <c r="D3" s="2463"/>
      <c r="E3" s="2463"/>
      <c r="F3" s="2463"/>
      <c r="G3" s="2463"/>
      <c r="H3" s="2463"/>
      <c r="I3" s="2463"/>
      <c r="J3" s="2463"/>
      <c r="K3" s="2463"/>
      <c r="L3" s="2463"/>
      <c r="M3" s="2463"/>
      <c r="N3" s="1302"/>
    </row>
    <row r="4" spans="2:14" ht="15" x14ac:dyDescent="0.2">
      <c r="B4" s="2464" t="str">
        <f>'Single Audit Cover'!A4</f>
        <v>Year Ending June 30, 2018</v>
      </c>
      <c r="C4" s="2464"/>
      <c r="D4" s="2464"/>
      <c r="E4" s="2464"/>
      <c r="F4" s="2464"/>
      <c r="G4" s="2464"/>
      <c r="H4" s="2464"/>
      <c r="I4" s="2464"/>
      <c r="J4" s="2464"/>
      <c r="K4" s="2464"/>
      <c r="L4" s="2464"/>
      <c r="M4" s="2464"/>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1946</v>
      </c>
      <c r="K8" s="1319" t="s">
        <v>1323</v>
      </c>
      <c r="L8" s="1320" t="s">
        <v>1319</v>
      </c>
      <c r="M8" s="1321" t="s">
        <v>30</v>
      </c>
    </row>
    <row r="9" spans="2:14" ht="14.25" x14ac:dyDescent="0.2">
      <c r="B9" s="1325" t="s">
        <v>1321</v>
      </c>
      <c r="C9" s="1313" t="s">
        <v>1835</v>
      </c>
      <c r="D9" s="1314" t="s">
        <v>1836</v>
      </c>
      <c r="E9" s="1322" t="s">
        <v>1663</v>
      </c>
      <c r="F9" s="1323" t="s">
        <v>1946</v>
      </c>
      <c r="G9" s="1324" t="s">
        <v>1663</v>
      </c>
      <c r="H9" s="1317" t="s">
        <v>1664</v>
      </c>
      <c r="I9" s="1319" t="s">
        <v>1946</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2117</v>
      </c>
      <c r="C11" s="1338"/>
      <c r="D11" s="1339"/>
      <c r="E11" s="1340"/>
      <c r="F11" s="1340"/>
      <c r="G11" s="1340"/>
      <c r="H11" s="1340"/>
      <c r="I11" s="1340"/>
      <c r="J11" s="1340"/>
      <c r="K11" s="1340"/>
      <c r="L11" s="1340">
        <f>+G11+I11+K11</f>
        <v>0</v>
      </c>
      <c r="M11" s="1340"/>
    </row>
    <row r="12" spans="2:14" ht="20.100000000000001" customHeight="1" x14ac:dyDescent="0.2">
      <c r="B12" s="1337" t="s">
        <v>2118</v>
      </c>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t="s">
        <v>2119</v>
      </c>
      <c r="C14" s="1341">
        <v>84.01</v>
      </c>
      <c r="D14" s="1342" t="s">
        <v>2122</v>
      </c>
      <c r="E14" s="1343"/>
      <c r="F14" s="1343">
        <v>116503</v>
      </c>
      <c r="G14" s="1343"/>
      <c r="H14" s="1343"/>
      <c r="I14" s="1343">
        <v>223047</v>
      </c>
      <c r="J14" s="1343"/>
      <c r="K14" s="1343"/>
      <c r="L14" s="1340">
        <f t="shared" si="0"/>
        <v>223047</v>
      </c>
      <c r="M14" s="1343">
        <v>253435</v>
      </c>
    </row>
    <row r="15" spans="2:14" ht="20.100000000000001" customHeight="1" x14ac:dyDescent="0.2">
      <c r="B15" s="1337" t="s">
        <v>2120</v>
      </c>
      <c r="C15" s="1341">
        <v>84.01</v>
      </c>
      <c r="D15" s="1342" t="s">
        <v>2123</v>
      </c>
      <c r="E15" s="1343">
        <v>140768</v>
      </c>
      <c r="F15" s="1343">
        <v>115813</v>
      </c>
      <c r="G15" s="1343">
        <v>256581</v>
      </c>
      <c r="H15" s="1343"/>
      <c r="I15" s="1343"/>
      <c r="J15" s="1343"/>
      <c r="K15" s="1343"/>
      <c r="L15" s="1340">
        <f t="shared" si="0"/>
        <v>256581</v>
      </c>
      <c r="M15" s="1343">
        <v>300390</v>
      </c>
    </row>
    <row r="16" spans="2:14" ht="20.100000000000001" customHeight="1" x14ac:dyDescent="0.2">
      <c r="B16" s="1337" t="s">
        <v>2121</v>
      </c>
      <c r="C16" s="1341">
        <v>84.367000000000004</v>
      </c>
      <c r="D16" s="1342" t="s">
        <v>2124</v>
      </c>
      <c r="E16" s="1343"/>
      <c r="F16" s="1343">
        <v>32316</v>
      </c>
      <c r="G16" s="1343"/>
      <c r="H16" s="1343"/>
      <c r="I16" s="1343">
        <v>44174</v>
      </c>
      <c r="J16" s="1343"/>
      <c r="K16" s="1343"/>
      <c r="L16" s="1340">
        <f t="shared" si="0"/>
        <v>44174</v>
      </c>
      <c r="M16" s="1343">
        <v>54675</v>
      </c>
    </row>
    <row r="17" spans="2:14" ht="20.100000000000001" customHeight="1" x14ac:dyDescent="0.2">
      <c r="B17" s="1337" t="s">
        <v>2121</v>
      </c>
      <c r="C17" s="1341">
        <v>84.367000000000004</v>
      </c>
      <c r="D17" s="1342" t="s">
        <v>2125</v>
      </c>
      <c r="E17" s="1343">
        <v>46105</v>
      </c>
      <c r="F17" s="1343">
        <v>22151</v>
      </c>
      <c r="G17" s="1343">
        <v>68256</v>
      </c>
      <c r="H17" s="1343"/>
      <c r="I17" s="1343"/>
      <c r="J17" s="1343"/>
      <c r="K17" s="1343"/>
      <c r="L17" s="1340">
        <f t="shared" si="0"/>
        <v>68256</v>
      </c>
      <c r="M17" s="1343">
        <v>72414</v>
      </c>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t="s">
        <v>2126</v>
      </c>
      <c r="C27" s="1341"/>
      <c r="D27" s="1342"/>
      <c r="E27" s="1343">
        <f>SUM(E13:E26)</f>
        <v>186873</v>
      </c>
      <c r="F27" s="1343">
        <f t="shared" ref="F27:K27" si="1">SUM(F13:F26)</f>
        <v>286783</v>
      </c>
      <c r="G27" s="1343">
        <f t="shared" si="1"/>
        <v>324837</v>
      </c>
      <c r="H27" s="1343">
        <f t="shared" si="1"/>
        <v>0</v>
      </c>
      <c r="I27" s="1343">
        <f t="shared" si="1"/>
        <v>267221</v>
      </c>
      <c r="J27" s="1343">
        <f t="shared" si="1"/>
        <v>0</v>
      </c>
      <c r="K27" s="1343">
        <f t="shared" si="1"/>
        <v>0</v>
      </c>
      <c r="L27" s="1340">
        <f t="shared" si="0"/>
        <v>592058</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1837</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1947</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1838</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1839</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1840</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1841</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H20" sqref="H20"/>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6" t="str">
        <f>'Single Audit Cover'!A7</f>
        <v>Staunton CUSD 6</v>
      </c>
      <c r="C1" s="2462"/>
      <c r="D1" s="2462"/>
      <c r="E1" s="2462"/>
      <c r="F1" s="2462"/>
      <c r="G1" s="2462"/>
      <c r="H1" s="2462"/>
      <c r="I1" s="2462"/>
      <c r="J1" s="2462"/>
      <c r="K1" s="2462"/>
      <c r="L1" s="2462"/>
      <c r="M1" s="2462"/>
    </row>
    <row r="2" spans="2:14" ht="15" x14ac:dyDescent="0.2">
      <c r="B2" s="2451">
        <f>'Single Audit Cover'!E7</f>
        <v>40056006026</v>
      </c>
      <c r="C2" s="2451"/>
      <c r="D2" s="2451"/>
      <c r="E2" s="2451"/>
      <c r="F2" s="2451"/>
      <c r="G2" s="2451"/>
      <c r="H2" s="2451"/>
      <c r="I2" s="2451"/>
      <c r="J2" s="2451"/>
      <c r="K2" s="2451"/>
      <c r="L2" s="2451"/>
      <c r="M2" s="2451"/>
      <c r="N2" s="1302"/>
    </row>
    <row r="3" spans="2:14" ht="15" x14ac:dyDescent="0.2">
      <c r="B3" s="2463" t="s">
        <v>1281</v>
      </c>
      <c r="C3" s="2463"/>
      <c r="D3" s="2463"/>
      <c r="E3" s="2463"/>
      <c r="F3" s="2463"/>
      <c r="G3" s="2463"/>
      <c r="H3" s="2463"/>
      <c r="I3" s="2463"/>
      <c r="J3" s="2463"/>
      <c r="K3" s="2463"/>
      <c r="L3" s="2463"/>
      <c r="M3" s="2463"/>
      <c r="N3" s="1302"/>
    </row>
    <row r="4" spans="2:14" ht="15" x14ac:dyDescent="0.2">
      <c r="B4" s="2464" t="str">
        <f>'Single Audit Cover'!A4</f>
        <v>Year Ending June 30, 2018</v>
      </c>
      <c r="C4" s="2464"/>
      <c r="D4" s="2464"/>
      <c r="E4" s="2464"/>
      <c r="F4" s="2464"/>
      <c r="G4" s="2464"/>
      <c r="H4" s="2464"/>
      <c r="I4" s="2464"/>
      <c r="J4" s="2464"/>
      <c r="K4" s="2464"/>
      <c r="L4" s="2464"/>
      <c r="M4" s="2464"/>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1946</v>
      </c>
      <c r="K8" s="1319" t="s">
        <v>1323</v>
      </c>
      <c r="L8" s="1320" t="s">
        <v>1319</v>
      </c>
      <c r="M8" s="1321" t="s">
        <v>30</v>
      </c>
    </row>
    <row r="9" spans="2:14" ht="14.25" x14ac:dyDescent="0.2">
      <c r="B9" s="1325" t="s">
        <v>1321</v>
      </c>
      <c r="C9" s="1313" t="s">
        <v>1835</v>
      </c>
      <c r="D9" s="1314" t="s">
        <v>1836</v>
      </c>
      <c r="E9" s="1322" t="s">
        <v>1663</v>
      </c>
      <c r="F9" s="1323" t="s">
        <v>1946</v>
      </c>
      <c r="G9" s="1324" t="s">
        <v>1663</v>
      </c>
      <c r="H9" s="1317" t="s">
        <v>1664</v>
      </c>
      <c r="I9" s="1319" t="s">
        <v>1946</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2127</v>
      </c>
      <c r="C11" s="1338"/>
      <c r="D11" s="1339"/>
      <c r="E11" s="1340"/>
      <c r="F11" s="1340"/>
      <c r="G11" s="1340"/>
      <c r="H11" s="1340"/>
      <c r="I11" s="1340"/>
      <c r="J11" s="1340"/>
      <c r="K11" s="1340"/>
      <c r="L11" s="1340">
        <f>+G11+I11+K11</f>
        <v>0</v>
      </c>
      <c r="M11" s="1340"/>
    </row>
    <row r="12" spans="2:14" ht="20.100000000000001" customHeight="1" x14ac:dyDescent="0.2">
      <c r="B12" s="1337" t="s">
        <v>2128</v>
      </c>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t="s">
        <v>2129</v>
      </c>
      <c r="C14" s="1341">
        <v>93.778000000000006</v>
      </c>
      <c r="D14" s="1342" t="s">
        <v>2131</v>
      </c>
      <c r="E14" s="1343"/>
      <c r="F14" s="1343">
        <v>16137</v>
      </c>
      <c r="G14" s="1343"/>
      <c r="H14" s="1343"/>
      <c r="I14" s="1343">
        <v>16137</v>
      </c>
      <c r="J14" s="1343"/>
      <c r="K14" s="1343"/>
      <c r="L14" s="1340">
        <f t="shared" si="0"/>
        <v>16137</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t="s">
        <v>2130</v>
      </c>
      <c r="C27" s="1341"/>
      <c r="D27" s="1342"/>
      <c r="E27" s="1343">
        <f>SUM(E13:E26)</f>
        <v>0</v>
      </c>
      <c r="F27" s="1343">
        <f t="shared" ref="F27:K27" si="1">SUM(F13:F26)</f>
        <v>16137</v>
      </c>
      <c r="G27" s="1343">
        <f t="shared" si="1"/>
        <v>0</v>
      </c>
      <c r="H27" s="1343">
        <f t="shared" si="1"/>
        <v>0</v>
      </c>
      <c r="I27" s="1343">
        <f t="shared" si="1"/>
        <v>16137</v>
      </c>
      <c r="J27" s="1343">
        <f t="shared" si="1"/>
        <v>0</v>
      </c>
      <c r="K27" s="1343">
        <f t="shared" si="1"/>
        <v>0</v>
      </c>
      <c r="L27" s="1340">
        <f t="shared" si="0"/>
        <v>16137</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1837</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1947</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1838</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1839</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1840</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1841</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4" zoomScaleNormal="100" workbookViewId="0">
      <selection activeCell="F40" sqref="F40"/>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6" t="str">
        <f>'Single Audit Cover'!A7</f>
        <v>Staunton CUSD 6</v>
      </c>
      <c r="C1" s="2462"/>
      <c r="D1" s="2462"/>
      <c r="E1" s="2462"/>
      <c r="F1" s="2462"/>
      <c r="G1" s="2462"/>
      <c r="H1" s="2462"/>
      <c r="I1" s="2462"/>
      <c r="J1" s="2462"/>
      <c r="K1" s="2462"/>
      <c r="L1" s="2462"/>
      <c r="M1" s="2462"/>
    </row>
    <row r="2" spans="2:14" ht="15" x14ac:dyDescent="0.2">
      <c r="B2" s="2451">
        <f>'Single Audit Cover'!E7</f>
        <v>40056006026</v>
      </c>
      <c r="C2" s="2451"/>
      <c r="D2" s="2451"/>
      <c r="E2" s="2451"/>
      <c r="F2" s="2451"/>
      <c r="G2" s="2451"/>
      <c r="H2" s="2451"/>
      <c r="I2" s="2451"/>
      <c r="J2" s="2451"/>
      <c r="K2" s="2451"/>
      <c r="L2" s="2451"/>
      <c r="M2" s="2451"/>
      <c r="N2" s="1302"/>
    </row>
    <row r="3" spans="2:14" ht="15" x14ac:dyDescent="0.2">
      <c r="B3" s="2463" t="s">
        <v>1281</v>
      </c>
      <c r="C3" s="2463"/>
      <c r="D3" s="2463"/>
      <c r="E3" s="2463"/>
      <c r="F3" s="2463"/>
      <c r="G3" s="2463"/>
      <c r="H3" s="2463"/>
      <c r="I3" s="2463"/>
      <c r="J3" s="2463"/>
      <c r="K3" s="2463"/>
      <c r="L3" s="2463"/>
      <c r="M3" s="2463"/>
      <c r="N3" s="1302"/>
    </row>
    <row r="4" spans="2:14" ht="15" x14ac:dyDescent="0.2">
      <c r="B4" s="2464" t="str">
        <f>'Single Audit Cover'!A4</f>
        <v>Year Ending June 30, 2018</v>
      </c>
      <c r="C4" s="2464"/>
      <c r="D4" s="2464"/>
      <c r="E4" s="2464"/>
      <c r="F4" s="2464"/>
      <c r="G4" s="2464"/>
      <c r="H4" s="2464"/>
      <c r="I4" s="2464"/>
      <c r="J4" s="2464"/>
      <c r="K4" s="2464"/>
      <c r="L4" s="2464"/>
      <c r="M4" s="2464"/>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1946</v>
      </c>
      <c r="K8" s="1319" t="s">
        <v>1323</v>
      </c>
      <c r="L8" s="1320" t="s">
        <v>1319</v>
      </c>
      <c r="M8" s="1321" t="s">
        <v>30</v>
      </c>
    </row>
    <row r="9" spans="2:14" ht="14.25" x14ac:dyDescent="0.2">
      <c r="B9" s="1325" t="s">
        <v>1321</v>
      </c>
      <c r="C9" s="1313" t="s">
        <v>1835</v>
      </c>
      <c r="D9" s="1314" t="s">
        <v>1836</v>
      </c>
      <c r="E9" s="1322" t="s">
        <v>1663</v>
      </c>
      <c r="F9" s="1323" t="s">
        <v>1946</v>
      </c>
      <c r="G9" s="1324" t="s">
        <v>1663</v>
      </c>
      <c r="H9" s="1317" t="s">
        <v>1664</v>
      </c>
      <c r="I9" s="1319" t="s">
        <v>1946</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2132</v>
      </c>
      <c r="C11" s="1338"/>
      <c r="D11" s="1339"/>
      <c r="E11" s="1340"/>
      <c r="F11" s="1340"/>
      <c r="G11" s="1340"/>
      <c r="H11" s="1340"/>
      <c r="I11" s="1340"/>
      <c r="J11" s="1340"/>
      <c r="K11" s="1340"/>
      <c r="L11" s="1340">
        <f>+G11+I11+K11</f>
        <v>0</v>
      </c>
      <c r="M11" s="1340"/>
    </row>
    <row r="12" spans="2:14" ht="20.100000000000001" customHeight="1" x14ac:dyDescent="0.2">
      <c r="B12" s="1337" t="s">
        <v>2133</v>
      </c>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t="s">
        <v>2134</v>
      </c>
      <c r="C14" s="1341">
        <v>84.027000000000001</v>
      </c>
      <c r="D14" s="1342" t="s">
        <v>2141</v>
      </c>
      <c r="E14" s="1343"/>
      <c r="F14" s="1343">
        <v>331543</v>
      </c>
      <c r="G14" s="1343"/>
      <c r="H14" s="1343"/>
      <c r="I14" s="1343">
        <v>331543</v>
      </c>
      <c r="J14" s="1343"/>
      <c r="K14" s="1343"/>
      <c r="L14" s="1340">
        <f t="shared" si="0"/>
        <v>331543</v>
      </c>
      <c r="M14" s="1343"/>
    </row>
    <row r="15" spans="2:14" ht="20.100000000000001" customHeight="1" x14ac:dyDescent="0.2">
      <c r="B15" s="1337" t="s">
        <v>2135</v>
      </c>
      <c r="C15" s="1341">
        <v>84.173000000000002</v>
      </c>
      <c r="D15" s="1342" t="s">
        <v>2142</v>
      </c>
      <c r="E15" s="1343"/>
      <c r="F15" s="1343">
        <v>15426</v>
      </c>
      <c r="G15" s="1343"/>
      <c r="H15" s="1343"/>
      <c r="I15" s="1343">
        <v>15426</v>
      </c>
      <c r="J15" s="1343"/>
      <c r="K15" s="1343"/>
      <c r="L15" s="1340">
        <f t="shared" si="0"/>
        <v>15426</v>
      </c>
      <c r="M15" s="1343"/>
    </row>
    <row r="16" spans="2:14" ht="20.100000000000001" customHeight="1" x14ac:dyDescent="0.2">
      <c r="B16" s="1337" t="s">
        <v>2136</v>
      </c>
      <c r="C16" s="1341"/>
      <c r="D16" s="1342"/>
      <c r="E16" s="1343">
        <f>SUM(E13:E15)</f>
        <v>0</v>
      </c>
      <c r="F16" s="1343">
        <f t="shared" ref="F16:K16" si="1">SUM(F13:F15)</f>
        <v>346969</v>
      </c>
      <c r="G16" s="1343">
        <f t="shared" si="1"/>
        <v>0</v>
      </c>
      <c r="H16" s="1343">
        <f t="shared" si="1"/>
        <v>0</v>
      </c>
      <c r="I16" s="1343">
        <f t="shared" si="1"/>
        <v>346969</v>
      </c>
      <c r="J16" s="1343">
        <f t="shared" si="1"/>
        <v>0</v>
      </c>
      <c r="K16" s="1343">
        <f t="shared" si="1"/>
        <v>0</v>
      </c>
      <c r="L16" s="1340">
        <f t="shared" si="0"/>
        <v>346969</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t="s">
        <v>2137</v>
      </c>
      <c r="C18" s="1341"/>
      <c r="D18" s="1342"/>
      <c r="E18" s="1343"/>
      <c r="F18" s="1343"/>
      <c r="G18" s="1343"/>
      <c r="H18" s="1343"/>
      <c r="I18" s="1343"/>
      <c r="J18" s="1343"/>
      <c r="K18" s="1343"/>
      <c r="L18" s="1340">
        <f t="shared" si="0"/>
        <v>0</v>
      </c>
      <c r="M18" s="1343"/>
    </row>
    <row r="19" spans="2:14" ht="20.100000000000001" customHeight="1" x14ac:dyDescent="0.2">
      <c r="B19" s="1337" t="s">
        <v>2138</v>
      </c>
      <c r="C19" s="1341" t="s">
        <v>2159</v>
      </c>
      <c r="D19" s="1342"/>
      <c r="E19" s="1343"/>
      <c r="F19" s="1343">
        <v>11166</v>
      </c>
      <c r="G19" s="1343"/>
      <c r="H19" s="1343"/>
      <c r="I19" s="1343">
        <v>11166</v>
      </c>
      <c r="J19" s="1343"/>
      <c r="K19" s="1343"/>
      <c r="L19" s="1340">
        <f t="shared" si="0"/>
        <v>11166</v>
      </c>
      <c r="M19" s="1343"/>
    </row>
    <row r="20" spans="2:14" ht="20.100000000000001" customHeight="1" x14ac:dyDescent="0.2">
      <c r="B20" s="1337" t="s">
        <v>2139</v>
      </c>
      <c r="C20" s="1341"/>
      <c r="D20" s="1342"/>
      <c r="E20" s="1343">
        <f>SUM(E17:E19)</f>
        <v>0</v>
      </c>
      <c r="F20" s="1343">
        <f t="shared" ref="F20:K20" si="2">SUM(F17:F19)</f>
        <v>11166</v>
      </c>
      <c r="G20" s="1343">
        <f t="shared" si="2"/>
        <v>0</v>
      </c>
      <c r="H20" s="1343">
        <f t="shared" si="2"/>
        <v>0</v>
      </c>
      <c r="I20" s="1343">
        <f t="shared" si="2"/>
        <v>11166</v>
      </c>
      <c r="J20" s="1343">
        <f t="shared" si="2"/>
        <v>0</v>
      </c>
      <c r="K20" s="1343">
        <f t="shared" si="2"/>
        <v>0</v>
      </c>
      <c r="L20" s="1340">
        <f t="shared" si="0"/>
        <v>11166</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t="s">
        <v>2140</v>
      </c>
      <c r="C27" s="1341"/>
      <c r="D27" s="1342"/>
      <c r="E27" s="1343">
        <f>+E20+E16</f>
        <v>0</v>
      </c>
      <c r="F27" s="1343">
        <f t="shared" ref="F27:K27" si="3">+F20+F16</f>
        <v>358135</v>
      </c>
      <c r="G27" s="1343">
        <f t="shared" si="3"/>
        <v>0</v>
      </c>
      <c r="H27" s="1343">
        <f t="shared" si="3"/>
        <v>0</v>
      </c>
      <c r="I27" s="1343">
        <f t="shared" si="3"/>
        <v>358135</v>
      </c>
      <c r="J27" s="1343">
        <f t="shared" si="3"/>
        <v>0</v>
      </c>
      <c r="K27" s="1343">
        <f t="shared" si="3"/>
        <v>0</v>
      </c>
      <c r="L27" s="1340">
        <f t="shared" si="0"/>
        <v>358135</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1837</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1947</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1838</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1839</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1840</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1841</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3" sqref="B13"/>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6" t="str">
        <f>'Single Audit Cover'!A7</f>
        <v>Staunton CUSD 6</v>
      </c>
      <c r="C1" s="2462"/>
      <c r="D1" s="2462"/>
      <c r="E1" s="2462"/>
      <c r="F1" s="2462"/>
      <c r="G1" s="2462"/>
      <c r="H1" s="2462"/>
      <c r="I1" s="2462"/>
      <c r="J1" s="2462"/>
      <c r="K1" s="2462"/>
      <c r="L1" s="2462"/>
      <c r="M1" s="2462"/>
    </row>
    <row r="2" spans="2:14" ht="15" x14ac:dyDescent="0.2">
      <c r="B2" s="2451">
        <f>'Single Audit Cover'!E7</f>
        <v>40056006026</v>
      </c>
      <c r="C2" s="2451"/>
      <c r="D2" s="2451"/>
      <c r="E2" s="2451"/>
      <c r="F2" s="2451"/>
      <c r="G2" s="2451"/>
      <c r="H2" s="2451"/>
      <c r="I2" s="2451"/>
      <c r="J2" s="2451"/>
      <c r="K2" s="2451"/>
      <c r="L2" s="2451"/>
      <c r="M2" s="2451"/>
      <c r="N2" s="1302"/>
    </row>
    <row r="3" spans="2:14" ht="15" x14ac:dyDescent="0.2">
      <c r="B3" s="2463" t="s">
        <v>1281</v>
      </c>
      <c r="C3" s="2463"/>
      <c r="D3" s="2463"/>
      <c r="E3" s="2463"/>
      <c r="F3" s="2463"/>
      <c r="G3" s="2463"/>
      <c r="H3" s="2463"/>
      <c r="I3" s="2463"/>
      <c r="J3" s="2463"/>
      <c r="K3" s="2463"/>
      <c r="L3" s="2463"/>
      <c r="M3" s="2463"/>
      <c r="N3" s="1302"/>
    </row>
    <row r="4" spans="2:14" ht="15" x14ac:dyDescent="0.2">
      <c r="B4" s="2464" t="str">
        <f>'Single Audit Cover'!A4</f>
        <v>Year Ending June 30, 2018</v>
      </c>
      <c r="C4" s="2464"/>
      <c r="D4" s="2464"/>
      <c r="E4" s="2464"/>
      <c r="F4" s="2464"/>
      <c r="G4" s="2464"/>
      <c r="H4" s="2464"/>
      <c r="I4" s="2464"/>
      <c r="J4" s="2464"/>
      <c r="K4" s="2464"/>
      <c r="L4" s="2464"/>
      <c r="M4" s="2464"/>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1946</v>
      </c>
      <c r="K8" s="1319" t="s">
        <v>1323</v>
      </c>
      <c r="L8" s="1320" t="s">
        <v>1319</v>
      </c>
      <c r="M8" s="1321" t="s">
        <v>30</v>
      </c>
    </row>
    <row r="9" spans="2:14" ht="14.25" x14ac:dyDescent="0.2">
      <c r="B9" s="1325" t="s">
        <v>1321</v>
      </c>
      <c r="C9" s="1313" t="s">
        <v>1835</v>
      </c>
      <c r="D9" s="1314" t="s">
        <v>1836</v>
      </c>
      <c r="E9" s="1322" t="s">
        <v>1663</v>
      </c>
      <c r="F9" s="1323" t="s">
        <v>1946</v>
      </c>
      <c r="G9" s="1324" t="s">
        <v>1663</v>
      </c>
      <c r="H9" s="1317" t="s">
        <v>1664</v>
      </c>
      <c r="I9" s="1319" t="s">
        <v>1946</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2143</v>
      </c>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t="s">
        <v>2144</v>
      </c>
      <c r="C13" s="1341"/>
      <c r="D13" s="1342"/>
      <c r="E13" s="1343">
        <f>+' SEFA'!E27+' SEFA (2)'!E27</f>
        <v>392665</v>
      </c>
      <c r="F13" s="1343">
        <f>+' SEFA'!F27+' SEFA (2)'!F27</f>
        <v>545909</v>
      </c>
      <c r="G13" s="1343">
        <f>+' SEFA'!G27+' SEFA (2)'!G27</f>
        <v>530629</v>
      </c>
      <c r="H13" s="1343">
        <f>+' SEFA'!H27+' SEFA (2)'!H27</f>
        <v>0</v>
      </c>
      <c r="I13" s="1343">
        <f>+' SEFA'!I27+' SEFA (2)'!I27</f>
        <v>526347</v>
      </c>
      <c r="J13" s="1343">
        <f>+' SEFA'!J27+' SEFA (2)'!J27</f>
        <v>0</v>
      </c>
      <c r="K13" s="1343">
        <f>+' SEFA'!K27+' SEFA (2)'!K27</f>
        <v>0</v>
      </c>
      <c r="L13" s="1340">
        <f t="shared" si="0"/>
        <v>1056976</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2145</v>
      </c>
      <c r="C15" s="1341"/>
      <c r="D15" s="1342"/>
      <c r="E15" s="1343">
        <f>+' SEFA (3)'!E27</f>
        <v>0</v>
      </c>
      <c r="F15" s="1343">
        <f>+' SEFA (3)'!F27</f>
        <v>16137</v>
      </c>
      <c r="G15" s="1343">
        <f>+' SEFA (3)'!G27</f>
        <v>0</v>
      </c>
      <c r="H15" s="1343">
        <f>+' SEFA (3)'!H27</f>
        <v>0</v>
      </c>
      <c r="I15" s="1343">
        <f>+' SEFA (3)'!I27</f>
        <v>16137</v>
      </c>
      <c r="J15" s="1343">
        <f>+' SEFA (3)'!J27</f>
        <v>0</v>
      </c>
      <c r="K15" s="1343">
        <f>+' SEFA (3)'!K27</f>
        <v>0</v>
      </c>
      <c r="L15" s="1340">
        <f t="shared" si="0"/>
        <v>16137</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t="s">
        <v>2146</v>
      </c>
      <c r="C17" s="1341"/>
      <c r="D17" s="1342"/>
      <c r="E17" s="1343">
        <f>+' SEFA (4)'!E27</f>
        <v>0</v>
      </c>
      <c r="F17" s="1343">
        <f>+' SEFA (4)'!F27</f>
        <v>358135</v>
      </c>
      <c r="G17" s="1343">
        <f>+' SEFA (4)'!G27</f>
        <v>0</v>
      </c>
      <c r="H17" s="1343">
        <f>+' SEFA (4)'!H27</f>
        <v>0</v>
      </c>
      <c r="I17" s="1343">
        <f>+' SEFA (4)'!I27</f>
        <v>358135</v>
      </c>
      <c r="J17" s="1343">
        <f>+' SEFA (4)'!J27</f>
        <v>0</v>
      </c>
      <c r="K17" s="1343">
        <f>+' SEFA (4)'!K27</f>
        <v>0</v>
      </c>
      <c r="L17" s="1340">
        <f t="shared" si="0"/>
        <v>358135</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t="s">
        <v>2147</v>
      </c>
      <c r="C27" s="1341"/>
      <c r="D27" s="1342"/>
      <c r="E27" s="1343">
        <f>SUM(E12:E26)</f>
        <v>392665</v>
      </c>
      <c r="F27" s="1343">
        <f t="shared" ref="F27:K27" si="1">SUM(F12:F26)</f>
        <v>920181</v>
      </c>
      <c r="G27" s="1343">
        <f t="shared" si="1"/>
        <v>530629</v>
      </c>
      <c r="H27" s="1343">
        <f t="shared" si="1"/>
        <v>0</v>
      </c>
      <c r="I27" s="1343">
        <f t="shared" si="1"/>
        <v>900619</v>
      </c>
      <c r="J27" s="1343">
        <f t="shared" si="1"/>
        <v>0</v>
      </c>
      <c r="K27" s="1343">
        <f t="shared" si="1"/>
        <v>0</v>
      </c>
      <c r="L27" s="1340">
        <f t="shared" si="0"/>
        <v>1431248</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1837</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1947</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1838</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1839</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1840</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1841</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22" zoomScale="110" zoomScaleNormal="110" workbookViewId="0">
      <selection activeCell="K48" sqref="K48"/>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9" t="str">
        <f>'Single Audit Cover'!A7</f>
        <v>Staunton CUSD 6</v>
      </c>
      <c r="C1" s="2470"/>
      <c r="D1" s="2470"/>
      <c r="E1" s="2470"/>
      <c r="F1" s="2470"/>
      <c r="G1" s="2470"/>
      <c r="H1" s="2470"/>
      <c r="I1" s="2470"/>
      <c r="J1" s="1422"/>
    </row>
    <row r="2" spans="2:10" s="317" customFormat="1" ht="12.75" customHeight="1" x14ac:dyDescent="0.2">
      <c r="B2" s="2471">
        <f>'Single Audit Cover'!E7</f>
        <v>40056006026</v>
      </c>
      <c r="C2" s="2472"/>
      <c r="D2" s="2472"/>
      <c r="E2" s="2472"/>
      <c r="F2" s="2472"/>
      <c r="G2" s="2472"/>
      <c r="H2" s="2472"/>
      <c r="I2" s="2472"/>
      <c r="J2" s="1422"/>
    </row>
    <row r="3" spans="2:10" s="317" customFormat="1" ht="12.75" customHeight="1" x14ac:dyDescent="0.2">
      <c r="B3" s="2473" t="s">
        <v>1347</v>
      </c>
      <c r="C3" s="2474"/>
      <c r="D3" s="2474"/>
      <c r="E3" s="2474"/>
      <c r="F3" s="2474"/>
      <c r="G3" s="2474"/>
      <c r="H3" s="2474"/>
      <c r="I3" s="2474"/>
      <c r="J3" s="1423"/>
    </row>
    <row r="4" spans="2:10" s="317" customFormat="1" ht="12.75" customHeight="1" x14ac:dyDescent="0.2">
      <c r="B4" s="2473" t="str">
        <f>'Single Audit Cover'!A4</f>
        <v>Year Ending June 30, 2018</v>
      </c>
      <c r="C4" s="2474"/>
      <c r="D4" s="2474"/>
      <c r="E4" s="2474"/>
      <c r="F4" s="2474"/>
      <c r="G4" s="2474"/>
      <c r="H4" s="2474"/>
      <c r="I4" s="2474"/>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3" t="s">
        <v>1346</v>
      </c>
      <c r="C7" s="2474"/>
      <c r="D7" s="2474"/>
      <c r="E7" s="2474"/>
      <c r="F7" s="2474"/>
      <c r="G7" s="2474"/>
      <c r="H7" s="2474"/>
      <c r="I7" s="2474"/>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5" t="s">
        <v>2152</v>
      </c>
      <c r="D11" s="2475"/>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t="s">
        <v>2074</v>
      </c>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t="s">
        <v>2074</v>
      </c>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t="s">
        <v>2074</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t="s">
        <v>2074</v>
      </c>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t="s">
        <v>2074</v>
      </c>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6" t="s">
        <v>2153</v>
      </c>
      <c r="E29" s="2476"/>
      <c r="F29" s="2476"/>
      <c r="G29" s="2476"/>
      <c r="H29" s="2476"/>
      <c r="I29" s="2476"/>
    </row>
    <row r="30" spans="2:9" s="317" customFormat="1" x14ac:dyDescent="0.2">
      <c r="B30" s="1368"/>
      <c r="C30" s="322"/>
      <c r="D30" s="1433" t="s">
        <v>1848</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t="s">
        <v>2074</v>
      </c>
      <c r="H33" s="1300" t="s">
        <v>101</v>
      </c>
    </row>
    <row r="35" spans="2:9" x14ac:dyDescent="0.2">
      <c r="B35" s="1441" t="s">
        <v>1849</v>
      </c>
      <c r="C35" s="1442"/>
      <c r="D35" s="1267"/>
    </row>
    <row r="36" spans="2:9" ht="6" customHeight="1" x14ac:dyDescent="0.2">
      <c r="B36" s="1441"/>
      <c r="C36" s="1442"/>
      <c r="D36" s="1267"/>
    </row>
    <row r="37" spans="2:9" ht="17.25" customHeight="1" x14ac:dyDescent="0.2">
      <c r="B37" s="1443" t="s">
        <v>1850</v>
      </c>
      <c r="C37" s="2477" t="s">
        <v>1851</v>
      </c>
      <c r="D37" s="2478"/>
      <c r="E37" s="2478"/>
      <c r="F37" s="2479"/>
      <c r="G37" s="2477" t="s">
        <v>1674</v>
      </c>
      <c r="H37" s="2478"/>
      <c r="I37" s="2479"/>
    </row>
    <row r="38" spans="2:9" ht="16.5" customHeight="1" x14ac:dyDescent="0.2">
      <c r="B38" s="1444">
        <v>10.555</v>
      </c>
      <c r="C38" s="2465" t="s">
        <v>2154</v>
      </c>
      <c r="D38" s="2466"/>
      <c r="E38" s="2466"/>
      <c r="F38" s="2467"/>
      <c r="G38" s="2480">
        <v>188286</v>
      </c>
      <c r="H38" s="2481"/>
      <c r="I38" s="2482"/>
    </row>
    <row r="39" spans="2:9" ht="16.5" customHeight="1" x14ac:dyDescent="0.2">
      <c r="B39" s="1444">
        <v>10.553000000000001</v>
      </c>
      <c r="C39" s="2465" t="s">
        <v>2108</v>
      </c>
      <c r="D39" s="2466"/>
      <c r="E39" s="2466"/>
      <c r="F39" s="2467"/>
      <c r="G39" s="2468">
        <v>52979</v>
      </c>
      <c r="H39" s="2468"/>
      <c r="I39" s="2468"/>
    </row>
    <row r="40" spans="2:9" ht="16.5" customHeight="1" x14ac:dyDescent="0.2">
      <c r="B40" s="1444">
        <v>84.027000000000001</v>
      </c>
      <c r="C40" s="2465" t="s">
        <v>2155</v>
      </c>
      <c r="D40" s="2466"/>
      <c r="E40" s="2466"/>
      <c r="F40" s="2467"/>
      <c r="G40" s="2468">
        <v>331543</v>
      </c>
      <c r="H40" s="2468"/>
      <c r="I40" s="2468"/>
    </row>
    <row r="41" spans="2:9" ht="16.5" customHeight="1" x14ac:dyDescent="0.2">
      <c r="B41" s="1444">
        <v>84.173000000000002</v>
      </c>
      <c r="C41" s="2465" t="s">
        <v>2156</v>
      </c>
      <c r="D41" s="2466"/>
      <c r="E41" s="2466"/>
      <c r="F41" s="2467"/>
      <c r="G41" s="2468">
        <v>15426</v>
      </c>
      <c r="H41" s="2468"/>
      <c r="I41" s="2468"/>
    </row>
    <row r="42" spans="2:9" ht="16.5" customHeight="1" x14ac:dyDescent="0.2">
      <c r="B42" s="1444"/>
      <c r="C42" s="2465"/>
      <c r="D42" s="2466"/>
      <c r="E42" s="2466"/>
      <c r="F42" s="2467"/>
      <c r="G42" s="2468"/>
      <c r="H42" s="2468"/>
      <c r="I42" s="2468"/>
    </row>
    <row r="43" spans="2:9" ht="16.5" customHeight="1" x14ac:dyDescent="0.2">
      <c r="B43" s="1444"/>
      <c r="C43" s="2483" t="s">
        <v>1675</v>
      </c>
      <c r="D43" s="2484"/>
      <c r="E43" s="2484"/>
      <c r="F43" s="2485"/>
      <c r="G43" s="2486">
        <f>SUM(G38:I42)</f>
        <v>588234</v>
      </c>
      <c r="H43" s="2486"/>
      <c r="I43" s="2486"/>
    </row>
    <row r="44" spans="2:9" ht="12.75" customHeight="1" x14ac:dyDescent="0.2"/>
    <row r="45" spans="2:9" ht="12.75" customHeight="1" x14ac:dyDescent="0.2">
      <c r="B45" s="1435" t="s">
        <v>1948</v>
      </c>
      <c r="D45" s="2487">
        <f>+' SEFA (5)'!I27</f>
        <v>900619</v>
      </c>
      <c r="E45" s="2488"/>
    </row>
    <row r="46" spans="2:9" ht="5.25" customHeight="1" x14ac:dyDescent="0.2">
      <c r="B46" s="1445"/>
      <c r="D46" s="1446"/>
      <c r="E46" s="1447"/>
    </row>
    <row r="47" spans="2:9" ht="12.75" customHeight="1" x14ac:dyDescent="0.2">
      <c r="B47" s="1300" t="s">
        <v>1676</v>
      </c>
      <c r="C47" s="1300"/>
      <c r="D47" s="1448">
        <f>+G43/D45</f>
        <v>0.6531441153251264</v>
      </c>
      <c r="E47" s="1449"/>
      <c r="F47" s="1450"/>
      <c r="I47" s="1451"/>
    </row>
    <row r="48" spans="2:9" ht="9.9499999999999993" customHeight="1" x14ac:dyDescent="0.2"/>
    <row r="49" spans="1:9" x14ac:dyDescent="0.2">
      <c r="B49" s="1368" t="s">
        <v>1335</v>
      </c>
      <c r="C49" s="1282"/>
      <c r="D49" s="1282"/>
      <c r="E49" s="2489">
        <v>750000</v>
      </c>
      <c r="F49" s="2489"/>
      <c r="G49" s="2489"/>
      <c r="H49" s="322"/>
    </row>
    <row r="51" spans="1:9" ht="13.5" customHeight="1" x14ac:dyDescent="0.2">
      <c r="B51" s="1368" t="s">
        <v>1334</v>
      </c>
      <c r="C51" s="1282"/>
      <c r="E51" s="1438"/>
      <c r="F51" s="1300" t="s">
        <v>940</v>
      </c>
      <c r="G51" s="1438" t="s">
        <v>2074</v>
      </c>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1852</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1853</v>
      </c>
      <c r="C58" s="1464"/>
      <c r="D58" s="1464"/>
    </row>
    <row r="59" spans="1:9" s="1461" customFormat="1" ht="3.95" customHeight="1" x14ac:dyDescent="0.2">
      <c r="A59" s="1458"/>
      <c r="B59" s="1463"/>
      <c r="C59" s="1464"/>
      <c r="D59" s="1464"/>
    </row>
    <row r="60" spans="1:9" s="1461" customFormat="1" ht="13.5" customHeight="1" x14ac:dyDescent="0.2">
      <c r="A60" s="1458"/>
      <c r="B60" s="1463" t="s">
        <v>1854</v>
      </c>
      <c r="C60" s="1464"/>
      <c r="D60" s="1464"/>
    </row>
    <row r="61" spans="1:9" s="1461" customFormat="1" ht="3.95" customHeight="1" x14ac:dyDescent="0.2">
      <c r="A61" s="1458"/>
      <c r="B61" s="1463"/>
      <c r="C61" s="1464"/>
      <c r="D61" s="1464"/>
    </row>
    <row r="62" spans="1:9" s="1461" customFormat="1" ht="12.75" customHeight="1" x14ac:dyDescent="0.2">
      <c r="A62" s="1458"/>
      <c r="B62" s="1463" t="s">
        <v>1855</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15" sqref="B15"/>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9" t="str">
        <f>'Single Audit Cover'!A7</f>
        <v>Staunton CUSD 6</v>
      </c>
      <c r="C1" s="2469"/>
      <c r="D1" s="2469"/>
      <c r="E1" s="2469"/>
      <c r="F1" s="2469"/>
      <c r="G1" s="2469"/>
      <c r="H1" s="2469"/>
      <c r="I1" s="2469"/>
      <c r="J1" s="2469"/>
      <c r="K1" s="2469"/>
      <c r="L1" s="1374"/>
      <c r="M1" s="1374"/>
    </row>
    <row r="2" spans="1:13" ht="12" customHeight="1" x14ac:dyDescent="0.2">
      <c r="B2" s="2471">
        <f>'Single Audit Cover'!E7</f>
        <v>40056006026</v>
      </c>
      <c r="C2" s="2471"/>
      <c r="D2" s="2471"/>
      <c r="E2" s="2471"/>
      <c r="F2" s="2471"/>
      <c r="G2" s="2471"/>
      <c r="H2" s="2471"/>
      <c r="I2" s="2471"/>
      <c r="J2" s="2471"/>
      <c r="K2" s="2471"/>
      <c r="L2" s="1375"/>
      <c r="M2" s="1376"/>
    </row>
    <row r="3" spans="1:13" ht="10.35" customHeight="1" x14ac:dyDescent="0.2">
      <c r="B3" s="2492" t="s">
        <v>1347</v>
      </c>
      <c r="C3" s="2492"/>
      <c r="D3" s="2492"/>
      <c r="E3" s="2492"/>
      <c r="F3" s="2492"/>
      <c r="G3" s="2492"/>
      <c r="H3" s="2492"/>
      <c r="I3" s="2492"/>
      <c r="J3" s="2492"/>
      <c r="K3" s="2492"/>
      <c r="L3" s="1377"/>
      <c r="M3" s="1377"/>
    </row>
    <row r="4" spans="1:13" ht="14.25" customHeight="1" x14ac:dyDescent="0.2">
      <c r="B4" s="2493" t="str">
        <f>'Single Audit Cover'!A4</f>
        <v>Year Ending June 30, 2018</v>
      </c>
      <c r="C4" s="2493"/>
      <c r="D4" s="2493"/>
      <c r="E4" s="2493"/>
      <c r="F4" s="2493"/>
      <c r="G4" s="2493"/>
      <c r="H4" s="2493"/>
      <c r="I4" s="2493"/>
      <c r="J4" s="2493"/>
      <c r="K4" s="2493"/>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3" t="s">
        <v>1363</v>
      </c>
      <c r="C7" s="2493"/>
      <c r="D7" s="2494"/>
      <c r="E7" s="2494"/>
      <c r="F7" s="2494"/>
      <c r="G7" s="2494"/>
      <c r="H7" s="2494"/>
      <c r="I7" s="2494"/>
      <c r="J7" s="2494"/>
      <c r="K7" s="2494"/>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1842</v>
      </c>
      <c r="C10" s="1385" t="s">
        <v>1949</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1" t="s">
        <v>2157</v>
      </c>
      <c r="C14" s="2491"/>
      <c r="D14" s="2491"/>
      <c r="E14" s="2491"/>
      <c r="F14" s="2491"/>
      <c r="G14" s="2491"/>
      <c r="H14" s="2491"/>
      <c r="I14" s="2491"/>
      <c r="J14" s="2491"/>
      <c r="K14" s="2491"/>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1"/>
      <c r="C17" s="2491"/>
      <c r="D17" s="2491"/>
      <c r="E17" s="2491"/>
      <c r="F17" s="2491"/>
      <c r="G17" s="2491"/>
      <c r="H17" s="2491"/>
      <c r="I17" s="2491"/>
      <c r="J17" s="2491"/>
      <c r="K17" s="2491"/>
      <c r="L17" s="1381"/>
    </row>
    <row r="18" spans="2:12" ht="4.5" customHeight="1" x14ac:dyDescent="0.2">
      <c r="B18" s="1398"/>
      <c r="C18" s="1398"/>
      <c r="L18" s="1381"/>
    </row>
    <row r="19" spans="2:12" s="1282" customFormat="1" ht="13.5" customHeight="1" x14ac:dyDescent="0.2">
      <c r="B19" s="1393" t="s">
        <v>1843</v>
      </c>
      <c r="C19" s="1393"/>
      <c r="D19" s="1394"/>
      <c r="E19" s="1394"/>
      <c r="F19" s="1394"/>
      <c r="G19" s="1395"/>
      <c r="H19" s="1394"/>
      <c r="I19" s="1395"/>
      <c r="J19" s="1394"/>
      <c r="K19" s="1394"/>
      <c r="L19" s="1396"/>
    </row>
    <row r="20" spans="2:12" ht="45.75" customHeight="1" x14ac:dyDescent="0.2">
      <c r="B20" s="2495"/>
      <c r="C20" s="2495"/>
      <c r="D20" s="2491"/>
      <c r="E20" s="2491"/>
      <c r="F20" s="2491"/>
      <c r="G20" s="2491"/>
      <c r="H20" s="2491"/>
      <c r="I20" s="2491"/>
      <c r="J20" s="2491"/>
      <c r="K20" s="2491"/>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1"/>
      <c r="C23" s="2491"/>
      <c r="D23" s="2491"/>
      <c r="E23" s="2491"/>
      <c r="F23" s="2491"/>
      <c r="G23" s="2491"/>
      <c r="H23" s="2491"/>
      <c r="I23" s="2491"/>
      <c r="J23" s="2491"/>
      <c r="K23" s="2491"/>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1"/>
      <c r="C26" s="2491"/>
      <c r="D26" s="2491"/>
      <c r="E26" s="2491"/>
      <c r="F26" s="2491"/>
      <c r="G26" s="2491"/>
      <c r="H26" s="2491"/>
      <c r="I26" s="2491"/>
      <c r="J26" s="2491"/>
      <c r="K26" s="2491"/>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0"/>
      <c r="C29" s="2490"/>
      <c r="D29" s="2491"/>
      <c r="E29" s="2491"/>
      <c r="F29" s="2491"/>
      <c r="G29" s="2491"/>
      <c r="H29" s="2491"/>
      <c r="I29" s="2491"/>
      <c r="J29" s="2491"/>
      <c r="K29" s="2491"/>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1844</v>
      </c>
      <c r="C31" s="1403"/>
      <c r="D31" s="1378"/>
      <c r="E31" s="1379"/>
      <c r="F31" s="1379"/>
      <c r="G31" s="1380"/>
      <c r="H31" s="1379"/>
      <c r="I31" s="1380"/>
      <c r="J31" s="1379"/>
      <c r="K31" s="1379"/>
      <c r="L31" s="1381"/>
    </row>
    <row r="32" spans="2:12" s="322" customFormat="1" ht="44.25" customHeight="1" x14ac:dyDescent="0.2">
      <c r="B32" s="2490"/>
      <c r="C32" s="2490"/>
      <c r="D32" s="2491"/>
      <c r="E32" s="2491"/>
      <c r="F32" s="2491"/>
      <c r="G32" s="2491"/>
      <c r="H32" s="2491"/>
      <c r="I32" s="2491"/>
      <c r="J32" s="2491"/>
      <c r="K32" s="2491"/>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1845</v>
      </c>
      <c r="C35" s="1419"/>
      <c r="D35" s="322"/>
      <c r="E35" s="322"/>
      <c r="F35" s="322"/>
      <c r="L35" s="1381"/>
    </row>
    <row r="36" spans="1:13" ht="9.6" customHeight="1" x14ac:dyDescent="0.2">
      <c r="B36" s="1300" t="s">
        <v>1950</v>
      </c>
      <c r="C36" s="1300"/>
      <c r="L36" s="1381"/>
    </row>
    <row r="37" spans="1:13" ht="9.6" customHeight="1" x14ac:dyDescent="0.2">
      <c r="B37" s="1300" t="s">
        <v>1951</v>
      </c>
      <c r="C37" s="1300"/>
    </row>
    <row r="38" spans="1:13" ht="11.85" customHeight="1" x14ac:dyDescent="0.2">
      <c r="B38" s="1420" t="s">
        <v>1846</v>
      </c>
      <c r="C38" s="1420"/>
    </row>
    <row r="39" spans="1:13" ht="9.6" customHeight="1" x14ac:dyDescent="0.2">
      <c r="B39" s="1300" t="s">
        <v>1348</v>
      </c>
      <c r="C39" s="1300"/>
      <c r="M39" s="1421"/>
    </row>
    <row r="40" spans="1:13" ht="12.6" customHeight="1" x14ac:dyDescent="0.2">
      <c r="B40" s="1420" t="s">
        <v>1847</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B21" sqref="B2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6" t="str">
        <f>'Single Audit Cover'!A7</f>
        <v>Staunton CUSD 6</v>
      </c>
      <c r="C1" s="2496"/>
      <c r="D1" s="2496"/>
      <c r="E1" s="2496"/>
      <c r="F1" s="2496"/>
      <c r="G1" s="2496"/>
      <c r="H1" s="2496"/>
      <c r="I1" s="2496"/>
      <c r="J1" s="2496"/>
      <c r="K1" s="2496"/>
      <c r="L1" s="1465"/>
    </row>
    <row r="2" spans="1:12" ht="12.75" customHeight="1" x14ac:dyDescent="0.2">
      <c r="B2" s="2497">
        <f>'Single Audit Cover'!E7</f>
        <v>40056006026</v>
      </c>
      <c r="C2" s="2497"/>
      <c r="D2" s="2497"/>
      <c r="E2" s="2497"/>
      <c r="F2" s="2497"/>
      <c r="G2" s="2497"/>
      <c r="H2" s="2497"/>
      <c r="I2" s="2497"/>
      <c r="J2" s="2497"/>
      <c r="K2" s="2497"/>
      <c r="L2" s="1466"/>
    </row>
    <row r="3" spans="1:12" ht="12.75" customHeight="1" x14ac:dyDescent="0.2">
      <c r="B3" s="2492" t="s">
        <v>1347</v>
      </c>
      <c r="C3" s="2492"/>
      <c r="D3" s="2492"/>
      <c r="E3" s="2492"/>
      <c r="F3" s="2492"/>
      <c r="G3" s="2492"/>
      <c r="H3" s="2492"/>
      <c r="I3" s="2492"/>
      <c r="J3" s="2492"/>
      <c r="K3" s="2492"/>
      <c r="L3" s="1377"/>
    </row>
    <row r="4" spans="1:12" ht="12.75" customHeight="1" x14ac:dyDescent="0.2">
      <c r="B4" s="2492" t="str">
        <f>'Single Audit Cover'!A4</f>
        <v>Year Ending June 30, 2018</v>
      </c>
      <c r="C4" s="2492"/>
      <c r="D4" s="2492"/>
      <c r="E4" s="2492"/>
      <c r="F4" s="2492"/>
      <c r="G4" s="2492"/>
      <c r="H4" s="2492"/>
      <c r="I4" s="2492"/>
      <c r="J4" s="2492"/>
      <c r="K4" s="2492"/>
      <c r="L4" s="1377"/>
    </row>
    <row r="5" spans="1:12" ht="5.25" customHeight="1" x14ac:dyDescent="0.2">
      <c r="B5" s="1260" t="s">
        <v>1231</v>
      </c>
      <c r="C5" s="1260"/>
      <c r="L5" s="322"/>
    </row>
    <row r="6" spans="1:12" ht="30.75" customHeight="1" x14ac:dyDescent="0.2">
      <c r="A6" s="322"/>
      <c r="B6" s="2498" t="s">
        <v>1375</v>
      </c>
      <c r="C6" s="2498"/>
      <c r="D6" s="2498"/>
      <c r="E6" s="2498"/>
      <c r="F6" s="2498"/>
      <c r="G6" s="2498"/>
      <c r="H6" s="2498"/>
      <c r="I6" s="2498"/>
      <c r="J6" s="2498"/>
      <c r="K6" s="2498"/>
      <c r="L6" s="322"/>
    </row>
    <row r="7" spans="1:12" ht="4.5" customHeight="1" x14ac:dyDescent="0.2">
      <c r="B7" s="1379"/>
      <c r="C7" s="1379"/>
      <c r="D7" s="1379"/>
      <c r="E7" s="1379"/>
      <c r="F7" s="1379"/>
      <c r="G7" s="1380"/>
      <c r="H7" s="1379"/>
      <c r="I7" s="1380"/>
      <c r="J7" s="1379"/>
      <c r="K7" s="1379"/>
      <c r="L7" s="322"/>
    </row>
    <row r="8" spans="1:12" ht="13.5" customHeight="1" x14ac:dyDescent="0.2">
      <c r="B8" s="1387" t="s">
        <v>1856</v>
      </c>
      <c r="C8" s="1467" t="s">
        <v>1949</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6"/>
      <c r="G12" s="2476"/>
      <c r="H12" s="2476"/>
      <c r="I12" s="2476"/>
      <c r="J12" s="2476"/>
      <c r="K12" s="2476"/>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9"/>
      <c r="E14" s="2499"/>
      <c r="F14" s="2499"/>
      <c r="H14" s="1475" t="s">
        <v>1370</v>
      </c>
      <c r="I14" s="2500"/>
      <c r="J14" s="2500"/>
      <c r="K14" s="2500"/>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0"/>
      <c r="E16" s="2500"/>
      <c r="F16" s="2500"/>
      <c r="G16" s="2500"/>
      <c r="H16" s="2500"/>
      <c r="I16" s="2500"/>
      <c r="J16" s="2500"/>
      <c r="K16" s="2500"/>
      <c r="L16" s="322"/>
    </row>
    <row r="17" spans="2:12" ht="13.5" customHeight="1" x14ac:dyDescent="0.2">
      <c r="B17" s="1387" t="s">
        <v>1368</v>
      </c>
      <c r="C17" s="1387"/>
      <c r="D17" s="2501"/>
      <c r="E17" s="2501"/>
      <c r="F17" s="2501"/>
      <c r="G17" s="2501"/>
      <c r="H17" s="2501"/>
      <c r="I17" s="2501"/>
      <c r="J17" s="2501"/>
      <c r="K17" s="2501"/>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1" t="s">
        <v>2157</v>
      </c>
      <c r="C20" s="2491"/>
      <c r="D20" s="2491"/>
      <c r="E20" s="2491"/>
      <c r="F20" s="2491"/>
      <c r="G20" s="2491"/>
      <c r="H20" s="2491"/>
      <c r="I20" s="2491"/>
      <c r="J20" s="2491"/>
      <c r="K20" s="2491"/>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1857</v>
      </c>
      <c r="C22" s="1477"/>
      <c r="D22" s="322"/>
      <c r="E22" s="322"/>
      <c r="F22" s="322"/>
      <c r="G22" s="1383"/>
      <c r="H22" s="322"/>
      <c r="I22" s="1383"/>
      <c r="J22" s="322"/>
      <c r="K22" s="322"/>
      <c r="L22" s="322"/>
    </row>
    <row r="23" spans="2:12" ht="37.5" customHeight="1" x14ac:dyDescent="0.2">
      <c r="B23" s="2491"/>
      <c r="C23" s="2491"/>
      <c r="D23" s="2491"/>
      <c r="E23" s="2491"/>
      <c r="F23" s="2491"/>
      <c r="G23" s="2491"/>
      <c r="H23" s="2491"/>
      <c r="I23" s="2491"/>
      <c r="J23" s="2491"/>
      <c r="K23" s="2491"/>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1858</v>
      </c>
      <c r="C25" s="1477"/>
      <c r="D25" s="322"/>
      <c r="E25" s="322"/>
      <c r="F25" s="322"/>
      <c r="G25" s="1383"/>
      <c r="H25" s="322"/>
      <c r="I25" s="1383"/>
      <c r="J25" s="322"/>
      <c r="K25" s="322"/>
      <c r="L25" s="322"/>
    </row>
    <row r="26" spans="2:12" ht="37.5" customHeight="1" x14ac:dyDescent="0.2">
      <c r="B26" s="2491"/>
      <c r="C26" s="2491"/>
      <c r="D26" s="2491"/>
      <c r="E26" s="2491"/>
      <c r="F26" s="2491"/>
      <c r="G26" s="2491"/>
      <c r="H26" s="2491"/>
      <c r="I26" s="2491"/>
      <c r="J26" s="2491"/>
      <c r="K26" s="2491"/>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1859</v>
      </c>
      <c r="C28" s="1477"/>
      <c r="D28" s="322"/>
      <c r="E28" s="322"/>
      <c r="F28" s="322"/>
      <c r="G28" s="1383"/>
      <c r="H28" s="322"/>
      <c r="I28" s="1383"/>
      <c r="J28" s="322"/>
      <c r="K28" s="322"/>
      <c r="L28" s="322"/>
    </row>
    <row r="29" spans="2:12" ht="37.5" customHeight="1" x14ac:dyDescent="0.2">
      <c r="B29" s="2491"/>
      <c r="C29" s="2491"/>
      <c r="D29" s="2491"/>
      <c r="E29" s="2491"/>
      <c r="F29" s="2491"/>
      <c r="G29" s="2491"/>
      <c r="H29" s="2491"/>
      <c r="I29" s="2491"/>
      <c r="J29" s="2491"/>
      <c r="K29" s="2491"/>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1"/>
      <c r="C32" s="2491"/>
      <c r="D32" s="2491"/>
      <c r="E32" s="2491"/>
      <c r="F32" s="2491"/>
      <c r="G32" s="2491"/>
      <c r="H32" s="2491"/>
      <c r="I32" s="2491"/>
      <c r="J32" s="2491"/>
      <c r="K32" s="2491"/>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1"/>
      <c r="C35" s="2491"/>
      <c r="D35" s="2491"/>
      <c r="E35" s="2491"/>
      <c r="F35" s="2491"/>
      <c r="G35" s="2491"/>
      <c r="H35" s="2491"/>
      <c r="I35" s="2491"/>
      <c r="J35" s="2491"/>
      <c r="K35" s="2491"/>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1"/>
      <c r="C38" s="2491"/>
      <c r="D38" s="2491"/>
      <c r="E38" s="2491"/>
      <c r="F38" s="2491"/>
      <c r="G38" s="2491"/>
      <c r="H38" s="2491"/>
      <c r="I38" s="2491"/>
      <c r="J38" s="2491"/>
      <c r="K38" s="2491"/>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1860</v>
      </c>
      <c r="C40" s="1403"/>
      <c r="D40" s="1378"/>
      <c r="E40" s="1379"/>
      <c r="F40" s="1379"/>
      <c r="G40" s="1380"/>
      <c r="H40" s="1379"/>
      <c r="I40" s="1380"/>
      <c r="J40" s="1379"/>
      <c r="K40" s="1379"/>
    </row>
    <row r="41" spans="2:12" s="322" customFormat="1" ht="33.75" customHeight="1" x14ac:dyDescent="0.2">
      <c r="B41" s="2491"/>
      <c r="C41" s="2491"/>
      <c r="D41" s="2491"/>
      <c r="E41" s="2491"/>
      <c r="F41" s="2491"/>
      <c r="G41" s="2491"/>
      <c r="H41" s="2491"/>
      <c r="I41" s="2491"/>
      <c r="J41" s="2491"/>
      <c r="K41" s="2491"/>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1861</v>
      </c>
      <c r="C48" s="1419"/>
      <c r="D48" s="322"/>
      <c r="E48" s="322"/>
      <c r="F48" s="322"/>
    </row>
    <row r="49" spans="2:3" s="317" customFormat="1" ht="10.5" customHeight="1" x14ac:dyDescent="0.2">
      <c r="B49" s="1420" t="s">
        <v>1862</v>
      </c>
      <c r="C49" s="1420"/>
    </row>
    <row r="50" spans="2:3" s="317" customFormat="1" ht="11.1" customHeight="1" x14ac:dyDescent="0.2">
      <c r="B50" s="1420" t="s">
        <v>1863</v>
      </c>
      <c r="C50" s="1420"/>
    </row>
    <row r="51" spans="2:3" s="317" customFormat="1" ht="11.1" customHeight="1" x14ac:dyDescent="0.2">
      <c r="B51" s="1420" t="s">
        <v>1864</v>
      </c>
      <c r="C51" s="1420"/>
    </row>
    <row r="52" spans="2:3" s="317" customFormat="1" ht="11.1" customHeight="1" x14ac:dyDescent="0.2">
      <c r="B52" s="1420" t="s">
        <v>1865</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18" sqref="C1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69" t="str">
        <f>'Single Audit Cover'!A7</f>
        <v>Staunton CUSD 6</v>
      </c>
      <c r="C1" s="2469"/>
      <c r="D1" s="2469"/>
      <c r="E1" s="1491"/>
    </row>
    <row r="2" spans="2:5" s="1282" customFormat="1" ht="12.75" customHeight="1" x14ac:dyDescent="0.2">
      <c r="B2" s="2471">
        <f>'Single Audit Cover'!E7</f>
        <v>40056006026</v>
      </c>
      <c r="C2" s="2471"/>
      <c r="D2" s="2471"/>
      <c r="E2" s="1492"/>
    </row>
    <row r="3" spans="2:5" ht="12.75" customHeight="1" x14ac:dyDescent="0.2">
      <c r="B3" s="2492" t="s">
        <v>1866</v>
      </c>
      <c r="C3" s="2492"/>
      <c r="D3" s="2492"/>
      <c r="E3" s="1274"/>
    </row>
    <row r="4" spans="2:5" s="1282" customFormat="1" ht="12.75" customHeight="1" x14ac:dyDescent="0.2">
      <c r="B4" s="2502" t="str">
        <f>'Single Audit Cover'!A4</f>
        <v>Year Ending June 30, 2018</v>
      </c>
      <c r="C4" s="2502"/>
      <c r="D4" s="2502"/>
      <c r="E4" s="1493"/>
    </row>
    <row r="5" spans="2:5" s="1282" customFormat="1" ht="40.15" customHeight="1" x14ac:dyDescent="0.2">
      <c r="B5" s="1494" t="s">
        <v>1867</v>
      </c>
      <c r="C5" s="328"/>
      <c r="D5" s="328"/>
      <c r="E5" s="328"/>
    </row>
    <row r="6" spans="2:5" s="1282" customFormat="1" ht="13.5" customHeight="1" x14ac:dyDescent="0.2">
      <c r="B6" s="1495" t="s">
        <v>1382</v>
      </c>
      <c r="C6" s="1495" t="s">
        <v>1381</v>
      </c>
      <c r="D6" s="1495" t="s">
        <v>1868</v>
      </c>
    </row>
    <row r="7" spans="2:5" ht="13.5" customHeight="1" x14ac:dyDescent="0.2">
      <c r="B7" s="1496"/>
      <c r="C7" s="324"/>
      <c r="D7" s="324"/>
      <c r="E7" s="324"/>
    </row>
    <row r="8" spans="2:5" ht="13.5" customHeight="1" x14ac:dyDescent="0.2">
      <c r="B8" s="1496" t="s">
        <v>2158</v>
      </c>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1869</v>
      </c>
    </row>
    <row r="46" spans="2:5" ht="12.2" customHeight="1" x14ac:dyDescent="0.2">
      <c r="B46" s="1505" t="s">
        <v>1870</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4d435f69-8686-490b-bd6d-b153bf22ab50"/>
    <ds:schemaRef ds:uri="6ce3111e-7420-4802-b50a-75d4e9a0b980"/>
    <ds:schemaRef ds:uri="http://purl.org/dc/terms/"/>
    <ds:schemaRef ds:uri="http://purl.org/dc/elements/1.1/"/>
    <ds:schemaRef ds:uri="http://schemas.microsoft.com/office/2006/documentManagement/types"/>
    <ds:schemaRef ds:uri="http://purl.org/dc/dcmitype/"/>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d21dc803-237d-4c68-8692-8d731fd29118"/>
    <ds:schemaRef ds:uri="http://schemas.microsoft.com/sharepoint/v3"/>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20</vt:i4>
      </vt:variant>
    </vt:vector>
  </HeadingPairs>
  <TitlesOfParts>
    <vt:vector size="57"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 SEFA (3)</vt:lpstr>
      <vt:lpstr> SEFA (4)</vt:lpstr>
      <vt:lpstr> SEFA (5)</vt:lpstr>
      <vt:lpstr>SF&amp;QC Sec-1</vt:lpstr>
      <vt:lpstr>SF&amp;QC Sec-2</vt:lpstr>
      <vt:lpstr>SF&amp;QC Sec-3</vt:lpstr>
      <vt:lpstr>SSPAF</vt:lpstr>
      <vt:lpstr>' SEFA'!Print_Area</vt:lpstr>
      <vt:lpstr>' SEFA (2)'!Print_Area</vt:lpstr>
      <vt:lpstr>' SEFA (3)'!Print_Area</vt:lpstr>
      <vt:lpstr>' SEFA (4)'!Print_Area</vt:lpstr>
      <vt:lpstr>' SEFA (5)'!Print_Area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2018-09-26T18:41:02Z</cp:lastPrinted>
  <dcterms:created xsi:type="dcterms:W3CDTF">2003-10-29T19:06:34Z</dcterms:created>
  <dcterms:modified xsi:type="dcterms:W3CDTF">2018-10-31T13:57:35Z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