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0490" windowHeight="754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 SEFA (3)" sheetId="184" r:id="rId31"/>
    <sheet name=" SEFA (4)" sheetId="185" r:id="rId32"/>
    <sheet name="SF&amp;QC Sec-1" sheetId="174" r:id="rId33"/>
    <sheet name="SF&amp;QC Sec-2" sheetId="175" r:id="rId34"/>
    <sheet name="SF&amp;QC Sec-3" sheetId="176" r:id="rId35"/>
    <sheet name="SSPAF" sheetId="177" r:id="rId36"/>
  </sheets>
  <definedNames>
    <definedName name="_xlnm.Print_Area" localSheetId="28">' SEFA'!$B$1:$M$46</definedName>
    <definedName name="_xlnm.Print_Area" localSheetId="29">' SEFA (2)'!$B$1:$M$46</definedName>
    <definedName name="_xlnm.Print_Area" localSheetId="30">' SEFA (3)'!$B$1:$M$46</definedName>
    <definedName name="_xlnm.Print_Area" localSheetId="31">' SEFA (4)'!$B$1:$M$46</definedName>
    <definedName name="_xlnm.Print_Area" localSheetId="27">'SEFA NOTES'!$A$1:$F$52</definedName>
    <definedName name="_xlnm.Print_Area" localSheetId="26">'SEFA Reconcile'!$A$1:$E$49</definedName>
    <definedName name="_xlnm.Print_Area" localSheetId="32">'SF&amp;QC Sec-1'!$A$1:$J$63</definedName>
    <definedName name="_xlnm.Print_Area" localSheetId="34">'SF&amp;QC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31">#REF!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2">#REF!</definedName>
    <definedName name="SCHADDRS" localSheetId="33">#REF!</definedName>
    <definedName name="SCHADDRS" localSheetId="34">#REF!</definedName>
    <definedName name="SCHADDRS" localSheetId="25">#REF!</definedName>
    <definedName name="SCHADDRS" localSheetId="24">#REF!</definedName>
    <definedName name="SCHADDRS" localSheetId="35">#REF!</definedName>
    <definedName name="SCHADDRS">#REF!</definedName>
    <definedName name="SCHCTY" localSheetId="28">#REF!</definedName>
    <definedName name="SCHCTY" localSheetId="29">#REF!</definedName>
    <definedName name="SCHCTY" localSheetId="30">#REF!</definedName>
    <definedName name="SCHCTY" localSheetId="31">#REF!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2">#REF!</definedName>
    <definedName name="SCHCTY" localSheetId="33">#REF!</definedName>
    <definedName name="SCHCTY" localSheetId="34">#REF!</definedName>
    <definedName name="SCHCTY" localSheetId="25">#REF!</definedName>
    <definedName name="SCHCTY" localSheetId="24">#REF!</definedName>
    <definedName name="SCHCTY" localSheetId="35">#REF!</definedName>
    <definedName name="SCHCTY">#REF!</definedName>
    <definedName name="SCHNMBR" localSheetId="28">#REF!</definedName>
    <definedName name="SCHNMBR" localSheetId="29">#REF!</definedName>
    <definedName name="SCHNMBR" localSheetId="30">#REF!</definedName>
    <definedName name="SCHNMBR" localSheetId="31">#REF!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2">#REF!</definedName>
    <definedName name="SCHNMBR" localSheetId="33">#REF!</definedName>
    <definedName name="SCHNMBR" localSheetId="34">#REF!</definedName>
    <definedName name="SCHNMBR" localSheetId="25">#REF!</definedName>
    <definedName name="SCHNMBR" localSheetId="24">#REF!</definedName>
    <definedName name="SCHNMBR" localSheetId="35">#REF!</definedName>
    <definedName name="SCHNMBR">#REF!</definedName>
    <definedName name="SCHNME" localSheetId="28">#REF!</definedName>
    <definedName name="SCHNME" localSheetId="29">#REF!</definedName>
    <definedName name="SCHNME" localSheetId="30">#REF!</definedName>
    <definedName name="SCHNME" localSheetId="31">#REF!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2">#REF!</definedName>
    <definedName name="SCHNME" localSheetId="33">#REF!</definedName>
    <definedName name="SCHNME" localSheetId="34">#REF!</definedName>
    <definedName name="SCHNME" localSheetId="25">#REF!</definedName>
    <definedName name="SCHNME" localSheetId="24">#REF!</definedName>
    <definedName name="SCHNME" localSheetId="35">#REF!</definedName>
    <definedName name="SCHNME">#REF!</definedName>
    <definedName name="SUPT" localSheetId="28">#REF!</definedName>
    <definedName name="SUPT" localSheetId="29">#REF!</definedName>
    <definedName name="SUPT" localSheetId="30">#REF!</definedName>
    <definedName name="SUPT" localSheetId="31">#REF!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2">#REF!</definedName>
    <definedName name="SUPT" localSheetId="33">#REF!</definedName>
    <definedName name="SUPT" localSheetId="34">#REF!</definedName>
    <definedName name="SUPT" localSheetId="25">#REF!</definedName>
    <definedName name="SUPT" localSheetId="24">#REF!</definedName>
    <definedName name="SUPT" localSheetId="35">#REF!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5" i="185" l="1"/>
  <c r="G15" i="185"/>
  <c r="L26" i="185"/>
  <c r="L25" i="185"/>
  <c r="L24" i="185"/>
  <c r="L23" i="185"/>
  <c r="L22" i="185"/>
  <c r="L21" i="185"/>
  <c r="L20" i="185"/>
  <c r="L19" i="185"/>
  <c r="L18" i="185"/>
  <c r="L17" i="185"/>
  <c r="L16" i="185"/>
  <c r="L14" i="185"/>
  <c r="L12" i="185"/>
  <c r="L11" i="185"/>
  <c r="B4" i="185"/>
  <c r="K27" i="184"/>
  <c r="J27" i="184"/>
  <c r="J15" i="185" s="1"/>
  <c r="I27" i="184"/>
  <c r="I15" i="185" s="1"/>
  <c r="H27" i="184"/>
  <c r="H15" i="185" s="1"/>
  <c r="G27" i="184"/>
  <c r="F27" i="184"/>
  <c r="F15" i="185" s="1"/>
  <c r="E27" i="184"/>
  <c r="E15" i="185" s="1"/>
  <c r="L26" i="184"/>
  <c r="L25" i="184"/>
  <c r="L24" i="184"/>
  <c r="L23" i="184"/>
  <c r="L22" i="184"/>
  <c r="L21" i="184"/>
  <c r="L20" i="184"/>
  <c r="L19" i="184"/>
  <c r="L18" i="184"/>
  <c r="L17" i="184"/>
  <c r="L16" i="184"/>
  <c r="L15" i="184"/>
  <c r="L14" i="184"/>
  <c r="L13" i="184"/>
  <c r="L12" i="184"/>
  <c r="L11" i="184"/>
  <c r="B4" i="184"/>
  <c r="K27" i="183"/>
  <c r="J27" i="183"/>
  <c r="J13" i="185" s="1"/>
  <c r="I27" i="183"/>
  <c r="H27" i="183"/>
  <c r="H13" i="185" s="1"/>
  <c r="H27" i="185" s="1"/>
  <c r="G27" i="183"/>
  <c r="F27" i="183"/>
  <c r="E27" i="183"/>
  <c r="L26" i="183"/>
  <c r="L25" i="183"/>
  <c r="L24" i="183"/>
  <c r="L23" i="183"/>
  <c r="L22" i="183"/>
  <c r="L21" i="183"/>
  <c r="L20" i="183"/>
  <c r="L19" i="183"/>
  <c r="L18" i="183"/>
  <c r="L17" i="183"/>
  <c r="L16" i="183"/>
  <c r="L15" i="183"/>
  <c r="L14" i="183"/>
  <c r="L13" i="183"/>
  <c r="L12" i="183"/>
  <c r="L11" i="183"/>
  <c r="B4" i="183"/>
  <c r="L18" i="179"/>
  <c r="K27" i="179"/>
  <c r="K13" i="185" s="1"/>
  <c r="K27" i="185" s="1"/>
  <c r="J27" i="179"/>
  <c r="I27" i="179"/>
  <c r="H27" i="179"/>
  <c r="G27" i="179"/>
  <c r="G13" i="185" s="1"/>
  <c r="F27" i="179"/>
  <c r="E27" i="179"/>
  <c r="E13" i="185" s="1"/>
  <c r="L15" i="185" l="1"/>
  <c r="I13" i="185"/>
  <c r="I27" i="185" s="1"/>
  <c r="D45" i="174" s="1"/>
  <c r="J27" i="185"/>
  <c r="F13" i="185"/>
  <c r="F27" i="185" s="1"/>
  <c r="D35" i="171" s="1"/>
  <c r="L13" i="185"/>
  <c r="E27" i="185"/>
  <c r="G27" i="185"/>
  <c r="L27" i="185" s="1"/>
  <c r="L27" i="184"/>
  <c r="L27" i="183"/>
  <c r="C14" i="29" l="1"/>
  <c r="M17" i="3" l="1"/>
  <c r="M19" i="3"/>
  <c r="D267" i="29" l="1"/>
  <c r="G301" i="29"/>
  <c r="C5" i="29"/>
  <c r="C182" i="29"/>
  <c r="H169" i="29"/>
  <c r="K4" i="3"/>
  <c r="J5" i="3"/>
  <c r="J4" i="3"/>
  <c r="I5" i="3"/>
  <c r="I4" i="3"/>
  <c r="H4" i="3"/>
  <c r="G4" i="3"/>
  <c r="F4" i="3"/>
  <c r="E4" i="3"/>
  <c r="D4" i="3"/>
  <c r="C31" i="3" l="1"/>
  <c r="C27" i="3"/>
  <c r="C4" i="3"/>
  <c r="L5" i="29" l="1"/>
  <c r="L45" i="29"/>
  <c r="L17" i="29"/>
  <c r="L14" i="29"/>
  <c r="L13" i="29"/>
  <c r="L8" i="29"/>
  <c r="L64" i="29"/>
  <c r="L63" i="29"/>
  <c r="L60" i="29"/>
  <c r="L55" i="29"/>
  <c r="L50" i="29"/>
  <c r="L49" i="29"/>
  <c r="L44" i="29"/>
  <c r="L41" i="29"/>
  <c r="L38" i="29"/>
  <c r="L37" i="29"/>
  <c r="L16" i="29"/>
  <c r="L10" i="29"/>
  <c r="L75" i="29"/>
  <c r="L51" i="29"/>
  <c r="L46" i="29"/>
  <c r="L36" i="29"/>
  <c r="L19" i="29"/>
  <c r="L11" i="29"/>
  <c r="F37" i="29"/>
  <c r="F45" i="29"/>
  <c r="D17" i="29"/>
  <c r="C17" i="29"/>
  <c r="H14" i="29"/>
  <c r="F14" i="29"/>
  <c r="E14" i="29"/>
  <c r="D14" i="29"/>
  <c r="F13" i="29"/>
  <c r="D13" i="29"/>
  <c r="C13" i="29"/>
  <c r="D8" i="29"/>
  <c r="C8" i="29"/>
  <c r="F5" i="29"/>
  <c r="E5" i="29"/>
  <c r="D5" i="29"/>
  <c r="H5" i="29"/>
  <c r="G63" i="29"/>
  <c r="F63" i="29"/>
  <c r="E63" i="29"/>
  <c r="C63" i="29"/>
  <c r="E60" i="29"/>
  <c r="C60" i="29"/>
  <c r="E55" i="29"/>
  <c r="D55" i="29"/>
  <c r="C55" i="29"/>
  <c r="G50" i="29"/>
  <c r="F50" i="29"/>
  <c r="E50" i="29"/>
  <c r="D50" i="29"/>
  <c r="C50" i="29"/>
  <c r="F49" i="29"/>
  <c r="E49" i="29"/>
  <c r="E45" i="29"/>
  <c r="D45" i="29"/>
  <c r="C45" i="29"/>
  <c r="E44" i="29"/>
  <c r="D44" i="29"/>
  <c r="C44" i="29"/>
  <c r="D38" i="29"/>
  <c r="C38" i="29"/>
  <c r="D37" i="29"/>
  <c r="C37" i="29"/>
  <c r="F10" i="29"/>
  <c r="D10" i="29"/>
  <c r="C10" i="29"/>
  <c r="G5" i="29"/>
  <c r="F75" i="29"/>
  <c r="C75" i="29"/>
  <c r="F51" i="29"/>
  <c r="C51" i="29"/>
  <c r="D36" i="29"/>
  <c r="C36" i="29"/>
  <c r="C19" i="29"/>
  <c r="F11" i="29"/>
  <c r="D11" i="29"/>
  <c r="C11" i="29"/>
  <c r="L124" i="29"/>
  <c r="L125" i="29"/>
  <c r="F124" i="29"/>
  <c r="E124" i="29"/>
  <c r="C124" i="29"/>
  <c r="L170" i="29"/>
  <c r="H170" i="29"/>
  <c r="F182" i="29"/>
  <c r="E182" i="29"/>
  <c r="D182" i="29"/>
  <c r="L240" i="29"/>
  <c r="L223" i="29"/>
  <c r="L217" i="29"/>
  <c r="L215" i="29"/>
  <c r="L268" i="29"/>
  <c r="L267" i="29"/>
  <c r="L266" i="29"/>
  <c r="L264" i="29"/>
  <c r="L259" i="29"/>
  <c r="L246" i="29"/>
  <c r="L245" i="29"/>
  <c r="L241" i="29"/>
  <c r="L237" i="29"/>
  <c r="L234" i="29"/>
  <c r="L233" i="29"/>
  <c r="L219" i="29"/>
  <c r="L280" i="29"/>
  <c r="L247" i="29"/>
  <c r="L232" i="29"/>
  <c r="L228" i="29"/>
  <c r="L220" i="29"/>
  <c r="D241" i="29"/>
  <c r="D247" i="29"/>
  <c r="D223" i="29"/>
  <c r="D217" i="29"/>
  <c r="D215" i="29"/>
  <c r="D268" i="29"/>
  <c r="D266" i="29"/>
  <c r="D264" i="29"/>
  <c r="D259" i="29"/>
  <c r="D246" i="29"/>
  <c r="D245" i="29"/>
  <c r="D240" i="29"/>
  <c r="D237" i="29"/>
  <c r="D234" i="29"/>
  <c r="D233" i="29"/>
  <c r="D219" i="29"/>
  <c r="D280" i="29"/>
  <c r="D232" i="29"/>
  <c r="D228" i="29"/>
  <c r="D220" i="29"/>
  <c r="L325" i="29"/>
  <c r="I33" i="4"/>
  <c r="E325" i="29"/>
  <c r="L348" i="29"/>
  <c r="F107" i="5"/>
  <c r="C81" i="5"/>
  <c r="C72" i="5"/>
  <c r="C79" i="5"/>
  <c r="C74" i="5"/>
  <c r="C271" i="5"/>
  <c r="C270" i="5"/>
  <c r="C268" i="5"/>
  <c r="C203" i="5"/>
  <c r="C171" i="5"/>
  <c r="C158" i="5"/>
  <c r="C157" i="5"/>
  <c r="C136" i="5"/>
  <c r="C134" i="5"/>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3" l="1"/>
  <c r="B1" i="185"/>
  <c r="B1" i="184"/>
  <c r="B2" i="179"/>
  <c r="B2" i="185"/>
  <c r="B2" i="183"/>
  <c r="B2" i="184"/>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D7768" i="106" s="1"/>
  <c r="B7766" i="106"/>
  <c r="D7766" i="106" s="1"/>
  <c r="B7765" i="106"/>
  <c r="B7764" i="106"/>
  <c r="J85" i="28"/>
  <c r="B7758" i="106" s="1"/>
  <c r="D7758" i="106" s="1"/>
  <c r="J88" i="28"/>
  <c r="K6" i="29"/>
  <c r="B7763" i="106" s="1"/>
  <c r="B7762" i="106"/>
  <c r="K12" i="12"/>
  <c r="B7719" i="106" s="1"/>
  <c r="D7719" i="106" s="1"/>
  <c r="K23" i="12"/>
  <c r="J12" i="12"/>
  <c r="J21" i="12"/>
  <c r="J23" i="12" s="1"/>
  <c r="B7729" i="106"/>
  <c r="D7729" i="106" s="1"/>
  <c r="B7734" i="106"/>
  <c r="B7726" i="106"/>
  <c r="D76" i="36"/>
  <c r="F162" i="34"/>
  <c r="B30" i="36"/>
  <c r="B33" i="36" s="1"/>
  <c r="B43" i="36" s="1"/>
  <c r="B56" i="36" s="1"/>
  <c r="B66" i="36" s="1"/>
  <c r="B70" i="36" s="1"/>
  <c r="B74" i="36" s="1"/>
  <c r="D73" i="36"/>
  <c r="C191" i="5"/>
  <c r="C201" i="5"/>
  <c r="B5246" i="106" s="1"/>
  <c r="D5246" i="106" s="1"/>
  <c r="C211" i="5"/>
  <c r="C216" i="5"/>
  <c r="B4411" i="106" s="1"/>
  <c r="D4411" i="106" s="1"/>
  <c r="C224" i="5"/>
  <c r="C228" i="5"/>
  <c r="B5304" i="106" s="1"/>
  <c r="D5304" i="106" s="1"/>
  <c r="C259" i="5"/>
  <c r="B7761" i="106"/>
  <c r="L127" i="29"/>
  <c r="L129" i="29" s="1"/>
  <c r="L139" i="29"/>
  <c r="L149" i="29"/>
  <c r="I7" i="145"/>
  <c r="I6" i="145"/>
  <c r="D78" i="36"/>
  <c r="K75" i="29"/>
  <c r="K130" i="29"/>
  <c r="F56" i="34" s="1"/>
  <c r="K185" i="29"/>
  <c r="B2836" i="106" s="1"/>
  <c r="D2836" i="106" s="1"/>
  <c r="K122" i="29"/>
  <c r="F15" i="145" s="1"/>
  <c r="F19" i="145" s="1"/>
  <c r="K67" i="29"/>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K80" i="29"/>
  <c r="B2975" i="106" s="1"/>
  <c r="D2975" i="106" s="1"/>
  <c r="K81" i="29"/>
  <c r="B2976" i="106" s="1"/>
  <c r="D2976" i="106" s="1"/>
  <c r="K82" i="29"/>
  <c r="K83" i="29"/>
  <c r="B2978" i="106" s="1"/>
  <c r="D2978" i="106" s="1"/>
  <c r="K93" i="29"/>
  <c r="B6997" i="106" s="1"/>
  <c r="D6997" i="106" s="1"/>
  <c r="K94" i="29"/>
  <c r="K95" i="29"/>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B3010" i="106" s="1"/>
  <c r="D3010" i="106" s="1"/>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B7078" i="106" s="1"/>
  <c r="D7078" i="106" s="1"/>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1" i="106"/>
  <c r="D7001" i="106" s="1"/>
  <c r="B7002" i="106"/>
  <c r="D7002"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I210" i="29"/>
  <c r="B7071" i="106" s="1"/>
  <c r="D7071" i="106" s="1"/>
  <c r="J210" i="29"/>
  <c r="B7072" i="106" s="1"/>
  <c r="D7072" i="106" s="1"/>
  <c r="B7073" i="106"/>
  <c r="D7073" i="106" s="1"/>
  <c r="B7075" i="106"/>
  <c r="D7075" i="106" s="1"/>
  <c r="B7076" i="106"/>
  <c r="D7076" i="106" s="1"/>
  <c r="B7077" i="106"/>
  <c r="D7077"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71" i="36"/>
  <c r="D72" i="36"/>
  <c r="D79" i="36"/>
  <c r="B64" i="127"/>
  <c r="B65" i="127"/>
  <c r="D26" i="108"/>
  <c r="E26" i="108"/>
  <c r="F26" i="108"/>
  <c r="G26" i="108"/>
  <c r="D27" i="108"/>
  <c r="E27" i="108"/>
  <c r="F27" i="108"/>
  <c r="G27" i="108"/>
  <c r="E28" i="108"/>
  <c r="F36" i="108"/>
  <c r="F37" i="108"/>
  <c r="G28" i="108"/>
  <c r="E30" i="108"/>
  <c r="G30" i="108"/>
  <c r="D31" i="108"/>
  <c r="D36" i="108"/>
  <c r="E31" i="108"/>
  <c r="G31" i="108"/>
  <c r="E33" i="108"/>
  <c r="G33" i="108"/>
  <c r="G34"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C50" i="34"/>
  <c r="D50" i="34"/>
  <c r="F50" i="34"/>
  <c r="C51" i="34"/>
  <c r="D51" i="34"/>
  <c r="C52" i="34"/>
  <c r="C53" i="34"/>
  <c r="D53" i="34"/>
  <c r="C56" i="34"/>
  <c r="C57" i="34"/>
  <c r="D57" i="34"/>
  <c r="C61" i="34"/>
  <c r="C62" i="34"/>
  <c r="F62" i="34"/>
  <c r="C63" i="34"/>
  <c r="D63" i="34"/>
  <c r="C64" i="34"/>
  <c r="F64" i="34"/>
  <c r="C67" i="34"/>
  <c r="D67" i="34"/>
  <c r="C68" i="34"/>
  <c r="D68" i="34"/>
  <c r="F68" i="34"/>
  <c r="C69" i="34"/>
  <c r="D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B4373" i="106"/>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14" i="4"/>
  <c r="B2609" i="106" s="1"/>
  <c r="D2609" i="106" s="1"/>
  <c r="F14" i="4"/>
  <c r="B2597" i="106" s="1"/>
  <c r="D2597" i="106" s="1"/>
  <c r="B2633" i="106"/>
  <c r="D2633" i="106" s="1"/>
  <c r="N22" i="3"/>
  <c r="B283" i="106" s="1"/>
  <c r="D283" i="106" s="1"/>
  <c r="D7" i="118"/>
  <c r="D8" i="118"/>
  <c r="D9" i="118"/>
  <c r="H14" i="118"/>
  <c r="H19" i="118"/>
  <c r="H24" i="118"/>
  <c r="H29" i="118"/>
  <c r="D11" i="37"/>
  <c r="D22" i="37"/>
  <c r="J22" i="37"/>
  <c r="L22" i="37"/>
  <c r="D24" i="37"/>
  <c r="B4270" i="106" s="1"/>
  <c r="D4270" i="106" s="1"/>
  <c r="B5752" i="106"/>
  <c r="D5752" i="106" s="1"/>
  <c r="D12" i="7"/>
  <c r="B1769" i="106" s="1"/>
  <c r="D1769" i="106" s="1"/>
  <c r="D7" i="7" l="1"/>
  <c r="B1763" i="106" s="1"/>
  <c r="D1763" i="106" s="1"/>
  <c r="E35" i="108"/>
  <c r="H342" i="29"/>
  <c r="K41" i="3"/>
  <c r="L15" i="11"/>
  <c r="B3459" i="106" s="1"/>
  <c r="D3459" i="106" s="1"/>
  <c r="F136" i="34"/>
  <c r="H112" i="29"/>
  <c r="B7018" i="106" s="1"/>
  <c r="D7018" i="106" s="1"/>
  <c r="E174" i="29"/>
  <c r="B1309" i="106" s="1"/>
  <c r="D1309" i="106" s="1"/>
  <c r="B1126" i="106"/>
  <c r="D1126" i="106" s="1"/>
  <c r="D54" i="36"/>
  <c r="H173" i="5"/>
  <c r="H33" i="118"/>
  <c r="D14" i="4"/>
  <c r="B2570" i="106" s="1"/>
  <c r="D2570" i="106" s="1"/>
  <c r="F69" i="34"/>
  <c r="F49" i="34"/>
  <c r="F28" i="108"/>
  <c r="I342" i="29"/>
  <c r="B7222" i="106" s="1"/>
  <c r="D7222" i="106" s="1"/>
  <c r="B7074" i="106"/>
  <c r="D7074" i="106" s="1"/>
  <c r="B3254" i="106"/>
  <c r="D3254" i="106" s="1"/>
  <c r="B2805" i="106"/>
  <c r="D2805" i="106" s="1"/>
  <c r="H28" i="118"/>
  <c r="F35" i="34"/>
  <c r="E38" i="108"/>
  <c r="G39" i="108"/>
  <c r="F19" i="7"/>
  <c r="B1807" i="106" s="1"/>
  <c r="D1807" i="106" s="1"/>
  <c r="D37" i="108"/>
  <c r="F41" i="34"/>
  <c r="F52" i="34"/>
  <c r="C14" i="4"/>
  <c r="B2558" i="106" s="1"/>
  <c r="D2558" i="106" s="1"/>
  <c r="B2724" i="106"/>
  <c r="D2724" i="106" s="1"/>
  <c r="F36" i="34"/>
  <c r="G38" i="108"/>
  <c r="G29" i="108"/>
  <c r="E29" i="108"/>
  <c r="C109" i="5"/>
  <c r="B5121" i="106" s="1"/>
  <c r="D5121" i="106" s="1"/>
  <c r="B1746" i="106"/>
  <c r="D1746" i="106" s="1"/>
  <c r="B3647" i="106"/>
  <c r="D3647" i="106" s="1"/>
  <c r="C352" i="29"/>
  <c r="C367" i="29" s="1"/>
  <c r="B3622" i="106" s="1"/>
  <c r="D3622" i="106" s="1"/>
  <c r="K76" i="4"/>
  <c r="B3586" i="106" s="1"/>
  <c r="D3586" i="106" s="1"/>
  <c r="G15" i="145"/>
  <c r="G5" i="4"/>
  <c r="B3409" i="106" s="1"/>
  <c r="D3409" i="106" s="1"/>
  <c r="H109" i="5"/>
  <c r="B6025" i="106" s="1"/>
  <c r="D6025" i="106" s="1"/>
  <c r="F66" i="34"/>
  <c r="F45" i="34"/>
  <c r="J77" i="4"/>
  <c r="B6262" i="106" s="1"/>
  <c r="D6262" i="106" s="1"/>
  <c r="K184" i="29"/>
  <c r="F13" i="4" s="1"/>
  <c r="B2596" i="106" s="1"/>
  <c r="D2596" i="106" s="1"/>
  <c r="D9" i="7"/>
  <c r="B1767" i="106" s="1"/>
  <c r="D1767" i="106" s="1"/>
  <c r="F128" i="34"/>
  <c r="B5096" i="106"/>
  <c r="D5096" i="106" s="1"/>
  <c r="D17" i="7"/>
  <c r="B4104" i="106" s="1"/>
  <c r="D4104" i="106" s="1"/>
  <c r="F106" i="34"/>
  <c r="D13" i="7"/>
  <c r="B3726" i="106" s="1"/>
  <c r="D3726" i="106" s="1"/>
  <c r="K28" i="118"/>
  <c r="O27" i="118" s="1"/>
  <c r="O29" i="118" s="1"/>
  <c r="K274" i="5"/>
  <c r="B6022" i="106" s="1"/>
  <c r="D6022" i="106" s="1"/>
  <c r="F172" i="5"/>
  <c r="B5644" i="106" s="1"/>
  <c r="D5644" i="106" s="1"/>
  <c r="L13" i="11"/>
  <c r="B2060" i="106" s="1"/>
  <c r="D2060" i="106" s="1"/>
  <c r="G210" i="29"/>
  <c r="C172" i="5"/>
  <c r="B5214" i="106" s="1"/>
  <c r="D5214" i="106" s="1"/>
  <c r="F127" i="34"/>
  <c r="D5" i="7"/>
  <c r="B1761" i="106" s="1"/>
  <c r="D1761" i="106" s="1"/>
  <c r="G172" i="5"/>
  <c r="G173" i="5" s="1"/>
  <c r="B5778" i="106" s="1"/>
  <c r="D5778" i="106" s="1"/>
  <c r="D109" i="5"/>
  <c r="B5356" i="106" s="1"/>
  <c r="D5356" i="106" s="1"/>
  <c r="I173" i="5"/>
  <c r="B4216" i="106" s="1"/>
  <c r="D4216" i="106" s="1"/>
  <c r="D69" i="36"/>
  <c r="F130" i="34"/>
  <c r="L5" i="11"/>
  <c r="B2056" i="106" s="1"/>
  <c r="D2056" i="106" s="1"/>
  <c r="D11" i="7"/>
  <c r="B1768" i="106" s="1"/>
  <c r="D1768" i="106" s="1"/>
  <c r="F111" i="34"/>
  <c r="F131" i="34"/>
  <c r="B7041" i="106"/>
  <c r="D7041" i="106" s="1"/>
  <c r="E109" i="5"/>
  <c r="E4" i="4" s="1"/>
  <c r="B2630" i="106" s="1"/>
  <c r="D2630" i="106" s="1"/>
  <c r="D7245" i="106"/>
  <c r="C342" i="29"/>
  <c r="B7216" i="106" s="1"/>
  <c r="D7216" i="106" s="1"/>
  <c r="B6191" i="106"/>
  <c r="D6191" i="106" s="1"/>
  <c r="J41" i="3"/>
  <c r="B6216" i="106" s="1"/>
  <c r="D6216" i="106" s="1"/>
  <c r="B3658" i="106"/>
  <c r="D3658" i="106" s="1"/>
  <c r="H365" i="29"/>
  <c r="D4" i="7"/>
  <c r="B1760" i="106" s="1"/>
  <c r="D1760" i="106" s="1"/>
  <c r="L367" i="29"/>
  <c r="D15" i="7"/>
  <c r="B1772" i="106" s="1"/>
  <c r="D1772" i="106" s="1"/>
  <c r="G109" i="5"/>
  <c r="L342" i="29"/>
  <c r="F34" i="34"/>
  <c r="B3170" i="106"/>
  <c r="D3170" i="106" s="1"/>
  <c r="H76" i="4"/>
  <c r="B3298" i="106" s="1"/>
  <c r="D3298" i="106" s="1"/>
  <c r="B1995" i="106"/>
  <c r="D1995" i="106" s="1"/>
  <c r="I24" i="12"/>
  <c r="F21" i="8"/>
  <c r="B3689" i="106"/>
  <c r="D3689" i="106" s="1"/>
  <c r="K350" i="29"/>
  <c r="B3649" i="106"/>
  <c r="D3649" i="106" s="1"/>
  <c r="G367" i="29"/>
  <c r="B3650" i="106" s="1"/>
  <c r="D3650" i="106" s="1"/>
  <c r="B1223" i="106"/>
  <c r="D1223" i="106" s="1"/>
  <c r="K24" i="12"/>
  <c r="K285" i="29"/>
  <c r="B3724" i="106" s="1"/>
  <c r="D3724" i="106" s="1"/>
  <c r="B1410" i="106"/>
  <c r="D1410" i="106" s="1"/>
  <c r="B1329" i="106"/>
  <c r="D1329" i="106" s="1"/>
  <c r="F61" i="34"/>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B5653" i="106" s="1"/>
  <c r="D5653" i="106" s="1"/>
  <c r="D18" i="7"/>
  <c r="B4105" i="106" s="1"/>
  <c r="D4105" i="106" s="1"/>
  <c r="F105" i="34"/>
  <c r="F107" i="34"/>
  <c r="F109" i="5"/>
  <c r="J109" i="5"/>
  <c r="J173" i="5"/>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F274" i="5"/>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15" i="106"/>
  <c r="D7215"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J7" i="4"/>
  <c r="B7270" i="106"/>
  <c r="K7" i="4" l="1"/>
  <c r="B3718" i="106" s="1"/>
  <c r="D3718" i="106" s="1"/>
  <c r="B3621" i="106"/>
  <c r="D3621" i="106" s="1"/>
  <c r="H4" i="4"/>
  <c r="B2655" i="106" s="1"/>
  <c r="D2655" i="106" s="1"/>
  <c r="B3568" i="106"/>
  <c r="D3568" i="106" s="1"/>
  <c r="D52" i="36"/>
  <c r="G6" i="4"/>
  <c r="B2604" i="106" s="1"/>
  <c r="D2604" i="106" s="1"/>
  <c r="B5770" i="106"/>
  <c r="D5770" i="106" s="1"/>
  <c r="I6" i="4"/>
  <c r="B5011" i="106" s="1"/>
  <c r="D5011" i="106" s="1"/>
  <c r="B3628" i="106"/>
  <c r="D3628" i="106" s="1"/>
  <c r="B5906" i="106"/>
  <c r="D5906" i="106" s="1"/>
  <c r="H6" i="4"/>
  <c r="B2656" i="106" s="1"/>
  <c r="D2656" i="106" s="1"/>
  <c r="D51" i="36"/>
  <c r="L114" i="29"/>
  <c r="B1317" i="106"/>
  <c r="D1317" i="106" s="1"/>
  <c r="B1381" i="106"/>
  <c r="D1381" i="106" s="1"/>
  <c r="K342" i="29"/>
  <c r="F13" i="34" s="1"/>
  <c r="C173" i="5"/>
  <c r="B5223" i="106" s="1"/>
  <c r="D5223" i="106" s="1"/>
  <c r="C4" i="4"/>
  <c r="B2551" i="106" s="1"/>
  <c r="D2551" i="106" s="1"/>
  <c r="D4" i="4"/>
  <c r="B2564" i="106" s="1"/>
  <c r="D2564" i="106" s="1"/>
  <c r="B5527" i="106"/>
  <c r="D5527" i="106" s="1"/>
  <c r="F275" i="5"/>
  <c r="D44" i="36"/>
  <c r="B1328" i="106"/>
  <c r="D1328" i="106" s="1"/>
  <c r="D7254" i="106"/>
  <c r="D7253" i="106"/>
  <c r="L16" i="11"/>
  <c r="B2061" i="106" s="1"/>
  <c r="D2061" i="106" s="1"/>
  <c r="F6" i="4"/>
  <c r="B2593" i="106" s="1"/>
  <c r="D2593" i="106" s="1"/>
  <c r="B5914" i="106"/>
  <c r="D5914" i="106" s="1"/>
  <c r="J16" i="4"/>
  <c r="B6226" i="106" s="1"/>
  <c r="D6226" i="106" s="1"/>
  <c r="D7250" i="106"/>
  <c r="B1365" i="106"/>
  <c r="D1365" i="106" s="1"/>
  <c r="F65" i="34"/>
  <c r="D19" i="7"/>
  <c r="B1775" i="106" s="1"/>
  <c r="D1775" i="106" s="1"/>
  <c r="H275" i="5"/>
  <c r="B5915" i="106" s="1"/>
  <c r="D5915" i="106" s="1"/>
  <c r="D274" i="5"/>
  <c r="D7256" i="106"/>
  <c r="D7251" i="106"/>
  <c r="C114" i="29"/>
  <c r="B757" i="106" s="1"/>
  <c r="D757" i="106" s="1"/>
  <c r="B7733" i="106"/>
  <c r="D7733" i="106" s="1"/>
  <c r="K26" i="12"/>
  <c r="B7743" i="106" s="1"/>
  <c r="D7743" i="106" s="1"/>
  <c r="B3670" i="106"/>
  <c r="D3670" i="106" s="1"/>
  <c r="K352" i="29"/>
  <c r="K367" i="29" s="1"/>
  <c r="B6024" i="106"/>
  <c r="D6024" i="106" s="1"/>
  <c r="G4" i="4"/>
  <c r="B2603" i="106" s="1"/>
  <c r="D2603" i="106" s="1"/>
  <c r="H367" i="29"/>
  <c r="B3660" i="106" s="1"/>
  <c r="D3660" i="106" s="1"/>
  <c r="B7242" i="106"/>
  <c r="D7242" i="106" s="1"/>
  <c r="B1879" i="106"/>
  <c r="D1879" i="106" s="1"/>
  <c r="H22" i="37"/>
  <c r="D7255" i="106"/>
  <c r="D7252" i="106"/>
  <c r="F73" i="34"/>
  <c r="G15" i="4"/>
  <c r="B6032" i="106" s="1"/>
  <c r="D6032" i="106" s="1"/>
  <c r="B1996" i="106"/>
  <c r="D1996" i="106" s="1"/>
  <c r="I26" i="12"/>
  <c r="B7741" i="106" s="1"/>
  <c r="D774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720" i="106"/>
  <c r="D5720" i="106" s="1"/>
  <c r="B6222" i="106"/>
  <c r="D6222" i="106" s="1"/>
  <c r="D7" i="4"/>
  <c r="B5507" i="106"/>
  <c r="D5507" i="106" s="1"/>
  <c r="B7298" i="106"/>
  <c r="B7299" i="106"/>
  <c r="H8" i="4" l="1"/>
  <c r="C6" i="4"/>
  <c r="B2553" i="106" s="1"/>
  <c r="D2553" i="106" s="1"/>
  <c r="F24" i="37"/>
  <c r="B7224" i="106"/>
  <c r="D7224" i="106" s="1"/>
  <c r="J17" i="4"/>
  <c r="B6227" i="106" s="1"/>
  <c r="D6227" i="106" s="1"/>
  <c r="J8" i="4"/>
  <c r="F8" i="4"/>
  <c r="D8" i="146" s="1"/>
  <c r="E41" i="108"/>
  <c r="E44" i="108" s="1"/>
  <c r="E45" i="108" s="1"/>
  <c r="K13" i="4"/>
  <c r="B3572" i="106" s="1"/>
  <c r="D3572" i="106" s="1"/>
  <c r="B3672" i="106"/>
  <c r="D3672" i="106"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J19" i="4"/>
  <c r="B6229" i="106" s="1"/>
  <c r="D6229"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B2658" i="106" l="1"/>
  <c r="D2658" i="106" s="1"/>
  <c r="H10" i="4"/>
  <c r="B4127" i="106" s="1"/>
  <c r="D4127" i="106" s="1"/>
  <c r="F76" i="34"/>
  <c r="J20" i="4"/>
  <c r="B6230" i="106" s="1"/>
  <c r="D6230" i="106" s="1"/>
  <c r="K17" i="4"/>
  <c r="K19" i="4" s="1"/>
  <c r="B4144" i="106" s="1"/>
  <c r="D4144" i="106" s="1"/>
  <c r="B2595" i="106"/>
  <c r="D2595" i="106" s="1"/>
  <c r="F10" i="4"/>
  <c r="B4125" i="106" s="1"/>
  <c r="D4125" i="106" s="1"/>
  <c r="B6223" i="106"/>
  <c r="D6223" i="106" s="1"/>
  <c r="J10" i="4"/>
  <c r="B6225" i="106" s="1"/>
  <c r="D6225" i="106" s="1"/>
  <c r="D8" i="4"/>
  <c r="D10" i="4" s="1"/>
  <c r="B4123" i="106" s="1"/>
  <c r="D4123"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c r="C8" i="146" l="1"/>
  <c r="B3575" i="106"/>
  <c r="D3575" i="106" s="1"/>
  <c r="K20" i="4"/>
  <c r="B3576" i="106" s="1"/>
  <c r="D3576"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<sst xmlns="http://schemas.openxmlformats.org/spreadsheetml/2006/main" count="5258" uniqueCount="2156">
  <si>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</si>
  <si>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</si>
  <si>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</si>
  <si>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</si>
  <si>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</si>
  <si>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</si>
  <si>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</si>
  <si>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</si>
  <si>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</si>
  <si>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</si>
  <si>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</si>
  <si>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</si>
  <si>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</si>
  <si>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</si>
  <si>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</si>
  <si>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</si>
  <si>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</si>
  <si>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</si>
  <si>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</si>
  <si>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</si>
  <si>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</si>
  <si>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</si>
  <si>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</si>
  <si>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</si>
  <si>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</si>
  <si>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</si>
  <si>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</si>
  <si>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</si>
  <si>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</si>
  <si>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</si>
  <si>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</si>
  <si>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</si>
  <si>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</si>
  <si>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</si>
  <si>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</si>
  <si>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</si>
  <si>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</si>
  <si>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</si>
  <si>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</si>
  <si>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</si>
  <si>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</si>
  <si>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</si>
  <si>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</si>
  <si>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</si>
  <si>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</si>
  <si>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</si>
  <si>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</si>
  <si>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</si>
  <si>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</si>
  <si>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</si>
  <si>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</si>
  <si>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</si>
  <si>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</si>
  <si>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</si>
  <si>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</si>
  <si>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</si>
  <si>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</si>
  <si>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</si>
  <si>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</si>
  <si>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</si>
  <si>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</si>
  <si>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</si>
  <si>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</si>
  <si>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</si>
  <si>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</si>
  <si>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</si>
  <si>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</si>
  <si>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</si>
  <si>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</si>
  <si>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</si>
  <si>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</si>
  <si>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</si>
  <si>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</si>
  <si>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</si>
  <si>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</si>
  <si>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</si>
  <si>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</si>
  <si>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</si>
  <si>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</si>
  <si>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</si>
  <si>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</si>
  <si>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</si>
  <si>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</si>
  <si>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</si>
  <si>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</si>
  <si>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</si>
  <si>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</si>
  <si>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</si>
  <si>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</si>
  <si>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</si>
  <si>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</si>
  <si>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</si>
  <si>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</si>
  <si>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</si>
  <si>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</si>
  <si>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</si>
  <si>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</si>
  <si>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</si>
  <si>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</si>
  <si>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</si>
  <si>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</si>
  <si>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</si>
  <si>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</si>
  <si>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</si>
  <si>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</si>
  <si>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</si>
  <si>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</si>
  <si>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</si>
  <si>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</si>
  <si>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</si>
  <si>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</si>
  <si>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</si>
  <si>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</si>
  <si>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</si>
  <si>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</si>
  <si>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</si>
  <si>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</si>
  <si>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</si>
  <si>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</si>
  <si>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</si>
  <si>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</si>
  <si>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</si>
  <si>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</si>
  <si>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</si>
  <si>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</si>
  <si>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</si>
  <si>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</si>
  <si>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</si>
  <si>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</si>
  <si>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</si>
  <si>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</si>
  <si>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</si>
  <si>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</si>
  <si>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</si>
  <si>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</si>
  <si>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</si>
  <si>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</si>
  <si>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</si>
  <si>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</si>
  <si>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</si>
  <si>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</si>
  <si>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</si>
  <si>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</si>
  <si>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</si>
  <si>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</si>
  <si>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</si>
  <si>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</si>
  <si>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</si>
  <si>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</si>
  <si>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</si>
  <si>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</si>
  <si>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</si>
  <si>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</si>
  <si>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</si>
  <si>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</si>
  <si>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</si>
  <si>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</si>
  <si>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</si>
  <si>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</si>
  <si>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</si>
  <si>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</si>
  <si>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</si>
  <si>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</si>
  <si>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</si>
  <si>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</si>
  <si>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</si>
  <si>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</si>
  <si>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</si>
  <si>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</si>
  <si>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</si>
  <si>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</si>
  <si>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</si>
  <si>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</si>
  <si>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</si>
  <si>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</si>
  <si>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</si>
  <si>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</si>
  <si>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</si>
  <si>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</si>
  <si>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</si>
  <si>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</si>
  <si>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</si>
  <si>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</si>
  <si>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</si>
  <si>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</si>
  <si>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</si>
  <si>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</si>
  <si>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</si>
  <si>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</si>
  <si>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</si>
  <si>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</si>
  <si>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</si>
  <si>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</si>
  <si>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</si>
  <si>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</si>
  <si>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</si>
  <si>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</si>
  <si>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</si>
  <si>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</si>
  <si>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</si>
  <si>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</si>
  <si>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</si>
  <si>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</si>
  <si>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</si>
  <si>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</si>
  <si>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</si>
  <si>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</si>
  <si>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</si>
  <si>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</si>
  <si>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</si>
  <si>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</si>
  <si>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</si>
  <si>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</si>
  <si>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</si>
  <si>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</si>
  <si>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</si>
  <si>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</si>
  <si>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</si>
  <si>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</si>
  <si>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</si>
  <si>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</si>
  <si>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</si>
  <si>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</si>
  <si>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</si>
  <si>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</si>
  <si>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</si>
  <si>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</si>
  <si>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</si>
  <si>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</si>
  <si>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</si>
  <si>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</si>
  <si>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</si>
  <si>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</si>
  <si>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</si>
  <si>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</si>
  <si>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</si>
  <si>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</si>
  <si>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</si>
  <si>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</si>
  <si>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</si>
  <si>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</si>
  <si>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</si>
  <si>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</si>
  <si>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</si>
  <si>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</si>
  <si>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</si>
  <si>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</si>
  <si>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</si>
  <si>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</si>
  <si>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</si>
  <si>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</si>
  <si>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</si>
  <si>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</si>
  <si>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</si>
  <si>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</si>
  <si>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</si>
  <si>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</si>
  <si>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</si>
  <si>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</si>
  <si>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</si>
  <si>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</si>
  <si>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</si>
  <si>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</si>
  <si>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</si>
  <si>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</si>
  <si>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</si>
  <si>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</si>
  <si>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</si>
  <si>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</si>
  <si>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</si>
  <si>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</si>
  <si>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</si>
  <si>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</si>
  <si>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</si>
  <si>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</si>
  <si>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</si>
  <si>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</si>
  <si>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</si>
  <si>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</si>
  <si>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</si>
  <si>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</si>
  <si>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</si>
  <si>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</si>
  <si>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</si>
  <si>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</si>
  <si>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</si>
  <si>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</si>
  <si>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</si>
  <si>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</si>
  <si>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</si>
  <si>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</si>
  <si>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</si>
  <si>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</si>
  <si>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</si>
  <si>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</si>
  <si>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</si>
  <si>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</si>
  <si>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</si>
  <si>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</si>
  <si>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</si>
  <si>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</si>
  <si>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</si>
  <si>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</si>
  <si>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</si>
  <si>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</si>
  <si>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</si>
  <si>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</si>
  <si>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</si>
  <si>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</si>
  <si>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</si>
  <si>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</si>
  <si>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</si>
  <si>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</si>
  <si>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</si>
  <si>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</si>
  <si>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</si>
  <si>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</si>
  <si>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</si>
  <si>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</si>
  <si>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</si>
  <si>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</si>
  <si>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</si>
  <si>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</si>
  <si>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</si>
  <si>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</si>
  <si>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</si>
  <si>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</si>
  <si>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</si>
  <si>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</si>
  <si>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</si>
  <si>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</si>
  <si>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</si>
  <si>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</si>
  <si>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</si>
  <si>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</si>
  <si>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</si>
  <si>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</si>
  <si>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</si>
  <si>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</si>
  <si>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</si>
  <si>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</si>
  <si>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</si>
  <si>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</si>
  <si>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</si>
  <si>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</si>
  <si>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</si>
  <si>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</si>
  <si>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</si>
  <si>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</si>
  <si>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</si>
  <si>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</si>
  <si>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</si>
  <si>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</si>
  <si>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</si>
  <si>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</si>
  <si>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</si>
  <si>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</si>
  <si>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</si>
  <si>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</si>
  <si>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</si>
  <si>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</si>
  <si>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</si>
  <si>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</si>
  <si>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</si>
  <si>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</si>
  <si>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</si>
  <si>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</si>
  <si>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</si>
  <si>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</si>
  <si>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</si>
  <si>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</si>
  <si>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</si>
  <si>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</si>
  <si>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</si>
  <si>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</si>
  <si>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</si>
  <si>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</si>
  <si>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</si>
  <si>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</si>
  <si>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</si>
  <si>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</si>
  <si>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</si>
  <si>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</si>
  <si>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</si>
  <si>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</si>
  <si>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</si>
  <si>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</si>
  <si>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</si>
  <si>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</si>
  <si>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</si>
  <si>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</si>
  <si>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</si>
  <si>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</si>
  <si>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</si>
  <si>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</si>
  <si>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</si>
  <si>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</si>
  <si>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</si>
  <si>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</si>
  <si>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</si>
  <si>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</si>
  <si>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</si>
  <si>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</si>
  <si>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</si>
  <si>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</si>
  <si>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</si>
  <si>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</si>
  <si>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</si>
  <si>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</si>
  <si>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</si>
  <si>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</si>
  <si>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</si>
  <si>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</si>
  <si>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</si>
  <si>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</si>
  <si>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</si>
  <si>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</si>
  <si>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</si>
  <si>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</si>
  <si>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</si>
  <si>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</si>
  <si>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</si>
  <si>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</si>
  <si>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</si>
  <si>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</si>
  <si>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</si>
  <si>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</si>
  <si>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</si>
  <si>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</si>
  <si>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</si>
  <si>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</si>
  <si>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</si>
  <si>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</si>
  <si>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</si>
  <si>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</si>
  <si>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</si>
  <si>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</si>
  <si>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</si>
  <si>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</si>
  <si>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</si>
  <si>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</si>
  <si>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</si>
  <si>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</si>
  <si>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</si>
  <si>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</si>
  <si>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</si>
  <si>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</si>
  <si>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</si>
  <si>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</si>
  <si>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</si>
  <si>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</si>
  <si>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</si>
  <si>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</si>
  <si>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</si>
  <si>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</si>
  <si>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</si>
  <si>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</si>
  <si>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</si>
  <si>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</si>
  <si>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</si>
  <si>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</si>
  <si>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</si>
  <si>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</si>
  <si>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</si>
  <si>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</si>
  <si>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</si>
  <si>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</si>
  <si>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</si>
  <si>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</si>
  <si>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</si>
  <si>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</si>
  <si>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</si>
  <si>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</si>
  <si>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</si>
  <si>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</si>
  <si>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</si>
  <si>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</si>
  <si>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</si>
  <si>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</si>
  <si>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</si>
  <si>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</si>
  <si>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</si>
  <si>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</si>
  <si>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</si>
  <si>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</si>
  <si>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</si>
  <si>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</si>
  <si>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</si>
  <si>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</si>
  <si>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</si>
  <si>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</si>
  <si>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</si>
  <si>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</si>
  <si>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</si>
  <si>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</si>
  <si>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</si>
  <si>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</si>
  <si>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</si>
  <si>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</si>
  <si>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</si>
  <si>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</si>
  <si>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</si>
  <si>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</si>
  <si>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</si>
  <si>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</si>
  <si>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</si>
  <si>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</si>
  <si>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</si>
  <si>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</si>
  <si>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</si>
  <si>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</si>
  <si>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</si>
  <si>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</si>
  <si>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</si>
  <si>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</si>
  <si>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</si>
  <si>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</si>
  <si>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</si>
  <si>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</si>
  <si>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</si>
  <si>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</si>
  <si>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</si>
  <si>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</si>
  <si>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</si>
  <si>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</si>
  <si>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</si>
  <si>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</si>
  <si>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</si>
  <si>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</si>
  <si>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</si>
  <si>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</si>
  <si>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</si>
  <si>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</si>
  <si>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</si>
  <si>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</si>
  <si>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</si>
  <si>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</si>
  <si>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</si>
  <si>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</si>
  <si>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</si>
  <si>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</si>
  <si>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</si>
  <si>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</si>
  <si>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</si>
  <si>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</si>
  <si>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</si>
  <si>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</si>
  <si>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</si>
  <si>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</si>
  <si>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</si>
  <si>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</si>
  <si>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</si>
  <si>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</si>
  <si>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</si>
  <si>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</si>
  <si>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</si>
  <si>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</si>
  <si>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</si>
  <si>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</si>
  <si>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</si>
  <si>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</si>
  <si>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</si>
  <si>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</si>
  <si>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</si>
  <si>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</si>
  <si>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</si>
  <si>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</si>
  <si>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</si>
  <si>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</si>
  <si>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</si>
  <si>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</si>
  <si>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</si>
  <si>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</si>
  <si>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</si>
  <si>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</si>
  <si>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</si>
  <si>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</si>
  <si>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</si>
  <si>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</si>
  <si>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</si>
  <si>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</si>
  <si>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</si>
  <si>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</si>
  <si>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</si>
  <si>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</si>
  <si>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</si>
  <si>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</si>
  <si>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</si>
  <si>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</si>
  <si>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</si>
  <si>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</si>
  <si>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</si>
  <si>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</si>
  <si>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</si>
  <si>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</si>
  <si>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</si>
  <si>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</si>
  <si>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</si>
  <si>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</si>
  <si>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</si>
  <si>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</si>
  <si>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</si>
  <si>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</si>
  <si>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</si>
  <si>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</si>
  <si>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</si>
  <si>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</si>
  <si>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</si>
  <si>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</si>
  <si>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</si>
  <si>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</si>
  <si>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</si>
  <si>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</si>
  <si>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</si>
  <si>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</si>
  <si>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</si>
  <si>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</si>
  <si>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</si>
  <si>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</si>
  <si>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</si>
  <si>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</si>
  <si>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</si>
  <si>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</si>
  <si>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</si>
  <si>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</si>
  <si>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</si>
  <si>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</si>
  <si>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</si>
  <si>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</si>
  <si>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</si>
  <si>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</si>
  <si>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</si>
  <si>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</si>
  <si>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</si>
  <si>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</si>
  <si>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</si>
  <si>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</si>
  <si>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</si>
  <si>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</si>
  <si>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</si>
  <si>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</si>
  <si>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</si>
  <si>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</si>
  <si>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</si>
  <si>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</si>
  <si>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</si>
  <si>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</si>
  <si>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</si>
  <si>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</si>
  <si>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</si>
  <si>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</si>
  <si>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</si>
  <si>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</si>
  <si>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</si>
  <si>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</si>
  <si>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</si>
  <si>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</si>
  <si>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</si>
  <si>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</si>
  <si>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</si>
  <si>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</si>
  <si>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</si>
  <si>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</si>
  <si>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</si>
  <si>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</si>
  <si>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</si>
  <si>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</si>
  <si>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</si>
  <si>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</si>
  <si>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</si>
  <si>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</si>
  <si>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</si>
  <si>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</si>
  <si>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</si>
  <si>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</si>
  <si>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</si>
  <si>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</si>
  <si>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</si>
  <si>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</si>
  <si>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</si>
  <si>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</si>
  <si>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</si>
  <si>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</si>
  <si>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</si>
  <si>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</si>
  <si>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</si>
  <si>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</si>
  <si>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</si>
  <si>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</si>
  <si>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</si>
  <si>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</si>
  <si>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</si>
  <si>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</si>
  <si>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</si>
  <si>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</si>
  <si>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</si>
  <si>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</si>
  <si>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</si>
  <si>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</si>
  <si>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</si>
  <si>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</si>
  <si>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</si>
  <si>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</si>
  <si>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</si>
  <si>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</si>
  <si>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</si>
  <si>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</si>
  <si>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</si>
  <si>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</si>
  <si>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</si>
  <si>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</si>
  <si>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</si>
  <si>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</si>
  <si>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</si>
  <si>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</si>
  <si>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</si>
  <si>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</si>
  <si>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</si>
  <si>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</si>
  <si>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</si>
  <si>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</si>
  <si>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</si>
  <si>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</si>
  <si>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</si>
  <si>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</si>
  <si>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</si>
  <si>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</si>
  <si>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</si>
  <si>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</si>
  <si>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</si>
  <si>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</si>
  <si>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</si>
  <si>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</si>
  <si>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</si>
  <si>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</si>
  <si>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</si>
  <si>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</si>
  <si>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</si>
  <si>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</si>
  <si>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</si>
  <si>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</si>
  <si>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</si>
  <si>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</si>
  <si>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</si>
  <si>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</si>
  <si>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</si>
  <si>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</si>
  <si>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</si>
  <si>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</si>
  <si>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</si>
  <si>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</si>
  <si>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</si>
  <si>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</si>
  <si>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</si>
  <si>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</si>
  <si>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</si>
  <si>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</si>
  <si>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</si>
  <si>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</si>
  <si>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</si>
  <si>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</si>
  <si>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</si>
  <si>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</si>
  <si>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</si>
  <si>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</si>
  <si>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</si>
  <si>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</si>
  <si>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</si>
  <si>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</si>
  <si>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</si>
  <si>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</si>
  <si>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</si>
  <si>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</si>
  <si>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</si>
  <si>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</si>
  <si>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</si>
  <si>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</si>
  <si>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</si>
  <si>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</si>
  <si>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</si>
  <si>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</si>
  <si>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</si>
  <si>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</si>
  <si>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</si>
  <si>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</si>
  <si>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</si>
  <si>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</si>
  <si>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</si>
  <si>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</si>
  <si>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</si>
  <si>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</si>
  <si>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</si>
  <si>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</si>
  <si>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</si>
  <si>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</si>
  <si>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</si>
  <si>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</si>
  <si>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</si>
  <si>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</si>
  <si>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</si>
  <si>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</si>
  <si>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</si>
  <si>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</si>
  <si>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</si>
  <si>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</si>
  <si>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</si>
  <si>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</si>
  <si>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</si>
  <si>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</si>
  <si>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</si>
  <si>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</si>
  <si>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</si>
  <si>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</si>
  <si>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</si>
  <si>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</si>
  <si>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</si>
  <si>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</si>
  <si>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</si>
  <si>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</si>
  <si>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</si>
  <si>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</si>
  <si>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</si>
  <si>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</si>
  <si>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</si>
  <si>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</si>
  <si>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</si>
  <si>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</si>
  <si>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</si>
  <si>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</si>
  <si>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</si>
  <si>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</si>
  <si>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</si>
  <si>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</si>
  <si>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</si>
  <si>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</si>
  <si>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</si>
  <si>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</si>
  <si>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</si>
  <si>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</si>
  <si>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</si>
  <si>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</si>
  <si>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</si>
  <si>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</si>
  <si>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</si>
  <si>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</si>
  <si>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</si>
  <si>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</si>
  <si>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</si>
  <si>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</si>
  <si>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</si>
  <si>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</si>
  <si>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</si>
  <si>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</si>
  <si>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</si>
  <si>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</si>
  <si>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</si>
  <si>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</si>
  <si>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</si>
  <si>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</si>
  <si>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</si>
  <si>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</si>
  <si>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</si>
  <si>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</si>
  <si>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</si>
  <si>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</si>
  <si>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</si>
  <si>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</si>
  <si>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</si>
  <si>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</si>
  <si>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</si>
  <si>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</si>
  <si>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</si>
  <si>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</si>
  <si>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</si>
  <si>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</si>
  <si>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</si>
  <si>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</si>
  <si>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</si>
  <si>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</si>
  <si>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</si>
  <si>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</si>
  <si>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</si>
  <si>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</si>
  <si>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</si>
  <si>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</si>
  <si>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</si>
  <si>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</si>
  <si>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</si>
  <si>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</si>
  <si>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</si>
  <si>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</si>
  <si>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</si>
  <si>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</si>
  <si>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</si>
  <si>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</si>
  <si>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</si>
  <si>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</si>
  <si>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</si>
  <si>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</si>
  <si>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</si>
  <si>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</si>
  <si>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</si>
  <si>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</si>
  <si>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</si>
  <si>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</si>
  <si>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</si>
  <si>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</si>
  <si>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</si>
  <si>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</si>
  <si>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</si>
  <si>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</si>
  <si>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</si>
  <si>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</si>
  <si>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</si>
  <si>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</si>
  <si>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</si>
  <si>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</si>
  <si>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</si>
  <si>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</si>
  <si>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</si>
  <si>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</si>
  <si>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</si>
  <si>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</si>
  <si>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</si>
  <si>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</si>
  <si>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</si>
  <si>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</si>
  <si>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</si>
  <si>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</si>
  <si>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</si>
  <si>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</si>
  <si>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</si>
  <si>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</si>
  <si>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</si>
  <si>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</si>
  <si>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</si>
  <si>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</si>
  <si>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</si>
  <si>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</si>
  <si>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</si>
  <si>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</si>
  <si>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</si>
  <si>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</si>
  <si>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</si>
  <si>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</si>
  <si>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</si>
  <si>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</si>
  <si>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</si>
  <si>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</si>
  <si>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</si>
  <si>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</si>
  <si>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</si>
  <si>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</si>
  <si>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</si>
  <si>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</si>
  <si>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</si>
  <si>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</si>
  <si>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</si>
  <si>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</si>
  <si>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</si>
  <si>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</si>
  <si>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</si>
  <si>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</si>
  <si>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</si>
  <si>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</si>
  <si>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</si>
  <si>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</si>
  <si>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</si>
  <si>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</si>
  <si>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</si>
  <si>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</si>
  <si>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</si>
  <si>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</si>
  <si>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</si>
  <si>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</si>
  <si>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</si>
  <si>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</si>
  <si>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</si>
  <si>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</si>
  <si>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</si>
  <si>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</si>
  <si>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</si>
  <si>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</si>
  <si>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</si>
  <si>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</si>
  <si>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</si>
  <si>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</si>
  <si>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</si>
  <si>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</si>
  <si>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</si>
  <si>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</si>
  <si>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</si>
  <si>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</si>
  <si>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</si>
  <si>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</si>
  <si>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</si>
  <si>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</si>
  <si>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</si>
  <si>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</si>
  <si>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</si>
  <si>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</si>
  <si>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</si>
  <si>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</si>
  <si>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</si>
  <si>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</si>
  <si>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</si>
  <si>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</si>
  <si>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</si>
  <si>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</si>
  <si>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</si>
  <si>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</si>
  <si>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</si>
  <si>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</si>
  <si>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</si>
  <si>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</si>
  <si>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</si>
  <si>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</si>
  <si>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</si>
  <si>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</si>
  <si>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</si>
  <si>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</si>
  <si>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</si>
  <si>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</si>
  <si>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</si>
  <si>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</si>
  <si>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</si>
  <si>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</si>
  <si>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</si>
  <si>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</si>
  <si>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</si>
  <si>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</si>
  <si>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</si>
  <si>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</si>
  <si>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</si>
  <si>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</si>
  <si>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</si>
  <si>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</si>
  <si>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</si>
  <si>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</si>
  <si>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</si>
  <si>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</si>
  <si>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</si>
  <si>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</si>
  <si>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</si>
  <si>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</si>
  <si>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</si>
  <si>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</si>
  <si>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</si>
  <si>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</si>
  <si>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</si>
  <si>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</si>
  <si>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</si>
  <si>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</si>
  <si>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</si>
  <si>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</si>
  <si>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</si>
  <si>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</si>
  <si>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</si>
  <si>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</si>
  <si>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</si>
  <si>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</si>
  <si>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</si>
  <si>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</si>
  <si>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</si>
  <si>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</si>
  <si>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</si>
  <si>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</si>
  <si>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</si>
  <si>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</si>
  <si>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</si>
  <si>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</si>
  <si>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</si>
  <si>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</si>
  <si>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</si>
  <si>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</si>
  <si>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</si>
  <si>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</si>
  <si>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</si>
  <si>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</si>
  <si>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</si>
  <si>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</si>
  <si>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</si>
  <si>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</si>
  <si>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</si>
  <si>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</si>
  <si>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</si>
  <si>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</si>
  <si>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</si>
  <si>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</si>
  <si>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</si>
  <si>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</si>
  <si>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</si>
  <si>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</si>
  <si>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</si>
  <si>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</si>
  <si>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</si>
  <si>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</si>
  <si>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</si>
  <si>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</si>
  <si>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</si>
  <si>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</si>
  <si>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</si>
  <si>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</si>
  <si>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</si>
  <si>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</si>
  <si>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</si>
  <si>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</si>
  <si>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</si>
  <si>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</si>
  <si>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</si>
  <si>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</si>
  <si>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</si>
  <si>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</si>
  <si>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</si>
  <si>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</si>
  <si>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</si>
  <si>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</si>
  <si>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</si>
  <si>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</si>
  <si>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</si>
  <si>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</si>
  <si>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</si>
  <si>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</si>
  <si>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</si>
  <si>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</si>
  <si>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</si>
  <si>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</si>
  <si>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</si>
  <si>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</si>
  <si>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</si>
  <si>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</si>
  <si>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</si>
  <si>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</si>
  <si>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</si>
  <si>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</si>
  <si>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</si>
  <si>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</si>
  <si>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</si>
  <si>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</si>
  <si>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</si>
  <si>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</si>
  <si>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</si>
  <si>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</si>
  <si>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</si>
  <si>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</si>
  <si>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</si>
  <si>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</si>
  <si>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</si>
  <si>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</si>
  <si>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</si>
  <si>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</si>
  <si>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</si>
  <si>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</si>
  <si>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</si>
  <si>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</si>
  <si>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</si>
  <si>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</si>
  <si>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</si>
  <si>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</si>
  <si>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</si>
  <si>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</si>
  <si>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</si>
  <si>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</si>
  <si>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</si>
  <si>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</si>
  <si>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</si>
  <si>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</si>
  <si>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</si>
  <si>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</si>
  <si>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</si>
  <si>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</si>
  <si>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</si>
  <si>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</si>
  <si>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</si>
  <si>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</si>
  <si>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</si>
  <si>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</si>
  <si>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</si>
  <si>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</si>
  <si>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</si>
  <si>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</si>
  <si>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</si>
  <si>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</si>
  <si>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</si>
  <si>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</si>
  <si>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</si>
  <si>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</si>
  <si>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</si>
  <si>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</si>
  <si>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</si>
  <si>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</si>
  <si>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</si>
  <si>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</si>
  <si>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</si>
  <si>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</si>
  <si>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</si>
  <si>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</si>
  <si>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</si>
  <si>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</si>
  <si>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</si>
  <si>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</si>
  <si>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</si>
  <si>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</si>
  <si>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</si>
  <si>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</si>
  <si>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</si>
  <si>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</si>
  <si>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</si>
  <si>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</si>
  <si>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</si>
  <si>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</si>
  <si>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</si>
  <si>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</si>
  <si>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</si>
  <si>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</si>
  <si>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</si>
  <si>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</si>
  <si>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</si>
  <si>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</si>
  <si>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</si>
  <si>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</si>
  <si>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</si>
  <si>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</si>
  <si>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</si>
  <si>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</si>
  <si>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</si>
  <si>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</si>
  <si>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</si>
  <si>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</si>
  <si>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</si>
  <si>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</si>
  <si>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</si>
  <si>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</si>
  <si>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</si>
  <si>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</si>
  <si>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</si>
  <si>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</si>
  <si>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</si>
  <si>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</si>
  <si>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</si>
  <si>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</si>
  <si>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</si>
  <si>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</si>
  <si>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</si>
  <si>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</si>
  <si>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</si>
  <si>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</si>
  <si>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</si>
  <si>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</si>
  <si>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</si>
  <si>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</si>
  <si>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</si>
  <si>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</si>
  <si>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</si>
  <si>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</si>
  <si>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</si>
  <si>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</si>
  <si>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</si>
  <si>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</si>
  <si>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</si>
  <si>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</si>
  <si>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</si>
  <si>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</si>
  <si>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</si>
  <si>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</si>
  <si>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</si>
  <si>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</si>
  <si>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</si>
  <si>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</si>
  <si>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</si>
  <si>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</si>
  <si>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</si>
  <si>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</si>
  <si>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</si>
  <si>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</si>
  <si>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</si>
  <si>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</si>
  <si>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</si>
  <si>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</si>
  <si>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</si>
  <si>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</si>
  <si>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</si>
  <si>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</si>
  <si>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</si>
  <si>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</si>
  <si>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</si>
  <si>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</si>
  <si>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</si>
  <si>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</si>
  <si>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</si>
  <si>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</si>
  <si>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</si>
  <si>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</si>
  <si>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</si>
  <si>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</si>
  <si>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</si>
  <si>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</si>
  <si>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</si>
  <si>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</si>
  <si>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</si>
  <si>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</si>
  <si>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</si>
  <si>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</si>
  <si>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</si>
  <si>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</si>
  <si>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</si>
  <si>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</si>
  <si>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</si>
  <si>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</si>
  <si>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</si>
  <si>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</si>
  <si>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</si>
  <si>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</si>
  <si>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</si>
  <si>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</si>
  <si>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</si>
  <si>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</si>
  <si>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</si>
  <si>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</si>
  <si>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</si>
  <si>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</si>
  <si>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</si>
  <si>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</si>
  <si>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</si>
  <si>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</si>
  <si>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</si>
  <si>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</si>
  <si>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</si>
  <si>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</si>
  <si>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</si>
  <si>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</si>
  <si>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</si>
  <si>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</si>
  <si>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</si>
  <si>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</si>
  <si>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</si>
  <si>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</si>
  <si>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</si>
  <si>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</si>
  <si>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</si>
  <si>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</si>
  <si>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</si>
  <si>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</si>
  <si>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</si>
  <si>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</si>
  <si>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</si>
  <si>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</si>
  <si>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</si>
  <si>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</si>
  <si>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</si>
  <si>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</si>
  <si>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</si>
  <si>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</si>
  <si>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</si>
  <si>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</si>
  <si>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</si>
  <si>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</si>
  <si>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</si>
  <si>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</si>
  <si>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</si>
  <si>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</si>
  <si>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</si>
  <si>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</si>
  <si>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</si>
  <si>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</si>
  <si>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</si>
  <si>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</si>
  <si>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</si>
  <si>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</si>
  <si>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</si>
  <si>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</si>
  <si>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</si>
  <si>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</si>
  <si>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</si>
  <si>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</si>
  <si>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</si>
  <si>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</si>
  <si>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</si>
  <si>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</si>
  <si>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</si>
  <si>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</si>
  <si>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</si>
  <si>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</si>
  <si>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</si>
  <si>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</si>
  <si>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</si>
  <si>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</si>
  <si>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</si>
  <si>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</si>
  <si>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</si>
  <si>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</si>
  <si>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</si>
  <si>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</si>
  <si>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</si>
  <si>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</si>
  <si>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</si>
  <si>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</si>
  <si>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</si>
  <si>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</si>
  <si>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</si>
  <si>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</si>
  <si>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</si>
  <si>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</si>
  <si>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</si>
  <si>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</si>
  <si>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</si>
  <si>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</si>
  <si>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</si>
  <si>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</si>
  <si>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</si>
  <si>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</si>
  <si>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</si>
  <si>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</si>
  <si>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</si>
  <si>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</si>
  <si>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</si>
  <si>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</si>
  <si>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</si>
  <si>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</si>
  <si>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</si>
  <si>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</si>
  <si>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</si>
  <si>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</si>
  <si>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</si>
  <si>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</si>
  <si>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</si>
  <si>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</si>
  <si>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</si>
  <si>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</si>
  <si>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</si>
  <si>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</si>
  <si>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</si>
  <si>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</si>
  <si>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</si>
  <si>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</si>
  <si>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</si>
  <si>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</si>
  <si>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</si>
  <si>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</si>
  <si>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</si>
  <si>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</si>
  <si>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</si>
  <si>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</si>
  <si>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</si>
  <si>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</si>
  <si>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</si>
  <si>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</si>
  <si>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</si>
  <si>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</si>
  <si>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</si>
  <si>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</si>
  <si>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</si>
  <si>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</si>
  <si>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</si>
  <si>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</si>
  <si>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</si>
  <si>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</si>
  <si>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</si>
  <si>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</si>
  <si>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</si>
  <si>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</si>
  <si>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</si>
  <si>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</si>
  <si>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</si>
  <si>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</si>
  <si>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</si>
  <si>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</si>
  <si>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</si>
  <si>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</si>
  <si>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</si>
  <si>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</si>
  <si>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</si>
  <si>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</si>
  <si>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</si>
  <si>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</si>
  <si>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</si>
  <si>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</si>
  <si>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</si>
  <si>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</si>
  <si>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</si>
  <si>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</si>
  <si>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</si>
  <si>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</si>
  <si>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</si>
  <si>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</si>
  <si>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</si>
  <si>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</si>
  <si>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</si>
  <si>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</si>
  <si>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</si>
  <si>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</si>
  <si>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</si>
  <si>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</si>
  <si>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</si>
  <si>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</si>
  <si>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</si>
  <si>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</si>
  <si>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</si>
  <si>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</si>
  <si>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</si>
  <si>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</si>
  <si>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</si>
  <si>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</si>
  <si>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</si>
  <si>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</si>
  <si>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</si>
  <si>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</si>
  <si>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</si>
  <si>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</si>
  <si>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</si>
  <si>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</si>
  <si>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</si>
  <si>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</si>
  <si>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</si>
  <si>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</si>
  <si>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</si>
  <si>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</si>
  <si>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</si>
  <si>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</si>
  <si>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</si>
  <si>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</si>
  <si>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</si>
  <si>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</si>
  <si>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</si>
  <si>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</si>
  <si>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</si>
  <si>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</si>
  <si>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</si>
  <si>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</si>
  <si>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</si>
  <si>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</si>
  <si>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</si>
  <si>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</si>
  <si>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</si>
  <si>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</si>
  <si>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</si>
  <si>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</si>
  <si>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</si>
  <si>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</si>
  <si>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</si>
  <si>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</si>
  <si>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</si>
  <si>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</si>
  <si>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</si>
  <si>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</si>
  <si>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</si>
  <si>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</si>
  <si>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</si>
  <si>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</si>
  <si>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</si>
  <si>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</si>
  <si>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</si>
  <si>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</si>
  <si>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</si>
  <si>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</si>
  <si>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</si>
  <si>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</si>
  <si>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</si>
  <si>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</si>
  <si>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</si>
  <si>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</si>
  <si>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</si>
  <si>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</si>
  <si>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</si>
  <si>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</si>
  <si>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</si>
  <si>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</si>
  <si>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</si>
  <si>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</si>
  <si>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</si>
  <si>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</si>
  <si>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</si>
  <si>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</si>
  <si>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</si>
  <si>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</si>
  <si>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</si>
  <si>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</si>
  <si>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</si>
  <si>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</si>
  <si>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</si>
  <si>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</si>
  <si>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</si>
  <si>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</si>
  <si>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</si>
  <si>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</si>
  <si>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</si>
  <si>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</si>
  <si>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</si>
  <si>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</si>
  <si>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</si>
  <si>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</si>
  <si>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</si>
  <si>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</si>
  <si>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</si>
  <si>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</si>
  <si>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</si>
  <si>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</si>
  <si>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</si>
  <si>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</si>
  <si>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</si>
  <si>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</si>
  <si>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</si>
  <si>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</si>
  <si>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</si>
  <si>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</si>
  <si>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</si>
  <si>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</si>
  <si>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</si>
  <si>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</si>
  <si>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</si>
  <si>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</si>
  <si>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</si>
  <si>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</si>
  <si>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</si>
  <si>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</si>
  <si>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</si>
  <si>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</si>
  <si>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</si>
  <si>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</si>
  <si>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</si>
  <si>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</si>
  <si>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</si>
  <si>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</si>
  <si>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</si>
  <si>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</si>
  <si>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</si>
  <si>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</si>
  <si>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</si>
  <si>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</si>
  <si>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</si>
  <si>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</si>
  <si>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</si>
  <si>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</si>
  <si>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</si>
  <si>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</si>
  <si>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</si>
  <si>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</si>
  <si>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</si>
  <si>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</si>
  <si>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</si>
  <si>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</si>
  <si>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</si>
  <si>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</si>
  <si>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</si>
  <si>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</si>
  <si>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</si>
  <si>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</si>
  <si>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</si>
  <si>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</si>
  <si>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</si>
  <si>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</si>
  <si>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</si>
  <si>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</si>
  <si>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</si>
  <si>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</si>
  <si>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</si>
  <si>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</si>
  <si>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</si>
  <si>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</si>
  <si>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</si>
  <si>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</si>
  <si>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</si>
  <si>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</si>
  <si>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</si>
  <si>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</si>
  <si>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</si>
  <si>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</si>
  <si>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</si>
  <si>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</si>
  <si>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</si>
  <si>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</si>
  <si>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</si>
  <si>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</si>
  <si>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</si>
  <si>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</si>
  <si>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</si>
  <si>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</si>
  <si>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</si>
  <si>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</si>
  <si>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</si>
  <si>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</si>
  <si>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</si>
  <si>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</si>
  <si>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</si>
  <si>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</si>
  <si>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</si>
  <si>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</si>
  <si>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</si>
  <si>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</si>
  <si>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</si>
  <si>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</si>
  <si>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</si>
  <si>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</si>
  <si>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</si>
  <si>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</si>
  <si>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</si>
  <si>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</si>
  <si>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</si>
  <si>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</si>
  <si>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</si>
  <si>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</si>
  <si>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</si>
  <si>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</si>
  <si>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</si>
  <si>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</si>
  <si>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</si>
  <si>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</si>
  <si>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</si>
  <si>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</si>
  <si>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</si>
  <si>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</si>
  <si>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</si>
  <si>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</si>
  <si>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</si>
  <si>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</si>
  <si>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</si>
  <si>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</si>
  <si>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</si>
  <si>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</si>
  <si>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</si>
  <si>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</si>
  <si>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</si>
  <si>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</si>
  <si>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</si>
  <si>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</si>
  <si>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</si>
  <si>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</si>
  <si>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</si>
  <si>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</si>
  <si>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</si>
  <si>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</si>
  <si>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</si>
  <si>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</si>
  <si>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</si>
  <si>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</si>
  <si>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</si>
  <si>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</si>
  <si>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</si>
  <si>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</si>
  <si>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</si>
  <si>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</si>
  <si>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</si>
  <si>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</si>
  <si>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</si>
  <si>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</si>
  <si>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</si>
  <si>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</si>
  <si>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</si>
  <si>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</si>
  <si>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</si>
  <si>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</si>
  <si>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</si>
  <si>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</si>
  <si>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</si>
  <si>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</si>
  <si>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</si>
  <si>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</si>
  <si>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</si>
  <si>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</si>
  <si>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</si>
  <si>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</si>
  <si>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</si>
  <si>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</si>
  <si>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</si>
  <si>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</si>
  <si>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</si>
  <si>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</si>
  <si>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</si>
  <si>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</si>
  <si>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</si>
  <si>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</si>
  <si>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</si>
  <si>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</si>
  <si>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</si>
  <si>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</si>
  <si>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</si>
  <si>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</si>
  <si>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</si>
  <si>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</si>
  <si>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</si>
  <si>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</si>
  <si>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</si>
  <si>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</si>
  <si>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</si>
  <si>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</si>
  <si>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</si>
  <si>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</si>
  <si>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</si>
  <si>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</si>
  <si>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</si>
  <si>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</si>
  <si>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</si>
  <si>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</si>
  <si>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</si>
  <si>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</si>
  <si>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</si>
  <si>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</si>
  <si>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</si>
  <si>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</si>
  <si>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</si>
  <si>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</si>
  <si>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</si>
  <si>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</si>
  <si>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</si>
  <si>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</si>
  <si>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</si>
  <si>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</si>
  <si>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</si>
  <si>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</si>
  <si>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</si>
  <si>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</si>
  <si>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</si>
  <si>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</si>
  <si>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</si>
  <si>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</si>
  <si>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</si>
  <si>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</si>
  <si>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</si>
  <si>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</si>
  <si>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</si>
  <si>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</si>
  <si>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</si>
  <si>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</si>
  <si>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</si>
  <si>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</si>
  <si>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</si>
  <si>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</si>
  <si>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</si>
  <si>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</si>
  <si>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</si>
  <si>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</si>
  <si>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</si>
  <si>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</si>
  <si>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</si>
  <si>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</si>
  <si>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</si>
  <si>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</si>
  <si>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</si>
  <si>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</si>
  <si>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</si>
  <si>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</si>
  <si>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</si>
  <si>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</si>
  <si>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</si>
  <si>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</si>
  <si>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</si>
  <si>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</si>
  <si>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</si>
  <si>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</si>
  <si>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</si>
  <si>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</si>
  <si>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</si>
  <si>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</si>
  <si>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</si>
  <si>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</si>
  <si>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</si>
  <si>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</si>
  <si>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</si>
  <si>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</si>
  <si>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</si>
  <si>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</si>
  <si>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</si>
  <si>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</si>
  <si>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</si>
  <si>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</si>
  <si>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</si>
  <si>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</si>
  <si>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</si>
  <si>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</si>
  <si>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</si>
  <si>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</si>
  <si>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</si>
  <si>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</si>
  <si>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</si>
  <si>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</si>
  <si>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</si>
  <si>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</si>
  <si>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</si>
  <si>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</si>
  <si>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</si>
  <si>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</si>
  <si>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</si>
  <si>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</si>
  <si>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</si>
  <si>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</si>
  <si>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</si>
  <si>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</si>
  <si>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</si>
  <si>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</si>
  <si>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</si>
  <si>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</si>
  <si>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</si>
  <si>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</si>
  <si>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</si>
  <si>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</si>
  <si>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</si>
  <si>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</si>
  <si>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</si>
  <si>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</si>
  <si>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</si>
  <si>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</si>
  <si>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</si>
  <si>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</si>
  <si>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</si>
  <si>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</si>
  <si>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</si>
  <si>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</si>
  <si>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</si>
  <si>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</si>
  <si>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</si>
  <si>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</si>
  <si>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</si>
  <si>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</si>
  <si>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</si>
  <si>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</si>
  <si>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</si>
  <si>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</si>
  <si>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</si>
  <si>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</si>
  <si>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</si>
  <si>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</si>
  <si>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</si>
  <si>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</si>
  <si>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</si>
  <si>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</si>
  <si>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</si>
  <si>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</si>
  <si>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</si>
  <si>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</si>
  <si>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</si>
  <si>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</si>
  <si>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</si>
  <si>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</si>
  <si>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</si>
  <si>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</si>
  <si>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</si>
  <si>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</si>
  <si>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</si>
  <si>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</si>
  <si>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</si>
  <si>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</si>
  <si>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</si>
  <si>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</si>
  <si>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</si>
  <si>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</si>
  <si>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</si>
  <si>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</si>
  <si>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</si>
  <si>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</si>
  <si>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</si>
  <si>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</si>
  <si>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</si>
  <si>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</si>
  <si>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</si>
  <si>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</si>
  <si>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</si>
  <si>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</si>
  <si>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</si>
  <si>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</si>
  <si>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</si>
  <si>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</si>
  <si>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</si>
  <si>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</si>
  <si>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</si>
  <si>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</si>
  <si>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</si>
  <si>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</si>
  <si>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</si>
  <si>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</si>
  <si>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</si>
  <si>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</si>
  <si>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</si>
  <si>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</si>
  <si>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</si>
  <si>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</si>
  <si>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</si>
  <si>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</si>
  <si>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</si>
  <si>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</si>
  <si>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</si>
  <si>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</si>
  <si>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</si>
  <si>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</si>
  <si>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</si>
  <si>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</si>
  <si>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</si>
  <si>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</si>
  <si>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</si>
  <si>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</si>
  <si>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</si>
  <si>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</si>
  <si>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</si>
  <si>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</si>
  <si>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</si>
  <si>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</si>
  <si>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</si>
  <si>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</si>
  <si>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</si>
  <si>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</si>
  <si>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</si>
  <si>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</si>
  <si>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</si>
  <si>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</si>
  <si>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</si>
  <si>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</si>
  <si>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</si>
  <si>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</si>
  <si>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</si>
  <si>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</si>
  <si>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</si>
  <si>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</si>
  <si>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</si>
  <si>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</si>
  <si>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</si>
  <si>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</si>
  <si>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</si>
  <si>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</si>
  <si>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</si>
  <si>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</si>
  <si>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</si>
  <si>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</si>
  <si>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</si>
  <si>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</si>
  <si>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</si>
  <si>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</si>
  <si>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</si>
  <si>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</si>
  <si>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</si>
  <si>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</si>
  <si>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</si>
  <si>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</si>
  <si>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</si>
  <si>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</si>
  <si>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</si>
  <si>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</si>
  <si>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</si>
  <si>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</si>
  <si>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</si>
  <si>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</si>
  <si>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</si>
  <si>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</si>
  <si>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</si>
  <si>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</si>
  <si>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</si>
  <si>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</si>
  <si>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</si>
  <si>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</si>
  <si>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</si>
  <si>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</si>
  <si>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</si>
  <si>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</si>
  <si>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</si>
  <si>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</si>
  <si>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</si>
  <si>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</si>
  <si>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</si>
  <si>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</si>
  <si>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</si>
  <si>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</si>
  <si>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</si>
  <si>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</si>
  <si>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</si>
  <si>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</si>
  <si>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</si>
  <si>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</si>
  <si>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</si>
  <si>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</si>
  <si>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</si>
  <si>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</si>
  <si>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</si>
  <si>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</si>
  <si>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</si>
  <si>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</si>
  <si>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</si>
  <si>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</si>
  <si>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</si>
  <si>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MACOUPIN</t>
  </si>
  <si>
    <t>829 WEST MAIN STREET</t>
  </si>
  <si>
    <t>CARLINVILLE</t>
  </si>
  <si>
    <t>SCHUCHMB@CUSD1.COM</t>
  </si>
  <si>
    <t>X</t>
  </si>
  <si>
    <t>LOY MILLER TALLEY, PC</t>
  </si>
  <si>
    <t>KENNETH E. LOY</t>
  </si>
  <si>
    <t>#2 CROSSROADS CT</t>
  </si>
  <si>
    <t>ALTON</t>
  </si>
  <si>
    <t>IL</t>
  </si>
  <si>
    <t>618-465-1196</t>
  </si>
  <si>
    <t>618-465-2900</t>
  </si>
  <si>
    <t>060-003363</t>
  </si>
  <si>
    <t>KEN@LMTCPAS.COM</t>
  </si>
  <si>
    <t>BECKY SCHUCHMAN</t>
  </si>
  <si>
    <t>217-854-9823</t>
  </si>
  <si>
    <t>217-854-2777</t>
  </si>
  <si>
    <t>MICHELLE MUELLER</t>
  </si>
  <si>
    <t>MMUELLER@ROE40.COM</t>
  </si>
  <si>
    <t>217-854-4016</t>
  </si>
  <si>
    <t>217-854-2032</t>
  </si>
  <si>
    <t>COPIER LEASE</t>
  </si>
  <si>
    <t>SERIES 2015B LIFE SAFTEY BONDS</t>
  </si>
  <si>
    <t>SERIES 2016B GO LTD SCHOOL BONDS</t>
  </si>
  <si>
    <t>CAPITAL LEASE</t>
  </si>
  <si>
    <t>SERIES 2018 GO LTD SCHOOL BONDS</t>
  </si>
  <si>
    <t>10-1614 $8456 PTO MILK FUND, $8366 HS MILK</t>
  </si>
  <si>
    <t xml:space="preserve">10-1690  $4389 CATERING, $183 OTHER FOOD SERVICE COSTS, $7 OVER UNDER CASH DRAWER, </t>
  </si>
  <si>
    <t>10-1790 $601 RESALE MUSIC, $472 RESALE SECONDARY, $90 RESALE ELEMETARY, $74 RESALE ELEMENTARY, $111 RESALE SECONDARY</t>
  </si>
  <si>
    <t>10-3999 $1073 STATE LIBRARY GRANT, $906 ST LIBRARY GRANT</t>
  </si>
  <si>
    <t>10-4299 $7748 NSLP EQUIPMENT GRANT</t>
  </si>
  <si>
    <t>10-2190-100 $4737 PLAYGROUND AIDE</t>
  </si>
  <si>
    <t>10-2190-300 $2248 GRADUATION &amp; ASSEMBLY</t>
  </si>
  <si>
    <t>30-5400-600 $265 SERVICE CHARGE ON BOND</t>
  </si>
  <si>
    <t>50-2190-200 $363 FICA PLAYGROUND</t>
  </si>
  <si>
    <t>US DEPARTMENT OF AGRICULTURE:</t>
  </si>
  <si>
    <t>PASS-THROUGH FROM IL STATE BOARD OF EDUCATION</t>
  </si>
  <si>
    <t xml:space="preserve"> (M) NATIONAL SCHOOL LUNCH PROGRAM</t>
  </si>
  <si>
    <t xml:space="preserve">      NATIONAL SCHOOL LUNCH PROGRAM</t>
  </si>
  <si>
    <t>(M)   SCHOOL BREAKFAST PROGRAM</t>
  </si>
  <si>
    <t xml:space="preserve">  SCHOOL BREAKFAST PROGRAM</t>
  </si>
  <si>
    <t xml:space="preserve">  COMMODITIES (NON-CASH)</t>
  </si>
  <si>
    <t>FRUITS AND VEGETABLES (NON-CASH)</t>
  </si>
  <si>
    <t>18-4210-00</t>
  </si>
  <si>
    <t>17-4210-00</t>
  </si>
  <si>
    <t>18-4220-00</t>
  </si>
  <si>
    <t>17-4220-00</t>
  </si>
  <si>
    <t>18-4250-00</t>
  </si>
  <si>
    <t>TOTAL US DEPARTMENT OF AGRICULTURE:</t>
  </si>
  <si>
    <t>US DEPARTMENT OF EDUCATION:</t>
  </si>
  <si>
    <t xml:space="preserve">  PASS-THROUGH PROGRAMS FROM IL STATE BOARD OF EDUCATION:</t>
  </si>
  <si>
    <t>(M) TITLE I - LOW INCOME</t>
  </si>
  <si>
    <t xml:space="preserve"> TITLE I - LOW INCOME</t>
  </si>
  <si>
    <t>TITLE II - TEACHER QUALITY</t>
  </si>
  <si>
    <t>18-4300-00</t>
  </si>
  <si>
    <t>17-4300-00</t>
  </si>
  <si>
    <t>18-4932-00</t>
  </si>
  <si>
    <t>17-4932-00</t>
  </si>
  <si>
    <t>TITEL IVA STUDENT SUPPORT &amp; ACADEMIC ENRICHMENT</t>
  </si>
  <si>
    <t>US DEPARTMENT OF HEALTH &amp; HUMAN SERVICES:</t>
  </si>
  <si>
    <t>PASS-THROUGH ILLINOIS DEPARTMENT OF HEALTHCARE &amp; FAMILY SERVICES</t>
  </si>
  <si>
    <t xml:space="preserve">  MEDICAID ADMINISTRATIVE OUTREACH</t>
  </si>
  <si>
    <t>18-4991-00</t>
  </si>
  <si>
    <t>18-4400-00</t>
  </si>
  <si>
    <t>NSLP EQUIPMENT ASSISTANCE GRANT</t>
  </si>
  <si>
    <t>17-4260-00</t>
  </si>
  <si>
    <t>TOTAL FEDERAL FUNDS:</t>
  </si>
  <si>
    <t>PASS-THROUGH IL STATE BOARD OF EDUCATION</t>
  </si>
  <si>
    <t xml:space="preserve">  PASS-THROUGH DEPARTMENT OF HEALTHCARE &amp; FAMILY SERVICES</t>
  </si>
  <si>
    <t>NO FEDERAL AWARDS WERE PROVIDED TO SUBRECIPIENTS</t>
  </si>
  <si>
    <r>
      <t xml:space="preserve">The accompanying Schedule of Expenditures of Federal Awards includes the federal grant activity of </t>
    </r>
    <r>
      <rPr>
        <b/>
        <sz val="9"/>
        <rFont val="Calibri"/>
        <family val="2"/>
        <scheme val="minor"/>
      </rPr>
      <t>Carlinville Community School District #1</t>
    </r>
    <r>
      <rPr>
        <sz val="9"/>
        <rFont val="Calibri"/>
        <family val="2"/>
        <scheme val="minor"/>
      </rPr>
      <t xml:space="preserve"> and is presented on the </t>
    </r>
    <r>
      <rPr>
        <b/>
        <sz val="9"/>
        <rFont val="Calibri"/>
        <family val="2"/>
        <scheme val="minor"/>
      </rPr>
      <t>Cash Basis of Accouting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</si>
  <si>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The following amounts were expended in the form of non-cash assistance by </t>
    </r>
    <r>
      <rPr>
        <b/>
        <sz val="9"/>
        <rFont val="Calibri"/>
        <family val="2"/>
        <scheme val="minor"/>
      </rPr>
      <t>Carlinville Community School District #1</t>
    </r>
    <r>
      <rPr>
        <sz val="9"/>
        <rFont val="Calibri"/>
        <family val="2"/>
        <scheme val="minor"/>
      </rPr>
      <t xml:space="preserve"> and </t>
    </r>
    <r>
      <rPr>
        <b/>
        <sz val="9"/>
        <rFont val="Calibri"/>
        <family val="2"/>
        <scheme val="minor"/>
      </rPr>
      <t>are</t>
    </r>
    <r>
      <rPr>
        <sz val="9"/>
        <rFont val="Calibri"/>
        <family val="2"/>
        <scheme val="minor"/>
      </rPr>
      <t xml:space="preserve"> included in the Schedule of Expenditures of Federal Awards:</t>
    </r>
  </si>
  <si>
    <t>ADVERSE</t>
  </si>
  <si>
    <t>UNMODIFIED</t>
  </si>
  <si>
    <t>NATIONAL SCHOOL LUNCH PROGRAM</t>
  </si>
  <si>
    <t>SCHOOL BREAKFAST PROGRAM</t>
  </si>
  <si>
    <t>TITLE I - LOW INCOME</t>
  </si>
  <si>
    <t>NO FINDINGS FOR FISCAL YEAR ENDED JUNE 30, 2018</t>
  </si>
  <si>
    <t>NONE</t>
  </si>
  <si>
    <t>Carlinville CUSD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</si>
</sst>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3">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17" fontId="54" fillId="0" borderId="0" xfId="0" applyNumberFormat="1" applyFont="1"/>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9" fillId="0" borderId="0" xfId="3" applyFont="1" applyAlignment="1" applyProtection="1">
      <alignment horizontal="left" vertical="center" wrapText="1"/>
    </xf>
    <xf numFmtId="3" fontId="52" fillId="0" borderId="77"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8"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8071E0D0-9925-4B68-A6AB-97201B58ACC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2" t="s">
        <v>425</v>
      </c>
      <c r="J1" s="2033"/>
      <c r="K1" s="2033"/>
      <c r="L1" s="2033"/>
      <c r="M1" s="2033"/>
      <c r="N1" s="2033"/>
      <c r="O1" s="2033"/>
      <c r="P1" s="2033"/>
      <c r="Q1" s="2033"/>
      <c r="R1" s="2033"/>
      <c r="S1" s="2033"/>
    </row>
    <row r="2" spans="1:28" ht="12" customHeight="1" x14ac:dyDescent="0.2">
      <c r="A2" s="47" t="s">
        <v>1684</v>
      </c>
      <c r="D2" s="48"/>
      <c r="I2" s="2034" t="s">
        <v>1036</v>
      </c>
      <c r="J2" s="2033"/>
      <c r="K2" s="2033"/>
      <c r="L2" s="2033"/>
      <c r="M2" s="2033"/>
      <c r="N2" s="2033"/>
      <c r="O2" s="2033"/>
      <c r="P2" s="2033"/>
      <c r="Q2" s="2033"/>
      <c r="R2" s="2033"/>
      <c r="S2" s="2033"/>
    </row>
    <row r="3" spans="1:28" ht="12" customHeight="1" x14ac:dyDescent="0.2">
      <c r="A3" s="155" t="s">
        <v>1685</v>
      </c>
      <c r="B3" s="156"/>
      <c r="C3" s="156"/>
      <c r="D3" s="157"/>
      <c r="I3" s="2034" t="s">
        <v>54</v>
      </c>
      <c r="J3" s="2033"/>
      <c r="K3" s="2033"/>
      <c r="L3" s="2033"/>
      <c r="M3" s="2033"/>
      <c r="N3" s="2033"/>
      <c r="O3" s="2033"/>
      <c r="P3" s="2033"/>
      <c r="Q3" s="2033"/>
      <c r="R3" s="2033"/>
      <c r="S3" s="2033"/>
    </row>
    <row r="4" spans="1:28" ht="12" customHeight="1" x14ac:dyDescent="0.2">
      <c r="A4" s="37"/>
      <c r="I4" s="2034" t="s">
        <v>545</v>
      </c>
      <c r="J4" s="2033"/>
      <c r="K4" s="2033"/>
      <c r="L4" s="2033"/>
      <c r="M4" s="2033"/>
      <c r="N4" s="2033"/>
      <c r="O4" s="2033"/>
      <c r="P4" s="2033"/>
      <c r="Q4" s="2033"/>
      <c r="R4" s="2033"/>
      <c r="S4" s="2033"/>
    </row>
    <row r="5" spans="1:28" ht="14.1" customHeight="1" x14ac:dyDescent="0.2">
      <c r="B5" s="104" t="s">
        <v>2080</v>
      </c>
      <c r="C5" s="26" t="s">
        <v>966</v>
      </c>
      <c r="D5" s="84"/>
      <c r="E5" s="84"/>
      <c r="H5" s="38"/>
      <c r="I5" s="2041" t="s">
        <v>701</v>
      </c>
      <c r="J5" s="1986"/>
      <c r="K5" s="1986"/>
      <c r="L5" s="1986"/>
      <c r="M5" s="1986"/>
      <c r="N5" s="1986"/>
      <c r="O5" s="1986"/>
      <c r="P5" s="1986"/>
      <c r="Q5" s="1986"/>
      <c r="R5" s="1986"/>
      <c r="S5" s="1986"/>
    </row>
    <row r="6" spans="1:28" ht="14.1" customHeight="1" x14ac:dyDescent="0.2">
      <c r="B6" s="104"/>
      <c r="C6" s="26" t="s">
        <v>967</v>
      </c>
      <c r="D6" s="84"/>
      <c r="E6" s="84"/>
      <c r="I6" s="2040" t="s">
        <v>938</v>
      </c>
      <c r="J6" s="1986"/>
      <c r="K6" s="1986"/>
      <c r="L6" s="1986"/>
      <c r="M6" s="1986"/>
      <c r="N6" s="1986"/>
      <c r="O6" s="1986"/>
      <c r="P6" s="1986"/>
      <c r="Q6" s="1986"/>
      <c r="R6" s="1986"/>
      <c r="S6" s="1986"/>
    </row>
    <row r="7" spans="1:28" ht="12.2" customHeight="1" x14ac:dyDescent="0.2">
      <c r="I7" s="2035">
        <v>43281</v>
      </c>
      <c r="J7" s="2036"/>
      <c r="K7" s="2036"/>
      <c r="L7" s="2036"/>
      <c r="M7" s="2036"/>
      <c r="N7" s="2036"/>
      <c r="O7" s="2036"/>
      <c r="P7" s="2036"/>
      <c r="Q7" s="2036"/>
      <c r="R7" s="2036"/>
      <c r="S7" s="203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7" t="s">
        <v>695</v>
      </c>
      <c r="J9" s="2038"/>
      <c r="K9" s="2038"/>
      <c r="L9" s="2038"/>
      <c r="M9" s="2038"/>
      <c r="N9" s="2038"/>
      <c r="O9" s="2038"/>
      <c r="P9" s="2038"/>
      <c r="Q9" s="2038"/>
      <c r="R9" s="2038"/>
      <c r="S9" s="2039"/>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2080</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40056001026</v>
      </c>
      <c r="B13" s="2003"/>
      <c r="C13" s="2003"/>
      <c r="D13" s="2003"/>
      <c r="E13" s="2003"/>
      <c r="F13" s="2003"/>
      <c r="G13" s="2003"/>
      <c r="H13" s="2004"/>
      <c r="I13" s="31"/>
      <c r="J13" s="30"/>
      <c r="K13" s="28"/>
      <c r="L13" s="30"/>
      <c r="M13" s="30"/>
      <c r="N13" s="30"/>
      <c r="O13" s="30"/>
      <c r="P13" s="30"/>
      <c r="Q13" s="30"/>
      <c r="R13" s="30"/>
      <c r="S13" s="30"/>
      <c r="T13" s="2007" t="s">
        <v>2081</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2076</v>
      </c>
      <c r="B15" s="2005"/>
      <c r="C15" s="2005"/>
      <c r="D15" s="2005"/>
      <c r="E15" s="2005"/>
      <c r="F15" s="2005"/>
      <c r="G15" s="2005"/>
      <c r="H15" s="2006"/>
      <c r="T15" s="1968" t="s">
        <v>2082</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0" t="s">
        <v>2155</v>
      </c>
      <c r="B17" s="2030"/>
      <c r="C17" s="2030"/>
      <c r="D17" s="2030"/>
      <c r="E17" s="2030"/>
      <c r="F17" s="2030"/>
      <c r="G17" s="2030"/>
      <c r="H17" s="2031"/>
      <c r="T17" s="2017" t="s">
        <v>2083</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2077</v>
      </c>
      <c r="B19" s="2001"/>
      <c r="C19" s="2001"/>
      <c r="D19" s="2001"/>
      <c r="E19" s="2001"/>
      <c r="F19" s="2001"/>
      <c r="G19" s="2001"/>
      <c r="H19" s="1999"/>
      <c r="I19" s="30"/>
      <c r="J19" s="99"/>
      <c r="K19" s="40"/>
      <c r="L19" s="38"/>
      <c r="M19" s="112" t="s">
        <v>333</v>
      </c>
      <c r="P19" s="27"/>
      <c r="Q19" s="27"/>
      <c r="R19" s="27"/>
      <c r="S19" s="31"/>
      <c r="T19" s="2000" t="s">
        <v>2084</v>
      </c>
      <c r="U19" s="1998"/>
      <c r="V19" s="1998"/>
      <c r="W19" s="1999"/>
      <c r="X19" s="2015" t="s">
        <v>2085</v>
      </c>
      <c r="Y19" s="2016"/>
      <c r="Z19" s="2013">
        <v>62002</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2078</v>
      </c>
      <c r="B21" s="1998"/>
      <c r="C21" s="1998"/>
      <c r="D21" s="1998"/>
      <c r="E21" s="1998"/>
      <c r="F21" s="1998"/>
      <c r="G21" s="1998"/>
      <c r="H21" s="1999"/>
      <c r="I21" s="2023" t="s">
        <v>699</v>
      </c>
      <c r="J21" s="1986"/>
      <c r="K21" s="1986"/>
      <c r="L21" s="1986"/>
      <c r="M21" s="1986"/>
      <c r="N21" s="1986"/>
      <c r="O21" s="1986"/>
      <c r="P21" s="1986"/>
      <c r="Q21" s="1986"/>
      <c r="R21" s="1986"/>
      <c r="S21" s="1987"/>
      <c r="T21" s="1965" t="s">
        <v>2086</v>
      </c>
      <c r="U21" s="1966"/>
      <c r="V21" s="1966"/>
      <c r="W21" s="1966"/>
      <c r="X21" s="1979" t="s">
        <v>2087</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t="s">
        <v>2079</v>
      </c>
      <c r="B23" s="2021"/>
      <c r="C23" s="2021"/>
      <c r="D23" s="2021"/>
      <c r="E23" s="2021"/>
      <c r="F23" s="2021"/>
      <c r="G23" s="2021"/>
      <c r="H23" s="2022"/>
      <c r="T23" s="1960" t="s">
        <v>2088</v>
      </c>
      <c r="U23" s="1961"/>
      <c r="V23" s="1961"/>
      <c r="W23" s="1961"/>
      <c r="X23" s="1976">
        <v>43466</v>
      </c>
      <c r="Y23" s="1977"/>
      <c r="Z23" s="1977"/>
      <c r="AA23" s="1978"/>
    </row>
    <row r="24" spans="1:27" ht="14.1" customHeight="1" x14ac:dyDescent="0.2">
      <c r="A24" s="88" t="s">
        <v>698</v>
      </c>
      <c r="B24" s="49"/>
      <c r="C24" s="49"/>
      <c r="D24" s="49"/>
      <c r="E24" s="49"/>
      <c r="F24" s="49"/>
      <c r="G24" s="49"/>
      <c r="H24" s="61"/>
      <c r="J24" s="2062">
        <f>IF(B5="x",IF(AUDITCHECK!D29="AFR form Incomplete.","",IF(AUDITCHECK!D29="Deficit reduction plan is required.","School District must complete a deficit reduction plan in the 2018-2019 Budget",)),"")</f>
        <v>0</v>
      </c>
      <c r="K24" s="2062"/>
      <c r="L24" s="2062"/>
      <c r="M24" s="2062"/>
      <c r="N24" s="2062"/>
      <c r="O24" s="2062"/>
      <c r="P24" s="2062"/>
      <c r="Q24" s="2062"/>
      <c r="R24" s="2062"/>
      <c r="S24" s="2063"/>
      <c r="T24" s="105" t="s">
        <v>552</v>
      </c>
      <c r="U24" s="106"/>
      <c r="V24" s="106"/>
      <c r="W24" s="106"/>
      <c r="X24" s="107"/>
      <c r="Y24" s="107"/>
      <c r="Z24" s="107"/>
      <c r="AA24" s="108"/>
    </row>
    <row r="25" spans="1:27" ht="14.1" customHeight="1" x14ac:dyDescent="0.2">
      <c r="A25" s="1997">
        <v>62626</v>
      </c>
      <c r="B25" s="1998"/>
      <c r="C25" s="1998"/>
      <c r="D25" s="1998"/>
      <c r="E25" s="1998"/>
      <c r="F25" s="1998"/>
      <c r="G25" s="1998"/>
      <c r="H25" s="1999"/>
      <c r="I25" s="113"/>
      <c r="J25" s="2064"/>
      <c r="K25" s="2064"/>
      <c r="L25" s="2064"/>
      <c r="M25" s="2064"/>
      <c r="N25" s="2064"/>
      <c r="O25" s="2064"/>
      <c r="P25" s="2064"/>
      <c r="Q25" s="2064"/>
      <c r="R25" s="2064"/>
      <c r="S25" s="2065"/>
      <c r="T25" s="1957" t="s">
        <v>2089</v>
      </c>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5"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2080</v>
      </c>
      <c r="K29" s="28" t="s">
        <v>597</v>
      </c>
      <c r="L29" s="148"/>
      <c r="M29" s="40" t="s">
        <v>101</v>
      </c>
      <c r="N29" s="32" t="s">
        <v>1604</v>
      </c>
      <c r="O29" s="32"/>
      <c r="P29" s="32"/>
      <c r="Q29" s="32"/>
      <c r="R29" s="32"/>
      <c r="S29" s="123"/>
      <c r="T29" s="6"/>
      <c r="U29" s="6"/>
      <c r="V29" s="6"/>
      <c r="W29" s="6"/>
      <c r="X29" s="6"/>
      <c r="Y29" s="6"/>
      <c r="Z29" s="6"/>
      <c r="AA29" s="132"/>
    </row>
    <row r="30" spans="1:27" ht="13.5" customHeight="1" x14ac:dyDescent="0.2">
      <c r="A30" s="153"/>
      <c r="B30" s="136" t="s">
        <v>2080</v>
      </c>
      <c r="C30" s="124" t="s">
        <v>1226</v>
      </c>
      <c r="D30" s="28"/>
      <c r="E30" s="28"/>
      <c r="F30" s="140"/>
      <c r="G30" s="114"/>
      <c r="H30" s="114"/>
      <c r="I30" s="54"/>
      <c r="J30" s="148" t="s">
        <v>2080</v>
      </c>
      <c r="K30" s="28" t="s">
        <v>597</v>
      </c>
      <c r="L30" s="148"/>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c r="K31" s="40" t="s">
        <v>940</v>
      </c>
      <c r="L31" s="148" t="s">
        <v>2080</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0" t="s">
        <v>2090</v>
      </c>
      <c r="B38" s="2030"/>
      <c r="C38" s="2030"/>
      <c r="D38" s="2030"/>
      <c r="E38" s="2030"/>
      <c r="F38" s="1998"/>
      <c r="G38" s="1998"/>
      <c r="H38" s="1999"/>
      <c r="I38" s="2049"/>
      <c r="J38" s="1969"/>
      <c r="K38" s="1969"/>
      <c r="L38" s="1969"/>
      <c r="M38" s="1969"/>
      <c r="N38" s="1969"/>
      <c r="O38" s="1969"/>
      <c r="P38" s="1970"/>
      <c r="Q38" s="1970"/>
      <c r="R38" s="1970"/>
      <c r="S38" s="1971"/>
      <c r="T38" s="1968" t="s">
        <v>2093</v>
      </c>
      <c r="U38" s="1969"/>
      <c r="V38" s="1969"/>
      <c r="W38" s="1969"/>
      <c r="X38" s="1970"/>
      <c r="Y38" s="1970"/>
      <c r="Z38" s="1970"/>
      <c r="AA38" s="1971"/>
    </row>
    <row r="39" spans="1:27" ht="12" customHeight="1" x14ac:dyDescent="0.2">
      <c r="A39" s="2053" t="s">
        <v>552</v>
      </c>
      <c r="B39" s="2054"/>
      <c r="C39" s="72"/>
      <c r="D39" s="69"/>
      <c r="E39" s="69"/>
      <c r="F39" s="79"/>
      <c r="G39" s="69"/>
      <c r="H39" s="56"/>
      <c r="I39" s="2053" t="s">
        <v>552</v>
      </c>
      <c r="J39" s="2054"/>
      <c r="K39" s="2054"/>
      <c r="L39" s="2054"/>
      <c r="M39" s="2054"/>
      <c r="N39" s="67"/>
      <c r="O39" s="72"/>
      <c r="P39" s="72"/>
      <c r="Q39" s="78"/>
      <c r="R39" s="72"/>
      <c r="S39" s="56"/>
      <c r="T39" s="72" t="s">
        <v>552</v>
      </c>
      <c r="U39" s="51"/>
      <c r="V39" s="72"/>
      <c r="W39" s="50"/>
      <c r="X39" s="78"/>
      <c r="Y39" s="45"/>
      <c r="Z39" s="45"/>
      <c r="AA39" s="46"/>
    </row>
    <row r="40" spans="1:27" ht="13.5" customHeight="1" x14ac:dyDescent="0.2">
      <c r="A40" s="2056" t="s">
        <v>2079</v>
      </c>
      <c r="B40" s="2057"/>
      <c r="C40" s="2058"/>
      <c r="D40" s="2058"/>
      <c r="E40" s="2058"/>
      <c r="F40" s="2059"/>
      <c r="G40" s="2059"/>
      <c r="H40" s="2060"/>
      <c r="I40" s="1972"/>
      <c r="J40" s="1974"/>
      <c r="K40" s="1974"/>
      <c r="L40" s="1974"/>
      <c r="M40" s="1974"/>
      <c r="N40" s="1974"/>
      <c r="O40" s="1974"/>
      <c r="P40" s="1974"/>
      <c r="Q40" s="1974"/>
      <c r="R40" s="1974"/>
      <c r="S40" s="1975"/>
      <c r="T40" s="1972" t="s">
        <v>2094</v>
      </c>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6" t="s">
        <v>2091</v>
      </c>
      <c r="B42" s="2047"/>
      <c r="C42" s="2048"/>
      <c r="D42" s="2061" t="s">
        <v>2092</v>
      </c>
      <c r="E42" s="2047"/>
      <c r="F42" s="2047"/>
      <c r="G42" s="2047"/>
      <c r="H42" s="2048"/>
      <c r="I42" s="1967"/>
      <c r="J42" s="1963"/>
      <c r="K42" s="1963"/>
      <c r="L42" s="1963"/>
      <c r="M42" s="1963"/>
      <c r="N42" s="1963"/>
      <c r="O42" s="1964"/>
      <c r="P42" s="1962"/>
      <c r="Q42" s="1963"/>
      <c r="R42" s="1963"/>
      <c r="S42" s="1964"/>
      <c r="T42" s="1967" t="s">
        <v>2095</v>
      </c>
      <c r="U42" s="1963"/>
      <c r="V42" s="1963"/>
      <c r="W42" s="1964"/>
      <c r="X42" s="1962" t="s">
        <v>2096</v>
      </c>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0"/>
      <c r="B44" s="2051"/>
      <c r="C44" s="2051"/>
      <c r="D44" s="2051"/>
      <c r="E44" s="2051"/>
      <c r="F44" s="2051"/>
      <c r="G44" s="2051"/>
      <c r="H44" s="2052"/>
      <c r="I44" s="2042"/>
      <c r="J44" s="2044"/>
      <c r="K44" s="2044"/>
      <c r="L44" s="2044"/>
      <c r="M44" s="2044"/>
      <c r="N44" s="2044"/>
      <c r="O44" s="2044"/>
      <c r="P44" s="2044"/>
      <c r="Q44" s="2044"/>
      <c r="R44" s="2044"/>
      <c r="S44" s="2045"/>
      <c r="T44" s="2042"/>
      <c r="U44" s="2043"/>
      <c r="V44" s="2043"/>
      <c r="W44" s="2043"/>
      <c r="X44" s="2043"/>
      <c r="Y44" s="2043"/>
      <c r="Z44" s="2044"/>
      <c r="AA44" s="204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9" sqref="C9"/>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1903</v>
      </c>
      <c r="B2" s="1550" t="s">
        <v>2035</v>
      </c>
      <c r="C2" s="715" t="s">
        <v>1908</v>
      </c>
      <c r="D2" s="715" t="s">
        <v>1909</v>
      </c>
      <c r="E2" s="715" t="s">
        <v>1910</v>
      </c>
      <c r="F2" s="715" t="s">
        <v>1911</v>
      </c>
    </row>
    <row r="3" spans="1:6" ht="12" customHeight="1" x14ac:dyDescent="0.2">
      <c r="A3" s="2200"/>
      <c r="B3" s="1547"/>
      <c r="C3" s="1548"/>
      <c r="D3" s="1549" t="s">
        <v>274</v>
      </c>
      <c r="E3" s="1548"/>
      <c r="F3" s="1549" t="s">
        <v>275</v>
      </c>
    </row>
    <row r="4" spans="1:6" ht="13.7" customHeight="1" x14ac:dyDescent="0.2">
      <c r="A4" s="716" t="s">
        <v>1217</v>
      </c>
      <c r="B4" s="1771">
        <f>'Revenues 9-14'!C5</f>
        <v>3007946</v>
      </c>
      <c r="C4" s="1546"/>
      <c r="D4" s="1774">
        <f>B4-C4</f>
        <v>3007946</v>
      </c>
      <c r="E4" s="1546">
        <v>3284258</v>
      </c>
      <c r="F4" s="1774">
        <f>E4-C4</f>
        <v>3284258</v>
      </c>
    </row>
    <row r="5" spans="1:6" ht="13.7" customHeight="1" x14ac:dyDescent="0.2">
      <c r="A5" s="716" t="s">
        <v>925</v>
      </c>
      <c r="B5" s="1772">
        <f>'Revenues 9-14'!D5</f>
        <v>747149</v>
      </c>
      <c r="C5" s="585"/>
      <c r="D5" s="1775">
        <f t="shared" ref="D5:D18" si="0">B5-C5</f>
        <v>747149</v>
      </c>
      <c r="E5" s="585">
        <v>762419</v>
      </c>
      <c r="F5" s="1775">
        <f>E5-C5</f>
        <v>762419</v>
      </c>
    </row>
    <row r="6" spans="1:6" ht="13.7" customHeight="1" x14ac:dyDescent="0.2">
      <c r="A6" s="716" t="s">
        <v>431</v>
      </c>
      <c r="B6" s="1772">
        <f>'Revenues 9-14'!E5</f>
        <v>995835</v>
      </c>
      <c r="C6" s="585"/>
      <c r="D6" s="1775">
        <f t="shared" si="0"/>
        <v>995835</v>
      </c>
      <c r="E6" s="585">
        <v>997252</v>
      </c>
      <c r="F6" s="1775">
        <f t="shared" ref="F6:F18" si="1">E6-C6</f>
        <v>997252</v>
      </c>
    </row>
    <row r="7" spans="1:6" ht="13.7" customHeight="1" x14ac:dyDescent="0.2">
      <c r="A7" s="716" t="s">
        <v>157</v>
      </c>
      <c r="B7" s="1772">
        <f>'Revenues 9-14'!F5</f>
        <v>312860</v>
      </c>
      <c r="C7" s="585"/>
      <c r="D7" s="1775">
        <f t="shared" si="0"/>
        <v>312860</v>
      </c>
      <c r="E7" s="585">
        <v>319144</v>
      </c>
      <c r="F7" s="1775">
        <f t="shared" si="1"/>
        <v>319144</v>
      </c>
    </row>
    <row r="8" spans="1:6" ht="13.7" customHeight="1" x14ac:dyDescent="0.2">
      <c r="A8" s="716" t="s">
        <v>1241</v>
      </c>
      <c r="B8" s="1772">
        <f>'Revenues 9-14'!G5</f>
        <v>153530</v>
      </c>
      <c r="C8" s="585"/>
      <c r="D8" s="1775">
        <f t="shared" si="0"/>
        <v>153530</v>
      </c>
      <c r="E8" s="585">
        <v>156487</v>
      </c>
      <c r="F8" s="1775">
        <f t="shared" si="1"/>
        <v>156487</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5315</v>
      </c>
      <c r="C10" s="585"/>
      <c r="D10" s="1775">
        <f t="shared" si="0"/>
        <v>5315</v>
      </c>
      <c r="E10" s="585">
        <v>5372</v>
      </c>
      <c r="F10" s="1775">
        <f t="shared" si="1"/>
        <v>5372</v>
      </c>
    </row>
    <row r="11" spans="1:6" x14ac:dyDescent="0.2">
      <c r="A11" s="716" t="s">
        <v>429</v>
      </c>
      <c r="B11" s="1772">
        <f>'Revenues 9-14'!J5</f>
        <v>251063</v>
      </c>
      <c r="C11" s="585"/>
      <c r="D11" s="1775">
        <f t="shared" si="0"/>
        <v>251063</v>
      </c>
      <c r="E11" s="585">
        <v>48878</v>
      </c>
      <c r="F11" s="1775">
        <f t="shared" si="1"/>
        <v>48878</v>
      </c>
    </row>
    <row r="12" spans="1:6" ht="13.7" customHeight="1" x14ac:dyDescent="0.2">
      <c r="A12" s="716" t="s">
        <v>159</v>
      </c>
      <c r="B12" s="1772">
        <f>'Revenues 9-14'!K5</f>
        <v>19307</v>
      </c>
      <c r="C12" s="585"/>
      <c r="D12" s="1775">
        <f t="shared" si="0"/>
        <v>19307</v>
      </c>
      <c r="E12" s="585">
        <v>48878</v>
      </c>
      <c r="F12" s="1775">
        <f t="shared" si="1"/>
        <v>48878</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116840</v>
      </c>
      <c r="C14" s="585"/>
      <c r="D14" s="1775">
        <f t="shared" si="0"/>
        <v>116840</v>
      </c>
      <c r="E14" s="585">
        <v>119243</v>
      </c>
      <c r="F14" s="1775">
        <f t="shared" si="1"/>
        <v>119243</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210512</v>
      </c>
      <c r="C16" s="585"/>
      <c r="D16" s="1775">
        <f t="shared" si="0"/>
        <v>210512</v>
      </c>
      <c r="E16" s="585">
        <v>214547</v>
      </c>
      <c r="F16" s="1775">
        <f t="shared" si="1"/>
        <v>214547</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5820357</v>
      </c>
      <c r="C19" s="1773">
        <f>SUM(C4:C18)</f>
        <v>0</v>
      </c>
      <c r="D19" s="1773">
        <f>SUM(D4:D18)</f>
        <v>5820357</v>
      </c>
      <c r="E19" s="1773">
        <f>SUM(E4:E18)</f>
        <v>5956478</v>
      </c>
      <c r="F19" s="1773">
        <f>SUM(F4:F18)</f>
        <v>5956478</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110" zoomScaleNormal="110" workbookViewId="0">
      <selection activeCell="C9" sqref="C9"/>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5" t="s">
        <v>650</v>
      </c>
      <c r="B1" s="2206"/>
      <c r="C1" s="722"/>
    </row>
    <row r="2" spans="1:7" ht="33.75" x14ac:dyDescent="0.2">
      <c r="A2" s="2214" t="s">
        <v>1903</v>
      </c>
      <c r="B2" s="2215"/>
      <c r="C2" s="1909" t="s">
        <v>2036</v>
      </c>
      <c r="D2" s="724" t="s">
        <v>2043</v>
      </c>
      <c r="E2" s="724" t="s">
        <v>2044</v>
      </c>
      <c r="F2" s="1909" t="s">
        <v>2037</v>
      </c>
    </row>
    <row r="3" spans="1:7" ht="15.75" customHeight="1" x14ac:dyDescent="0.2">
      <c r="A3" s="2218" t="s">
        <v>1176</v>
      </c>
      <c r="B3" s="2219"/>
      <c r="C3" s="2207"/>
      <c r="D3" s="2208"/>
      <c r="E3" s="2208"/>
      <c r="F3" s="2209"/>
    </row>
    <row r="4" spans="1:7" ht="12.75" customHeight="1" thickBot="1" x14ac:dyDescent="0.25">
      <c r="A4" s="2216" t="s">
        <v>651</v>
      </c>
      <c r="B4" s="2217"/>
      <c r="C4" s="581"/>
      <c r="D4" s="581"/>
      <c r="E4" s="581"/>
      <c r="F4" s="1777">
        <f>SUM(C4+D4)-E4</f>
        <v>0</v>
      </c>
    </row>
    <row r="5" spans="1:7" ht="15.75" customHeight="1" thickTop="1" x14ac:dyDescent="0.2">
      <c r="A5" s="2201" t="s">
        <v>1172</v>
      </c>
      <c r="B5" s="2202"/>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3" t="s">
        <v>652</v>
      </c>
      <c r="B15" s="2204"/>
      <c r="C15" s="1777">
        <f>SUM(C6:C14)</f>
        <v>0</v>
      </c>
      <c r="D15" s="1777">
        <f>SUM(D6:D14)</f>
        <v>0</v>
      </c>
      <c r="E15" s="1777">
        <f>SUM(E6:E14)</f>
        <v>0</v>
      </c>
      <c r="F15" s="1777">
        <f>SUM(F6:F14)</f>
        <v>0</v>
      </c>
      <c r="G15" s="552"/>
    </row>
    <row r="16" spans="1:7" s="202" customFormat="1" ht="15.75" customHeight="1" thickTop="1" x14ac:dyDescent="0.2">
      <c r="A16" s="2213" t="s">
        <v>1173</v>
      </c>
      <c r="B16" s="2202"/>
      <c r="C16" s="2210"/>
      <c r="D16" s="2211"/>
      <c r="E16" s="2211"/>
      <c r="F16" s="2212"/>
    </row>
    <row r="17" spans="1:11" ht="12.75" customHeight="1" thickBot="1" x14ac:dyDescent="0.25">
      <c r="A17" s="2226" t="s">
        <v>66</v>
      </c>
      <c r="B17" s="2227"/>
      <c r="C17" s="727"/>
      <c r="D17" s="585"/>
      <c r="E17" s="727"/>
      <c r="F17" s="1777">
        <f>SUM(C17+D17)-E17</f>
        <v>0</v>
      </c>
    </row>
    <row r="18" spans="1:11" ht="12.75" customHeight="1" thickTop="1" thickBot="1" x14ac:dyDescent="0.25">
      <c r="A18" s="2226" t="s">
        <v>6</v>
      </c>
      <c r="B18" s="2227"/>
      <c r="C18" s="727"/>
      <c r="D18" s="585"/>
      <c r="E18" s="727"/>
      <c r="F18" s="1777">
        <f>SUM(C18+D18)-E18</f>
        <v>0</v>
      </c>
    </row>
    <row r="19" spans="1:11" ht="12.75" customHeight="1" thickTop="1" thickBot="1" x14ac:dyDescent="0.25">
      <c r="A19" s="2226" t="s">
        <v>406</v>
      </c>
      <c r="B19" s="2227"/>
      <c r="C19" s="727"/>
      <c r="D19" s="585"/>
      <c r="E19" s="727"/>
      <c r="F19" s="1777">
        <f>SUM(C19+D19)-E19</f>
        <v>0</v>
      </c>
    </row>
    <row r="20" spans="1:11" ht="12.75" customHeight="1" thickTop="1" thickBot="1" x14ac:dyDescent="0.25">
      <c r="A20" s="2226" t="s">
        <v>468</v>
      </c>
      <c r="B20" s="2227"/>
      <c r="C20" s="727"/>
      <c r="D20" s="585"/>
      <c r="E20" s="727"/>
      <c r="F20" s="1777">
        <f>SUM(C20+D20)-E20</f>
        <v>0</v>
      </c>
    </row>
    <row r="21" spans="1:11" ht="14.25" thickTop="1" thickBot="1" x14ac:dyDescent="0.25">
      <c r="A21" s="2203" t="s">
        <v>653</v>
      </c>
      <c r="B21" s="2204"/>
      <c r="C21" s="1777">
        <f>SUM(C17:C20)</f>
        <v>0</v>
      </c>
      <c r="D21" s="1777">
        <f>SUM(D17:D20)</f>
        <v>0</v>
      </c>
      <c r="E21" s="1777">
        <f>SUM(E17:E20)</f>
        <v>0</v>
      </c>
      <c r="F21" s="1777">
        <f>SUM(F17:F20)</f>
        <v>0</v>
      </c>
      <c r="G21" s="552"/>
    </row>
    <row r="22" spans="1:11" ht="15.75" customHeight="1" thickTop="1" x14ac:dyDescent="0.2">
      <c r="A22" s="2228" t="s">
        <v>1174</v>
      </c>
      <c r="B22" s="2202"/>
      <c r="C22" s="2210"/>
      <c r="D22" s="2211"/>
      <c r="E22" s="2211"/>
      <c r="F22" s="2212"/>
    </row>
    <row r="23" spans="1:11" ht="13.5" thickBot="1" x14ac:dyDescent="0.25">
      <c r="A23" s="2216" t="s">
        <v>654</v>
      </c>
      <c r="B23" s="2217"/>
      <c r="C23" s="581"/>
      <c r="D23" s="581"/>
      <c r="E23" s="581"/>
      <c r="F23" s="1777">
        <f>SUM(C23+D23)-E23</f>
        <v>0</v>
      </c>
      <c r="G23" s="552"/>
    </row>
    <row r="24" spans="1:11" ht="15.75" customHeight="1" thickTop="1" x14ac:dyDescent="0.2">
      <c r="A24" s="2228" t="s">
        <v>1175</v>
      </c>
      <c r="B24" s="2202"/>
      <c r="C24" s="2210"/>
      <c r="D24" s="2211"/>
      <c r="E24" s="2211"/>
      <c r="F24" s="2212"/>
    </row>
    <row r="25" spans="1:11" ht="13.5" thickBot="1" x14ac:dyDescent="0.25">
      <c r="A25" s="2216" t="s">
        <v>655</v>
      </c>
      <c r="B25" s="2217"/>
      <c r="C25" s="581"/>
      <c r="D25" s="581"/>
      <c r="E25" s="581"/>
      <c r="F25" s="1777">
        <f>SUM(C25+D25)-E25</f>
        <v>0</v>
      </c>
      <c r="G25" s="552"/>
    </row>
    <row r="26" spans="1:11" ht="15.75" customHeight="1" thickTop="1" x14ac:dyDescent="0.2">
      <c r="A26" s="2201" t="s">
        <v>678</v>
      </c>
      <c r="B26" s="2202"/>
      <c r="C26" s="728"/>
      <c r="D26" s="728"/>
      <c r="E26" s="728"/>
      <c r="F26" s="729"/>
    </row>
    <row r="27" spans="1:11" ht="13.5" thickBot="1" x14ac:dyDescent="0.25">
      <c r="A27" s="2203" t="s">
        <v>1130</v>
      </c>
      <c r="B27" s="2204"/>
      <c r="C27" s="585"/>
      <c r="D27" s="585"/>
      <c r="E27" s="585"/>
      <c r="F27" s="1777">
        <f>SUM(C27+D27)-E27</f>
        <v>0</v>
      </c>
      <c r="G27" s="552"/>
    </row>
    <row r="28" spans="1:11" ht="7.5" customHeight="1" thickTop="1" x14ac:dyDescent="0.2">
      <c r="A28" s="594"/>
    </row>
    <row r="29" spans="1:11" ht="23.25" customHeight="1" x14ac:dyDescent="0.2">
      <c r="A29" s="2229" t="s">
        <v>603</v>
      </c>
      <c r="B29" s="2206"/>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2097</v>
      </c>
      <c r="B31" s="734">
        <v>41127</v>
      </c>
      <c r="C31" s="735">
        <v>78757</v>
      </c>
      <c r="D31" s="736">
        <v>7</v>
      </c>
      <c r="E31" s="735">
        <v>4413</v>
      </c>
      <c r="F31" s="735"/>
      <c r="G31" s="735"/>
      <c r="H31" s="735">
        <v>4413</v>
      </c>
      <c r="I31" s="1778">
        <f>((E31+F31)-H31)+G31</f>
        <v>0</v>
      </c>
      <c r="J31" s="735"/>
      <c r="K31" s="737"/>
    </row>
    <row r="32" spans="1:11" ht="12" customHeight="1" x14ac:dyDescent="0.2">
      <c r="A32" s="733" t="s">
        <v>2098</v>
      </c>
      <c r="B32" s="734">
        <v>42066</v>
      </c>
      <c r="C32" s="735">
        <v>1010000</v>
      </c>
      <c r="D32" s="736">
        <v>4</v>
      </c>
      <c r="E32" s="735">
        <v>380000</v>
      </c>
      <c r="F32" s="735"/>
      <c r="G32" s="735"/>
      <c r="H32" s="735">
        <v>380000</v>
      </c>
      <c r="I32" s="1778">
        <f>((E32+F32)-H32)+G32</f>
        <v>0</v>
      </c>
      <c r="J32" s="735"/>
      <c r="K32" s="737"/>
    </row>
    <row r="33" spans="1:11" ht="12" customHeight="1" x14ac:dyDescent="0.2">
      <c r="A33" s="733" t="s">
        <v>2099</v>
      </c>
      <c r="B33" s="734">
        <v>42550</v>
      </c>
      <c r="C33" s="735">
        <v>2000000</v>
      </c>
      <c r="D33" s="736">
        <v>1</v>
      </c>
      <c r="E33" s="735">
        <v>2000000</v>
      </c>
      <c r="F33" s="735"/>
      <c r="G33" s="735"/>
      <c r="H33" s="735">
        <v>529000</v>
      </c>
      <c r="I33" s="1778">
        <f t="shared" ref="I33:I48" si="1">((E33+F33)-H33)+G33</f>
        <v>1471000</v>
      </c>
      <c r="J33" s="735">
        <v>1329641</v>
      </c>
      <c r="K33" s="737"/>
    </row>
    <row r="34" spans="1:11" ht="12" customHeight="1" x14ac:dyDescent="0.2">
      <c r="A34" s="733" t="s">
        <v>2101</v>
      </c>
      <c r="B34" s="734">
        <v>43282</v>
      </c>
      <c r="C34" s="735">
        <v>2390000</v>
      </c>
      <c r="D34" s="736">
        <v>1</v>
      </c>
      <c r="E34" s="735"/>
      <c r="F34" s="735">
        <v>2390000</v>
      </c>
      <c r="G34" s="735"/>
      <c r="H34" s="735"/>
      <c r="I34" s="1778">
        <f t="shared" si="1"/>
        <v>2390000</v>
      </c>
      <c r="J34" s="735">
        <v>2390000</v>
      </c>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5478757</v>
      </c>
      <c r="D49" s="746"/>
      <c r="E49" s="1778">
        <f t="shared" ref="E49:J49" si="2">SUM(E31:E48)</f>
        <v>2384413</v>
      </c>
      <c r="F49" s="1778">
        <f t="shared" si="2"/>
        <v>2390000</v>
      </c>
      <c r="G49" s="1778">
        <f t="shared" si="2"/>
        <v>0</v>
      </c>
      <c r="H49" s="1778">
        <f t="shared" si="2"/>
        <v>913413</v>
      </c>
      <c r="I49" s="1778">
        <f t="shared" si="2"/>
        <v>3861000</v>
      </c>
      <c r="J49" s="1778">
        <f t="shared" si="2"/>
        <v>3719641</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20" t="s">
        <v>605</v>
      </c>
      <c r="C52" s="2221"/>
      <c r="D52" s="2221"/>
      <c r="E52" s="750" t="s">
        <v>900</v>
      </c>
      <c r="F52" s="2222" t="s">
        <v>2100</v>
      </c>
      <c r="G52" s="2223"/>
      <c r="H52" s="737"/>
      <c r="I52" s="737"/>
      <c r="J52" s="747"/>
    </row>
    <row r="53" spans="1:11" ht="11.25" customHeight="1" x14ac:dyDescent="0.2">
      <c r="A53" s="751" t="s">
        <v>969</v>
      </c>
      <c r="B53" s="752" t="s">
        <v>1008</v>
      </c>
      <c r="C53" s="747"/>
      <c r="D53" s="738"/>
      <c r="E53" s="750" t="s">
        <v>518</v>
      </c>
      <c r="F53" s="2224"/>
      <c r="G53" s="2225"/>
      <c r="H53" s="737"/>
      <c r="I53" s="737"/>
      <c r="J53" s="747"/>
    </row>
    <row r="54" spans="1:11" ht="11.25" customHeight="1" x14ac:dyDescent="0.2">
      <c r="A54" s="753" t="s">
        <v>970</v>
      </c>
      <c r="B54" s="748" t="s">
        <v>1009</v>
      </c>
      <c r="C54" s="747"/>
      <c r="D54" s="738"/>
      <c r="E54" s="750" t="s">
        <v>519</v>
      </c>
      <c r="F54" s="2224"/>
      <c r="G54" s="222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C9" sqref="C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4" t="s">
        <v>911</v>
      </c>
      <c r="B1" s="2255"/>
      <c r="C1" s="2255"/>
      <c r="D1" s="2255"/>
      <c r="E1" s="2255"/>
      <c r="F1" s="2255"/>
      <c r="G1" s="2256"/>
      <c r="H1" s="1552"/>
      <c r="I1" s="761"/>
      <c r="J1" s="433"/>
    </row>
    <row r="2" spans="1:11" ht="26.25" x14ac:dyDescent="0.2">
      <c r="A2" s="2233" t="s">
        <v>1776</v>
      </c>
      <c r="B2" s="2234"/>
      <c r="C2" s="2234"/>
      <c r="D2" s="2234"/>
      <c r="E2" s="2235"/>
      <c r="F2" s="762" t="s">
        <v>960</v>
      </c>
      <c r="G2" s="763" t="s">
        <v>1773</v>
      </c>
      <c r="H2" s="763" t="s">
        <v>430</v>
      </c>
      <c r="I2" s="763" t="s">
        <v>1220</v>
      </c>
      <c r="J2" s="763" t="s">
        <v>1917</v>
      </c>
      <c r="K2" s="763" t="s">
        <v>140</v>
      </c>
    </row>
    <row r="3" spans="1:11" x14ac:dyDescent="0.2">
      <c r="A3" s="2236" t="s">
        <v>1698</v>
      </c>
      <c r="B3" s="2237"/>
      <c r="C3" s="2237"/>
      <c r="D3" s="2237"/>
      <c r="E3" s="2238"/>
      <c r="F3" s="764"/>
      <c r="G3" s="765"/>
      <c r="H3" s="765"/>
      <c r="I3" s="765"/>
      <c r="J3" s="766">
        <v>303179</v>
      </c>
      <c r="K3" s="766"/>
    </row>
    <row r="4" spans="1:11" x14ac:dyDescent="0.2">
      <c r="A4" s="2239" t="s">
        <v>387</v>
      </c>
      <c r="B4" s="2240"/>
      <c r="C4" s="2240"/>
      <c r="D4" s="2240"/>
      <c r="E4" s="2221"/>
      <c r="F4" s="767"/>
      <c r="G4" s="768"/>
      <c r="H4" s="769"/>
      <c r="I4" s="768"/>
      <c r="J4" s="770"/>
      <c r="K4" s="770"/>
    </row>
    <row r="5" spans="1:11" x14ac:dyDescent="0.2">
      <c r="A5" s="2257" t="s">
        <v>1129</v>
      </c>
      <c r="B5" s="2230"/>
      <c r="C5" s="2230"/>
      <c r="D5" s="2230"/>
      <c r="E5" s="2258"/>
      <c r="F5" s="771" t="s">
        <v>903</v>
      </c>
      <c r="G5" s="772"/>
      <c r="H5" s="765">
        <v>116840</v>
      </c>
      <c r="I5" s="773"/>
      <c r="J5" s="774"/>
      <c r="K5" s="774"/>
    </row>
    <row r="6" spans="1:11" x14ac:dyDescent="0.2">
      <c r="A6" s="775" t="s">
        <v>744</v>
      </c>
      <c r="B6" s="776"/>
      <c r="C6" s="776"/>
      <c r="D6" s="776"/>
      <c r="E6" s="777"/>
      <c r="F6" s="778" t="s">
        <v>904</v>
      </c>
      <c r="G6" s="765"/>
      <c r="H6" s="765"/>
      <c r="I6" s="765"/>
      <c r="J6" s="766">
        <v>1957</v>
      </c>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421040</v>
      </c>
      <c r="K8" s="770"/>
    </row>
    <row r="9" spans="1:11" x14ac:dyDescent="0.2">
      <c r="A9" s="779" t="s">
        <v>140</v>
      </c>
      <c r="B9" s="780"/>
      <c r="C9" s="780"/>
      <c r="D9" s="780"/>
      <c r="E9" s="781"/>
      <c r="F9" s="778" t="s">
        <v>908</v>
      </c>
      <c r="G9" s="783"/>
      <c r="H9" s="772"/>
      <c r="I9" s="772"/>
      <c r="J9" s="782"/>
      <c r="K9" s="766">
        <v>19382</v>
      </c>
    </row>
    <row r="10" spans="1:11" x14ac:dyDescent="0.2">
      <c r="A10" s="2257" t="s">
        <v>1918</v>
      </c>
      <c r="B10" s="2230"/>
      <c r="C10" s="2230"/>
      <c r="D10" s="2230"/>
      <c r="E10" s="2259"/>
      <c r="F10" s="784" t="s">
        <v>917</v>
      </c>
      <c r="G10" s="783"/>
      <c r="H10" s="785"/>
      <c r="I10" s="765"/>
      <c r="J10" s="766"/>
      <c r="K10" s="766"/>
    </row>
    <row r="11" spans="1:11" x14ac:dyDescent="0.2">
      <c r="A11" s="2257" t="s">
        <v>162</v>
      </c>
      <c r="B11" s="2230"/>
      <c r="C11" s="2230"/>
      <c r="D11" s="2230"/>
      <c r="E11" s="2258"/>
      <c r="F11" s="771" t="s">
        <v>907</v>
      </c>
      <c r="G11" s="772"/>
      <c r="H11" s="765"/>
      <c r="I11" s="765"/>
      <c r="J11" s="766"/>
      <c r="K11" s="774"/>
    </row>
    <row r="12" spans="1:11" ht="13.5" thickBot="1" x14ac:dyDescent="0.25">
      <c r="A12" s="2247" t="s">
        <v>961</v>
      </c>
      <c r="B12" s="2248"/>
      <c r="C12" s="2248"/>
      <c r="D12" s="2248"/>
      <c r="E12" s="2249"/>
      <c r="F12" s="1779"/>
      <c r="G12" s="1780">
        <f>SUM(G5:G11)</f>
        <v>0</v>
      </c>
      <c r="H12" s="1780">
        <f>SUM(H5:H11)</f>
        <v>116840</v>
      </c>
      <c r="I12" s="1780">
        <f>SUM(I5:I11)</f>
        <v>0</v>
      </c>
      <c r="J12" s="1780">
        <f>SUM(J5:J11)</f>
        <v>422997</v>
      </c>
      <c r="K12" s="1780">
        <f>SUM(K5:K11)</f>
        <v>19382</v>
      </c>
    </row>
    <row r="13" spans="1:11" ht="13.5" thickTop="1" x14ac:dyDescent="0.2">
      <c r="A13" s="2241" t="s">
        <v>388</v>
      </c>
      <c r="B13" s="2242"/>
      <c r="C13" s="2242"/>
      <c r="D13" s="2242"/>
      <c r="E13" s="2243"/>
      <c r="F13" s="786"/>
      <c r="G13" s="787"/>
      <c r="H13" s="788"/>
      <c r="I13" s="789"/>
      <c r="J13" s="789"/>
      <c r="K13" s="789"/>
    </row>
    <row r="14" spans="1:11" x14ac:dyDescent="0.2">
      <c r="A14" s="2263" t="s">
        <v>476</v>
      </c>
      <c r="B14" s="2263"/>
      <c r="C14" s="2263"/>
      <c r="D14" s="2263"/>
      <c r="E14" s="2264"/>
      <c r="F14" s="790" t="s">
        <v>909</v>
      </c>
      <c r="G14" s="783"/>
      <c r="H14" s="765">
        <v>116840</v>
      </c>
      <c r="I14" s="772"/>
      <c r="J14" s="774"/>
      <c r="K14" s="766">
        <v>19382</v>
      </c>
    </row>
    <row r="15" spans="1:11" x14ac:dyDescent="0.2">
      <c r="A15" s="2230" t="s">
        <v>4</v>
      </c>
      <c r="B15" s="2230"/>
      <c r="C15" s="2230"/>
      <c r="D15" s="2230"/>
      <c r="E15" s="2258"/>
      <c r="F15" s="790" t="s">
        <v>910</v>
      </c>
      <c r="G15" s="772"/>
      <c r="H15" s="765"/>
      <c r="I15" s="765"/>
      <c r="J15" s="766">
        <v>161303</v>
      </c>
      <c r="K15" s="766"/>
    </row>
    <row r="16" spans="1:11" x14ac:dyDescent="0.2">
      <c r="A16" s="2230" t="s">
        <v>316</v>
      </c>
      <c r="B16" s="2230"/>
      <c r="C16" s="2230"/>
      <c r="D16" s="2230"/>
      <c r="E16" s="2258"/>
      <c r="F16" s="790" t="s">
        <v>980</v>
      </c>
      <c r="G16" s="773"/>
      <c r="H16" s="768"/>
      <c r="I16" s="768"/>
      <c r="J16" s="770"/>
      <c r="K16" s="770"/>
    </row>
    <row r="17" spans="1:11" x14ac:dyDescent="0.2">
      <c r="A17" s="2252" t="s">
        <v>992</v>
      </c>
      <c r="B17" s="2252"/>
      <c r="C17" s="2252"/>
      <c r="D17" s="2252"/>
      <c r="E17" s="2253"/>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65" t="s">
        <v>1914</v>
      </c>
      <c r="B19" s="2265"/>
      <c r="C19" s="2265"/>
      <c r="D19" s="2265"/>
      <c r="E19" s="2266"/>
      <c r="F19" s="790" t="s">
        <v>990</v>
      </c>
      <c r="G19" s="783"/>
      <c r="H19" s="783"/>
      <c r="I19" s="783"/>
      <c r="J19" s="766"/>
      <c r="K19" s="796"/>
    </row>
    <row r="20" spans="1:11" x14ac:dyDescent="0.2">
      <c r="A20" s="2244" t="s">
        <v>1919</v>
      </c>
      <c r="B20" s="2245"/>
      <c r="C20" s="2245"/>
      <c r="D20" s="2245"/>
      <c r="E20" s="2246"/>
      <c r="F20" s="790" t="s">
        <v>991</v>
      </c>
      <c r="G20" s="783"/>
      <c r="H20" s="783"/>
      <c r="I20" s="783"/>
      <c r="J20" s="766"/>
      <c r="K20" s="796"/>
    </row>
    <row r="21" spans="1:11" ht="13.5" thickBot="1" x14ac:dyDescent="0.25">
      <c r="A21" s="2250" t="s">
        <v>659</v>
      </c>
      <c r="B21" s="2250"/>
      <c r="C21" s="2250"/>
      <c r="D21" s="2250"/>
      <c r="E21" s="2250"/>
      <c r="F21" s="1781"/>
      <c r="G21" s="793"/>
      <c r="H21" s="797"/>
      <c r="I21" s="797"/>
      <c r="J21" s="1782">
        <f>SUM(J18:J20)</f>
        <v>0</v>
      </c>
      <c r="K21" s="794"/>
    </row>
    <row r="22" spans="1:11" ht="13.5" thickTop="1" x14ac:dyDescent="0.2">
      <c r="A22" s="2230" t="s">
        <v>1920</v>
      </c>
      <c r="B22" s="2230"/>
      <c r="C22" s="2230"/>
      <c r="D22" s="2230"/>
      <c r="E22" s="2258"/>
      <c r="F22" s="790" t="s">
        <v>917</v>
      </c>
      <c r="G22" s="783"/>
      <c r="H22" s="765"/>
      <c r="I22" s="765"/>
      <c r="J22" s="798"/>
      <c r="K22" s="766"/>
    </row>
    <row r="23" spans="1:11" ht="13.5" thickBot="1" x14ac:dyDescent="0.25">
      <c r="A23" s="2251" t="s">
        <v>962</v>
      </c>
      <c r="B23" s="2250"/>
      <c r="C23" s="2250"/>
      <c r="D23" s="2250"/>
      <c r="E23" s="2250"/>
      <c r="F23" s="1783"/>
      <c r="G23" s="1780">
        <f>SUM(G14:G16,G21,G22)</f>
        <v>0</v>
      </c>
      <c r="H23" s="1780">
        <f>SUM(H14:H16,H21,H22)</f>
        <v>116840</v>
      </c>
      <c r="I23" s="1780">
        <f>SUM(I14:I16,I21,I22)</f>
        <v>0</v>
      </c>
      <c r="J23" s="1780">
        <f>SUM(J14:J16,J21,J22)</f>
        <v>161303</v>
      </c>
      <c r="K23" s="1780">
        <f>SUM(K14:K16,K21,K22)</f>
        <v>19382</v>
      </c>
    </row>
    <row r="24" spans="1:11" ht="14.25" thickTop="1" thickBot="1" x14ac:dyDescent="0.25">
      <c r="A24" s="2251" t="s">
        <v>2024</v>
      </c>
      <c r="B24" s="2250"/>
      <c r="C24" s="2250"/>
      <c r="D24" s="2250"/>
      <c r="E24" s="2250"/>
      <c r="F24" s="1784"/>
      <c r="G24" s="1785">
        <f>SUM(G3,G12)-G23</f>
        <v>0</v>
      </c>
      <c r="H24" s="1785">
        <f>SUM(H3,H12)-H23</f>
        <v>0</v>
      </c>
      <c r="I24" s="1785">
        <f>SUM(I3,I12)-I23</f>
        <v>0</v>
      </c>
      <c r="J24" s="1785">
        <f>SUM(J3,J12)-J23</f>
        <v>564873</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564873</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0"/>
      <c r="I31" s="2261"/>
      <c r="J31" s="2261"/>
      <c r="K31" s="2261"/>
    </row>
    <row r="32" spans="1:11" x14ac:dyDescent="0.2">
      <c r="A32" s="810"/>
      <c r="B32" s="237"/>
      <c r="C32" s="237"/>
      <c r="D32" s="237"/>
      <c r="E32" s="806"/>
      <c r="F32" s="812" t="s">
        <v>561</v>
      </c>
      <c r="G32" s="765"/>
      <c r="H32" s="2262"/>
      <c r="I32" s="2261"/>
      <c r="J32" s="2261"/>
      <c r="K32" s="2261"/>
    </row>
    <row r="33" spans="1:11" ht="1.5" customHeight="1" x14ac:dyDescent="0.2">
      <c r="A33" s="813" t="s">
        <v>1231</v>
      </c>
      <c r="B33" s="364"/>
      <c r="C33" s="364"/>
      <c r="D33" s="364"/>
      <c r="E33" s="364"/>
      <c r="F33" s="364"/>
      <c r="G33" s="814"/>
      <c r="H33" s="2262"/>
      <c r="I33" s="2261"/>
      <c r="J33" s="2261"/>
      <c r="K33" s="2261"/>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0" t="s">
        <v>562</v>
      </c>
      <c r="B41" s="2231"/>
      <c r="C41" s="2231"/>
      <c r="D41" s="2231"/>
      <c r="E41" s="2231"/>
      <c r="F41" s="223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1915</v>
      </c>
      <c r="B46" s="408" t="s">
        <v>1774</v>
      </c>
    </row>
    <row r="47" spans="1:11" s="824" customFormat="1" ht="12.75" customHeight="1" x14ac:dyDescent="0.2">
      <c r="A47" s="822"/>
      <c r="B47" s="823" t="s">
        <v>1775</v>
      </c>
      <c r="E47" s="823"/>
      <c r="K47" s="825"/>
    </row>
    <row r="48" spans="1:11" ht="12.75" customHeight="1" x14ac:dyDescent="0.2">
      <c r="A48" s="1554"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C9" sqref="C9"/>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2033</v>
      </c>
      <c r="B1" s="2270"/>
      <c r="C1" s="2271"/>
      <c r="D1" s="827"/>
      <c r="E1" s="828"/>
      <c r="F1" s="828"/>
      <c r="G1" s="829"/>
      <c r="H1" s="830"/>
      <c r="I1" s="831"/>
      <c r="J1" s="2267"/>
      <c r="K1" s="2268"/>
      <c r="L1" s="2268"/>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170329</v>
      </c>
      <c r="D5" s="842"/>
      <c r="E5" s="842"/>
      <c r="F5" s="1782">
        <f>(C5+D5)-E5</f>
        <v>170329</v>
      </c>
      <c r="G5" s="838"/>
      <c r="H5" s="843"/>
      <c r="I5" s="843"/>
      <c r="J5" s="843"/>
      <c r="K5" s="794"/>
      <c r="L5" s="1791">
        <f>F5-K5</f>
        <v>170329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25191697</v>
      </c>
      <c r="D8" s="845">
        <v>651347</v>
      </c>
      <c r="E8" s="845"/>
      <c r="F8" s="1782">
        <f>(C8+D8)-E8</f>
        <v>25843044</v>
      </c>
      <c r="G8" s="844">
        <v>50</v>
      </c>
      <c r="H8" s="766">
        <v>10429462</v>
      </c>
      <c r="I8" s="766">
        <v>301758</v>
      </c>
      <c r="J8" s="766"/>
      <c r="K8" s="1791">
        <f>(H8+I8)-J8</f>
        <v>10731220</v>
      </c>
      <c r="L8" s="1791">
        <f>F8-K8</f>
        <v>15111824</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181682</v>
      </c>
      <c r="D10" s="847"/>
      <c r="E10" s="847"/>
      <c r="F10" s="1786">
        <f>(C10+D10)-E10</f>
        <v>181682</v>
      </c>
      <c r="G10" s="844">
        <v>20</v>
      </c>
      <c r="H10" s="848">
        <v>181682</v>
      </c>
      <c r="I10" s="848"/>
      <c r="J10" s="848"/>
      <c r="K10" s="1791">
        <f>(H10+I10)-J10</f>
        <v>181682</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4055366</v>
      </c>
      <c r="D12" s="845">
        <v>70261</v>
      </c>
      <c r="E12" s="845"/>
      <c r="F12" s="1782">
        <f>(C12+D12)-E12</f>
        <v>4125627</v>
      </c>
      <c r="G12" s="844">
        <v>10</v>
      </c>
      <c r="H12" s="766">
        <v>3398785</v>
      </c>
      <c r="I12" s="766">
        <v>69171</v>
      </c>
      <c r="J12" s="766"/>
      <c r="K12" s="1791">
        <f>(H12+I12)-J12</f>
        <v>3467956</v>
      </c>
      <c r="L12" s="1791">
        <f>F12-K12</f>
        <v>657671</v>
      </c>
    </row>
    <row r="13" spans="1:14" ht="14.25" thickTop="1" thickBot="1" x14ac:dyDescent="0.25">
      <c r="A13" s="849" t="s">
        <v>1184</v>
      </c>
      <c r="B13" s="841">
        <v>252</v>
      </c>
      <c r="C13" s="845">
        <v>2672834</v>
      </c>
      <c r="D13" s="845">
        <v>78934</v>
      </c>
      <c r="E13" s="845"/>
      <c r="F13" s="1782">
        <f>(C13+D13)-E13</f>
        <v>2751768</v>
      </c>
      <c r="G13" s="844">
        <v>5</v>
      </c>
      <c r="H13" s="766">
        <v>2554865</v>
      </c>
      <c r="I13" s="766">
        <v>31487</v>
      </c>
      <c r="J13" s="766"/>
      <c r="K13" s="1791">
        <f>(H13+I13)-J13</f>
        <v>2586352</v>
      </c>
      <c r="L13" s="1791">
        <f>F13-K13</f>
        <v>165416</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32271908</v>
      </c>
      <c r="D16" s="1782">
        <f>SUM(D3,D5:D6,D8:D10,D12:D15)</f>
        <v>800542</v>
      </c>
      <c r="E16" s="1782">
        <f>SUM(E3,E5:E6,E8:E10,E12:E15)</f>
        <v>0</v>
      </c>
      <c r="F16" s="1782">
        <f>SUM(F3,F5:F6,F8:F10,F12:F15)</f>
        <v>33072450</v>
      </c>
      <c r="G16" s="844"/>
      <c r="H16" s="1782">
        <f>SUM(H3,H6,H8:H10,H12:H14,)</f>
        <v>16564794</v>
      </c>
      <c r="I16" s="1782">
        <f>SUM(I3,I6,I8:I10,I12:I14,)</f>
        <v>402416</v>
      </c>
      <c r="J16" s="1782">
        <f>SUM(J3,J6,J8:J10,J12:J14,)</f>
        <v>0</v>
      </c>
      <c r="K16" s="1782">
        <f>(H16+I16)-J16</f>
        <v>16967210</v>
      </c>
      <c r="L16" s="1782">
        <f>F16-K16</f>
        <v>16105240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402416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C9" sqref="C9"/>
      <selection pane="bottomLeft" activeCell="A29" sqref="A29:XFD2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9645457</v>
      </c>
      <c r="G8" s="866"/>
    </row>
    <row r="9" spans="1:7" x14ac:dyDescent="0.2">
      <c r="A9" s="870" t="s">
        <v>480</v>
      </c>
      <c r="B9" s="871" t="s">
        <v>1987</v>
      </c>
      <c r="C9" s="872"/>
      <c r="D9" s="870" t="s">
        <v>522</v>
      </c>
      <c r="E9" s="869"/>
      <c r="F9" s="1935">
        <f>'Expenditures 15-22'!K151</f>
        <v>900452</v>
      </c>
      <c r="G9" s="873"/>
    </row>
    <row r="10" spans="1:7" x14ac:dyDescent="0.2">
      <c r="A10" s="870" t="s">
        <v>520</v>
      </c>
      <c r="B10" s="871" t="s">
        <v>1988</v>
      </c>
      <c r="C10" s="872"/>
      <c r="D10" s="870" t="s">
        <v>522</v>
      </c>
      <c r="E10" s="869"/>
      <c r="F10" s="1935">
        <f>'Expenditures 15-22'!K174</f>
        <v>1002370</v>
      </c>
      <c r="G10" s="873"/>
    </row>
    <row r="11" spans="1:7" x14ac:dyDescent="0.2">
      <c r="A11" s="870" t="s">
        <v>481</v>
      </c>
      <c r="B11" s="871" t="s">
        <v>1989</v>
      </c>
      <c r="C11" s="872"/>
      <c r="D11" s="870" t="s">
        <v>522</v>
      </c>
      <c r="E11" s="869"/>
      <c r="F11" s="1935">
        <f>'Expenditures 15-22'!K210</f>
        <v>666727</v>
      </c>
      <c r="G11" s="873"/>
    </row>
    <row r="12" spans="1:7" x14ac:dyDescent="0.2">
      <c r="A12" s="870" t="s">
        <v>482</v>
      </c>
      <c r="B12" s="871" t="s">
        <v>1990</v>
      </c>
      <c r="C12" s="872"/>
      <c r="D12" s="870" t="s">
        <v>522</v>
      </c>
      <c r="E12" s="869"/>
      <c r="F12" s="1935">
        <f>'Expenditures 15-22'!K295</f>
        <v>379873</v>
      </c>
      <c r="G12" s="873"/>
    </row>
    <row r="13" spans="1:7" x14ac:dyDescent="0.2">
      <c r="A13" s="870" t="s">
        <v>108</v>
      </c>
      <c r="B13" s="871" t="s">
        <v>1991</v>
      </c>
      <c r="C13" s="872"/>
      <c r="D13" s="870" t="s">
        <v>522</v>
      </c>
      <c r="E13" s="869"/>
      <c r="F13" s="1935">
        <f>'Expenditures 15-22'!K342</f>
        <v>249668</v>
      </c>
      <c r="G13" s="874"/>
    </row>
    <row r="14" spans="1:7" ht="12" customHeight="1" thickBot="1" x14ac:dyDescent="0.25">
      <c r="A14" s="1792"/>
      <c r="B14" s="1793"/>
      <c r="C14" s="1794"/>
      <c r="D14" s="1795" t="s">
        <v>522</v>
      </c>
      <c r="E14" s="1796" t="s">
        <v>1015</v>
      </c>
      <c r="F14" s="1797">
        <f>SUM(F8:F13)</f>
        <v>12844547</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160995</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93181</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3145</v>
      </c>
      <c r="G52" s="866"/>
    </row>
    <row r="53" spans="1:7" x14ac:dyDescent="0.2">
      <c r="A53" s="870" t="s">
        <v>479</v>
      </c>
      <c r="B53" s="870" t="s">
        <v>1551</v>
      </c>
      <c r="C53" s="890">
        <f>'Expenditures 15-22'!B102</f>
        <v>4000</v>
      </c>
      <c r="D53" s="889" t="str">
        <f>'Expenditures 15-22'!A102</f>
        <v>Total Payments to Other Govt Units</v>
      </c>
      <c r="E53" s="869"/>
      <c r="F53" s="1939">
        <f>'Expenditures 15-22'!K102</f>
        <v>1458439</v>
      </c>
      <c r="G53" s="866"/>
    </row>
    <row r="54" spans="1:7" x14ac:dyDescent="0.2">
      <c r="A54" s="870" t="s">
        <v>479</v>
      </c>
      <c r="B54" s="870" t="s">
        <v>1552</v>
      </c>
      <c r="C54" s="890" t="s">
        <v>1039</v>
      </c>
      <c r="D54" s="886" t="s">
        <v>1157</v>
      </c>
      <c r="E54" s="869"/>
      <c r="F54" s="1939">
        <f>'Expenditures 15-22'!G114</f>
        <v>70261</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1992</v>
      </c>
      <c r="C57" s="890">
        <f>'Expenditures 15-22'!B139</f>
        <v>4000</v>
      </c>
      <c r="D57" s="888" t="str">
        <f>'Expenditures 15-22'!A139</f>
        <v>Total Payments to Other Govt Units</v>
      </c>
      <c r="E57" s="869"/>
      <c r="F57" s="1939">
        <f>'Expenditures 15-22'!K139</f>
        <v>0</v>
      </c>
      <c r="G57" s="866"/>
    </row>
    <row r="58" spans="1:7" x14ac:dyDescent="0.2">
      <c r="A58" s="870" t="s">
        <v>480</v>
      </c>
      <c r="B58" s="870" t="s">
        <v>1993</v>
      </c>
      <c r="C58" s="887" t="s">
        <v>1039</v>
      </c>
      <c r="D58" s="886" t="s">
        <v>1157</v>
      </c>
      <c r="E58" s="869"/>
      <c r="F58" s="1941">
        <f>'Expenditures 15-22'!G151</f>
        <v>0</v>
      </c>
      <c r="G58" s="866"/>
    </row>
    <row r="59" spans="1:7" x14ac:dyDescent="0.2">
      <c r="A59" s="894" t="s">
        <v>480</v>
      </c>
      <c r="B59" s="857" t="s">
        <v>1994</v>
      </c>
      <c r="C59" s="895" t="s">
        <v>1039</v>
      </c>
      <c r="D59" s="857" t="s">
        <v>309</v>
      </c>
      <c r="F59" s="1942">
        <f>'Expenditures 15-22'!I151</f>
        <v>0</v>
      </c>
      <c r="G59" s="866"/>
    </row>
    <row r="60" spans="1:7" x14ac:dyDescent="0.2">
      <c r="A60" s="894" t="s">
        <v>520</v>
      </c>
      <c r="B60" s="857" t="s">
        <v>1995</v>
      </c>
      <c r="C60" s="895">
        <v>4000</v>
      </c>
      <c r="D60" s="857" t="s">
        <v>330</v>
      </c>
      <c r="F60" s="1940">
        <f>'Expenditures 15-22'!K160</f>
        <v>0</v>
      </c>
      <c r="G60" s="866"/>
    </row>
    <row r="61" spans="1:7" x14ac:dyDescent="0.2">
      <c r="A61" s="896" t="s">
        <v>520</v>
      </c>
      <c r="B61" s="896" t="s">
        <v>1996</v>
      </c>
      <c r="C61" s="897" t="str">
        <f>'Expenditures 15-22'!B170</f>
        <v>5300</v>
      </c>
      <c r="D61" s="898" t="s">
        <v>329</v>
      </c>
      <c r="E61" s="880"/>
      <c r="F61" s="1939">
        <f>'Expenditures 15-22'!K170</f>
        <v>913413</v>
      </c>
      <c r="G61" s="866"/>
    </row>
    <row r="62" spans="1:7" x14ac:dyDescent="0.2">
      <c r="A62" s="870" t="s">
        <v>481</v>
      </c>
      <c r="B62" s="870" t="s">
        <v>1997</v>
      </c>
      <c r="C62" s="887">
        <f>'Expenditures 15-22'!B185</f>
        <v>3000</v>
      </c>
      <c r="D62" s="877" t="s">
        <v>469</v>
      </c>
      <c r="E62" s="869"/>
      <c r="F62" s="1939">
        <f>'Expenditures 15-22'!K185-SUM('Expenditures 15-22'!G185,'Expenditures 15-22'!I185)</f>
        <v>0</v>
      </c>
      <c r="G62" s="866"/>
    </row>
    <row r="63" spans="1:7" x14ac:dyDescent="0.2">
      <c r="A63" s="870" t="s">
        <v>481</v>
      </c>
      <c r="B63" s="870" t="s">
        <v>1998</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1999</v>
      </c>
      <c r="C64" s="897" t="str">
        <f>'Expenditures 15-22'!B206</f>
        <v>5300</v>
      </c>
      <c r="D64" s="893" t="s">
        <v>329</v>
      </c>
      <c r="E64" s="869"/>
      <c r="F64" s="1939">
        <f>'Expenditures 15-22'!K206</f>
        <v>0</v>
      </c>
      <c r="G64" s="866"/>
    </row>
    <row r="65" spans="1:8" x14ac:dyDescent="0.2">
      <c r="A65" s="870" t="s">
        <v>481</v>
      </c>
      <c r="B65" s="870" t="s">
        <v>2000</v>
      </c>
      <c r="C65" s="887" t="s">
        <v>1039</v>
      </c>
      <c r="D65" s="886" t="s">
        <v>1157</v>
      </c>
      <c r="E65" s="869"/>
      <c r="F65" s="1939">
        <f>'Expenditures 15-22'!G210</f>
        <v>78934</v>
      </c>
      <c r="G65" s="866"/>
    </row>
    <row r="66" spans="1:8" x14ac:dyDescent="0.2">
      <c r="A66" s="870" t="s">
        <v>481</v>
      </c>
      <c r="B66" s="870" t="s">
        <v>2001</v>
      </c>
      <c r="C66" s="887" t="s">
        <v>1039</v>
      </c>
      <c r="D66" s="886" t="s">
        <v>309</v>
      </c>
      <c r="E66" s="869"/>
      <c r="F66" s="1939">
        <f>'Expenditures 15-22'!I210</f>
        <v>0</v>
      </c>
      <c r="G66" s="866"/>
    </row>
    <row r="67" spans="1:8" x14ac:dyDescent="0.2">
      <c r="A67" s="870" t="s">
        <v>482</v>
      </c>
      <c r="B67" s="870" t="s">
        <v>2002</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2003</v>
      </c>
      <c r="C69" s="887" t="str">
        <f>'Expenditures 15-22'!B220</f>
        <v>1275</v>
      </c>
      <c r="D69" s="893" t="str">
        <f>'Expenditures 15-22'!A220</f>
        <v>Remedial and Supplemental Programs - Pre-K</v>
      </c>
      <c r="E69" s="869"/>
      <c r="F69" s="1939">
        <f>'Expenditures 15-22'!K220</f>
        <v>6285</v>
      </c>
      <c r="G69" s="866"/>
    </row>
    <row r="70" spans="1:8" x14ac:dyDescent="0.2">
      <c r="A70" s="870" t="s">
        <v>482</v>
      </c>
      <c r="B70" s="870" t="s">
        <v>2004</v>
      </c>
      <c r="C70" s="887">
        <f>'Expenditures 15-22'!B221</f>
        <v>1300</v>
      </c>
      <c r="D70" s="888" t="str">
        <f>'Expenditures 15-22'!A221</f>
        <v>Adult/Continuing Education Programs</v>
      </c>
      <c r="E70" s="869"/>
      <c r="F70" s="1939">
        <f>'Expenditures 15-22'!K221</f>
        <v>0</v>
      </c>
      <c r="G70" s="866"/>
    </row>
    <row r="71" spans="1:8" x14ac:dyDescent="0.2">
      <c r="A71" s="870" t="s">
        <v>482</v>
      </c>
      <c r="B71" s="870" t="s">
        <v>2005</v>
      </c>
      <c r="C71" s="887">
        <f>'Expenditures 15-22'!B224</f>
        <v>1600</v>
      </c>
      <c r="D71" s="888" t="str">
        <f>'Expenditures 15-22'!A224</f>
        <v>Summer School Programs</v>
      </c>
      <c r="E71" s="869"/>
      <c r="F71" s="1939">
        <f>'Expenditures 15-22'!K224</f>
        <v>0</v>
      </c>
      <c r="G71" s="866"/>
    </row>
    <row r="72" spans="1:8" x14ac:dyDescent="0.2">
      <c r="A72" s="870" t="s">
        <v>482</v>
      </c>
      <c r="B72" s="870" t="s">
        <v>2006</v>
      </c>
      <c r="C72" s="887">
        <f>'Expenditures 15-22'!B280</f>
        <v>3000</v>
      </c>
      <c r="D72" s="877" t="s">
        <v>469</v>
      </c>
      <c r="E72" s="869"/>
      <c r="F72" s="1939">
        <f>'Expenditures 15-22'!K280</f>
        <v>35</v>
      </c>
      <c r="G72" s="866"/>
    </row>
    <row r="73" spans="1:8" x14ac:dyDescent="0.2">
      <c r="A73" s="870" t="s">
        <v>482</v>
      </c>
      <c r="B73" s="870" t="s">
        <v>2007</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2008</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2009</v>
      </c>
      <c r="E76" s="1796" t="s">
        <v>1015</v>
      </c>
      <c r="F76" s="1800">
        <f>SUM(F18:F74)</f>
        <v>2784688</v>
      </c>
      <c r="G76" s="866"/>
    </row>
    <row r="77" spans="1:8" s="894" customFormat="1" ht="12" customHeight="1" thickTop="1" thickBot="1" x14ac:dyDescent="0.25">
      <c r="A77" s="1801"/>
      <c r="B77" s="1798"/>
      <c r="C77" s="1794"/>
      <c r="D77" s="1799" t="s">
        <v>2010</v>
      </c>
      <c r="E77" s="1796"/>
      <c r="F77" s="1802">
        <f>(F14-F76)</f>
        <v>10059859</v>
      </c>
      <c r="G77" s="870"/>
    </row>
    <row r="78" spans="1:8" s="894" customFormat="1" ht="12" customHeight="1" thickTop="1" x14ac:dyDescent="0.2">
      <c r="A78" s="1803"/>
      <c r="B78" s="1798"/>
      <c r="C78" s="1794"/>
      <c r="D78" s="1799" t="s">
        <v>2057</v>
      </c>
      <c r="E78" s="1796"/>
      <c r="F78" s="899">
        <v>1323</v>
      </c>
      <c r="G78" s="900"/>
      <c r="H78" s="870"/>
    </row>
    <row r="79" spans="1:8" s="894" customFormat="1" ht="12" customHeight="1" thickBot="1" x14ac:dyDescent="0.25">
      <c r="A79" s="1804"/>
      <c r="B79" s="1798"/>
      <c r="C79" s="1794"/>
      <c r="D79" s="1799" t="s">
        <v>2011</v>
      </c>
      <c r="E79" s="1796" t="s">
        <v>1015</v>
      </c>
      <c r="F79" s="1805">
        <f>IF(F78&gt;0,F77/F78," Complete Line 78")</f>
        <v>7603.8238851095994</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7010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3597</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214919</v>
      </c>
      <c r="G94" s="913"/>
    </row>
    <row r="95" spans="1:7" x14ac:dyDescent="0.2">
      <c r="A95" s="909" t="s">
        <v>142</v>
      </c>
      <c r="B95" s="909" t="s">
        <v>177</v>
      </c>
      <c r="C95" s="911">
        <v>1700</v>
      </c>
      <c r="D95" s="919" t="str">
        <f>'Revenues 9-14'!A82</f>
        <v>Total District/School Activity Income</v>
      </c>
      <c r="E95" s="907"/>
      <c r="F95" s="1811">
        <f>SUM('Revenues 9-14'!C82,'Revenues 9-14'!D82)</f>
        <v>127859</v>
      </c>
      <c r="G95" s="913"/>
    </row>
    <row r="96" spans="1:7" x14ac:dyDescent="0.2">
      <c r="A96" s="909" t="s">
        <v>479</v>
      </c>
      <c r="B96" s="909" t="s">
        <v>178</v>
      </c>
      <c r="C96" s="911">
        <f>'Revenues 9-14'!B84</f>
        <v>1811</v>
      </c>
      <c r="D96" s="912" t="str">
        <f>'Revenues 9-14'!A84</f>
        <v>Rentals - Regular Textbooks</v>
      </c>
      <c r="E96" s="907"/>
      <c r="F96" s="1811">
        <f>'Revenues 9-14'!C84</f>
        <v>95756</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24022</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312598</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50291</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4674</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19832</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420244</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149689</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1979</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339114</v>
      </c>
      <c r="G129" s="931"/>
    </row>
    <row r="130" spans="1:7" x14ac:dyDescent="0.2">
      <c r="A130" s="928" t="s">
        <v>689</v>
      </c>
      <c r="B130" s="928" t="s">
        <v>804</v>
      </c>
      <c r="C130" s="933">
        <v>4300</v>
      </c>
      <c r="D130" s="934" t="str">
        <f>'Revenues 9-14'!A211</f>
        <v>Total Title I</v>
      </c>
      <c r="E130" s="907"/>
      <c r="F130" s="1811">
        <f>SUM('Revenues 9-14'!C211,'Revenues 9-14'!D211,'Revenues 9-14'!F211,'Revenues 9-14'!G211)</f>
        <v>215986</v>
      </c>
      <c r="G130" s="931"/>
    </row>
    <row r="131" spans="1:7" x14ac:dyDescent="0.2">
      <c r="A131" s="928" t="s">
        <v>689</v>
      </c>
      <c r="B131" s="928" t="s">
        <v>805</v>
      </c>
      <c r="C131" s="933">
        <v>4400</v>
      </c>
      <c r="D131" s="934" t="str">
        <f>'Revenues 9-14'!A216</f>
        <v>Total Title IV</v>
      </c>
      <c r="E131" s="907"/>
      <c r="F131" s="1811">
        <f>SUM('Revenues 9-14'!C216,'Revenues 9-14'!D216,'Revenues 9-14'!F216,'Revenues 9-14'!G216)</f>
        <v>2082</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46841</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14100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41730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v>220415</v>
      </c>
      <c r="G175" s="928"/>
    </row>
    <row r="176" spans="1:7" x14ac:dyDescent="0.2">
      <c r="A176" s="1944" t="s">
        <v>685</v>
      </c>
      <c r="B176" s="1945" t="s">
        <v>2056</v>
      </c>
      <c r="C176" s="1946">
        <v>3300</v>
      </c>
      <c r="D176" s="1947" t="s">
        <v>2060</v>
      </c>
      <c r="E176" s="907"/>
      <c r="F176" s="1931">
        <v>177</v>
      </c>
      <c r="G176" s="928"/>
    </row>
    <row r="177" spans="1:7" ht="6" customHeight="1" x14ac:dyDescent="0.2">
      <c r="A177" s="928"/>
      <c r="B177" s="928"/>
      <c r="C177" s="950"/>
      <c r="D177" s="928"/>
      <c r="E177" s="907"/>
      <c r="F177" s="951"/>
      <c r="G177" s="948"/>
    </row>
    <row r="178" spans="1:7" x14ac:dyDescent="0.2">
      <c r="A178" s="1792"/>
      <c r="B178" s="1806"/>
      <c r="C178" s="1807"/>
      <c r="D178" s="1808" t="s">
        <v>2012</v>
      </c>
      <c r="E178" s="1809" t="s">
        <v>1015</v>
      </c>
      <c r="F178" s="1810">
        <f>SUM(F84:F136,F161:F176)</f>
        <v>2312915</v>
      </c>
    </row>
    <row r="179" spans="1:7" ht="12" customHeight="1" x14ac:dyDescent="0.2">
      <c r="A179" s="1792"/>
      <c r="B179" s="1806"/>
      <c r="C179" s="1807"/>
      <c r="D179" s="1808" t="s">
        <v>2013</v>
      </c>
      <c r="E179" s="1809"/>
      <c r="F179" s="1811">
        <f>'PCTC-OEPP 27-28'!F77-F178</f>
        <v>7746944</v>
      </c>
    </row>
    <row r="180" spans="1:7" ht="12" customHeight="1" x14ac:dyDescent="0.2">
      <c r="A180" s="1792"/>
      <c r="B180" s="1806"/>
      <c r="C180" s="1807"/>
      <c r="D180" s="1808" t="s">
        <v>1922</v>
      </c>
      <c r="E180" s="1809"/>
      <c r="F180" s="1811">
        <f>'Cap Outlay Deprec 26'!I18</f>
        <v>402416</v>
      </c>
    </row>
    <row r="181" spans="1:7" ht="12" customHeight="1" x14ac:dyDescent="0.2">
      <c r="A181" s="1792"/>
      <c r="B181" s="1806"/>
      <c r="C181" s="1807"/>
      <c r="D181" s="1808" t="s">
        <v>2014</v>
      </c>
      <c r="E181" s="1809"/>
      <c r="F181" s="1811">
        <f>F179+F180</f>
        <v>8149360</v>
      </c>
    </row>
    <row r="182" spans="1:7" ht="12" customHeight="1" x14ac:dyDescent="0.2">
      <c r="A182" s="1792"/>
      <c r="B182" s="1812"/>
      <c r="C182" s="1807"/>
      <c r="D182" s="1808" t="str">
        <f>D78</f>
        <v>9 Month ADA from District Average Daily Attendance/Prior General State Aid Inquiry 2017-2018</v>
      </c>
      <c r="E182" s="1809"/>
      <c r="F182" s="1813">
        <f>'PCTC-OEPP 27-28'!F78</f>
        <v>1323</v>
      </c>
      <c r="G182" s="931"/>
    </row>
    <row r="183" spans="1:7" ht="12" customHeight="1" thickBot="1" x14ac:dyDescent="0.25">
      <c r="A183" s="1792"/>
      <c r="B183" s="1812"/>
      <c r="C183" s="1807"/>
      <c r="D183" s="1808" t="s">
        <v>2015</v>
      </c>
      <c r="E183" s="1809" t="s">
        <v>1626</v>
      </c>
      <c r="F183" s="1814">
        <f>F181/F182</f>
        <v>6159.7581254724109</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C9" sqref="C9"/>
      <selection pane="bottomLeft" activeCell="A9" sqref="A9:G9"/>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1923</v>
      </c>
      <c r="B4" s="2287"/>
      <c r="C4" s="2287"/>
      <c r="D4" s="2287"/>
      <c r="E4" s="2287"/>
      <c r="F4" s="2287"/>
      <c r="G4" s="2288"/>
    </row>
    <row r="5" spans="1:7" x14ac:dyDescent="0.25">
      <c r="A5" s="2289"/>
      <c r="B5" s="2290"/>
      <c r="C5" s="2290"/>
      <c r="D5" s="2290"/>
      <c r="E5" s="2290"/>
      <c r="F5" s="2290"/>
      <c r="G5" s="2291"/>
    </row>
    <row r="6" spans="1:7" ht="18.75" x14ac:dyDescent="0.25">
      <c r="A6" s="1556" t="s">
        <v>1924</v>
      </c>
      <c r="B6" s="1557"/>
      <c r="C6" s="1557"/>
      <c r="D6" s="1557"/>
      <c r="E6" s="1557"/>
      <c r="F6" s="1557"/>
      <c r="G6" s="1558"/>
    </row>
    <row r="7" spans="1:7" ht="30.75" customHeight="1" x14ac:dyDescent="0.25">
      <c r="A7" s="2292" t="s">
        <v>2073</v>
      </c>
      <c r="B7" s="2293"/>
      <c r="C7" s="2293"/>
      <c r="D7" s="2293"/>
      <c r="E7" s="2293"/>
      <c r="F7" s="2293"/>
      <c r="G7" s="2294"/>
    </row>
    <row r="8" spans="1:7" ht="15.75" customHeight="1" x14ac:dyDescent="0.25">
      <c r="A8" s="2295" t="s">
        <v>2022</v>
      </c>
      <c r="B8" s="2296"/>
      <c r="C8" s="2296"/>
      <c r="D8" s="2296"/>
      <c r="E8" s="2296"/>
      <c r="F8" s="2296"/>
      <c r="G8" s="2297"/>
    </row>
    <row r="9" spans="1:7" ht="35.25" customHeight="1" x14ac:dyDescent="0.25">
      <c r="A9" s="2292" t="s">
        <v>2021</v>
      </c>
      <c r="B9" s="2293"/>
      <c r="C9" s="2293"/>
      <c r="D9" s="2293"/>
      <c r="E9" s="2293"/>
      <c r="F9" s="2293"/>
      <c r="G9" s="2294"/>
    </row>
    <row r="10" spans="1:7" ht="15" customHeight="1" x14ac:dyDescent="0.25">
      <c r="A10" s="1559" t="s">
        <v>1925</v>
      </c>
      <c r="B10" s="1560"/>
      <c r="C10" s="1560"/>
      <c r="D10" s="1560"/>
      <c r="E10" s="1560"/>
      <c r="F10" s="1560"/>
      <c r="G10" s="1561"/>
    </row>
    <row r="11" spans="1:7" ht="17.25" customHeight="1" x14ac:dyDescent="0.25">
      <c r="A11" s="2292" t="s">
        <v>1939</v>
      </c>
      <c r="B11" s="2293"/>
      <c r="C11" s="2293"/>
      <c r="D11" s="2293"/>
      <c r="E11" s="2293"/>
      <c r="F11" s="2293"/>
      <c r="G11" s="2294"/>
    </row>
    <row r="12" spans="1:7" ht="15" customHeight="1" x14ac:dyDescent="0.25">
      <c r="A12" s="1559" t="s">
        <v>1930</v>
      </c>
      <c r="B12" s="1560"/>
      <c r="C12" s="1560"/>
      <c r="D12" s="1560"/>
      <c r="E12" s="1560"/>
      <c r="F12" s="1560"/>
      <c r="G12" s="1561"/>
    </row>
    <row r="13" spans="1:7" ht="32.25" customHeight="1" x14ac:dyDescent="0.25">
      <c r="A13" s="2283" t="s">
        <v>1931</v>
      </c>
      <c r="B13" s="2284"/>
      <c r="C13" s="2284"/>
      <c r="D13" s="2284"/>
      <c r="E13" s="2284"/>
      <c r="F13" s="2284"/>
      <c r="G13" s="2285"/>
    </row>
    <row r="14" spans="1:7" x14ac:dyDescent="0.25">
      <c r="A14" s="1683" t="s">
        <v>1940</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1941</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677"/>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6" colorId="8" zoomScale="110" zoomScaleNormal="110" workbookViewId="0">
      <selection activeCell="C9" sqref="C9"/>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248710</v>
      </c>
      <c r="F10" s="975"/>
      <c r="G10" s="976"/>
      <c r="H10" s="162"/>
      <c r="I10" s="162"/>
    </row>
    <row r="11" spans="1:9" s="669" customFormat="1" ht="22.5" customHeight="1" x14ac:dyDescent="0.2">
      <c r="A11" s="2303" t="s">
        <v>1943</v>
      </c>
      <c r="B11" s="2304"/>
      <c r="C11" s="2304"/>
      <c r="D11" s="2305"/>
      <c r="E11" s="978">
        <v>42435</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5740578</v>
      </c>
      <c r="F19" s="1822"/>
      <c r="G19" s="1824">
        <f>'Expenditures 15-22'!K33-SUM('Expenditures 15-22'!G33,'Expenditures 15-22'!I33)+'Expenditures 15-22'!D229</f>
        <v>5740578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489148</v>
      </c>
      <c r="F21" s="1825"/>
      <c r="G21" s="1828">
        <f>'Expenditures 15-22'!K42-SUM('Expenditures 15-22'!G42,'Expenditures 15-22'!I42)+'Expenditures 15-22'!K120-SUM('Expenditures 15-22'!G120,'Expenditures 15-22'!I120)+'Expenditures 15-22'!K180-SUM('Expenditures 15-22'!G180,'Expenditures 15-22'!I180)+'Expenditures 15-22'!D238</f>
        <v>489148</v>
      </c>
      <c r="H21" s="988"/>
      <c r="I21" s="162"/>
    </row>
    <row r="22" spans="1:9" s="669" customFormat="1" ht="12" customHeight="1" x14ac:dyDescent="0.2">
      <c r="A22" s="995" t="s">
        <v>585</v>
      </c>
      <c r="B22" s="996"/>
      <c r="C22" s="994">
        <v>2200</v>
      </c>
      <c r="D22" s="1825"/>
      <c r="E22" s="1827">
        <f>'Expenditures 15-22'!K47-SUM('Expenditures 15-22'!G47,'Expenditures 15-22'!I47)+'Expenditures 15-22'!D243</f>
        <v>547235</v>
      </c>
      <c r="F22" s="1825"/>
      <c r="G22" s="1828">
        <f>'Expenditures 15-22'!K47-SUM('Expenditures 15-22'!G47,'Expenditures 15-22'!I47)+'Expenditures 15-22'!D243</f>
        <v>547235</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528825</v>
      </c>
      <c r="F23" s="1825"/>
      <c r="G23" s="1827">
        <f>'Expenditures 15-22'!K53-SUM('Expenditures 15-22'!G53,'Expenditures 15-22'!I53)+'Expenditures 15-22'!D257+'Expenditures 15-22'!K330-SUM('Expenditures 15-22'!G330,'Expenditures 15-22'!I330)</f>
        <v>528825</v>
      </c>
      <c r="H23" s="988"/>
      <c r="I23" s="162"/>
    </row>
    <row r="24" spans="1:9" s="669" customFormat="1" ht="12" customHeight="1" x14ac:dyDescent="0.2">
      <c r="A24" s="995" t="s">
        <v>587</v>
      </c>
      <c r="B24" s="996"/>
      <c r="C24" s="994">
        <v>2400</v>
      </c>
      <c r="D24" s="1825"/>
      <c r="E24" s="1827">
        <f>'Expenditures 15-22'!K57-SUM('Expenditures 15-22'!G57,'Expenditures 15-22'!I57)+'Expenditures 15-22'!D261</f>
        <v>581524</v>
      </c>
      <c r="F24" s="1825"/>
      <c r="G24" s="1828">
        <f>'Expenditures 15-22'!K57-SUM('Expenditures 15-22'!G57,'Expenditures 15-22'!I57)+'Expenditures 15-22'!D261</f>
        <v>581524</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191729</v>
      </c>
      <c r="E27" s="1827">
        <f>E8</f>
        <v>0</v>
      </c>
      <c r="F27" s="1827">
        <f>'Expenditures 15-22'!K60-SUM('Expenditures 15-22'!G60,'Expenditures 15-22'!I60)+'Expenditures 15-22'!D264-E8</f>
        <v>191729</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955892</v>
      </c>
      <c r="F28" s="1829">
        <f>'Expenditures 15-22'!K61-SUM('Expenditures 15-22'!G61,'Expenditures 15-22'!I61)+'Expenditures 15-22'!K124-SUM('Expenditures 15-22'!G124,'Expenditures 15-22'!I124)+'Expenditures 15-22'!D266-E9</f>
        <v>955892</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665885</v>
      </c>
      <c r="F29" s="1825"/>
      <c r="G29" s="1828">
        <f>'Expenditures 15-22'!K62-SUM('Expenditures 15-22'!G62,'Expenditures 15-22'!I62)+'Expenditures 15-22'!K125-SUM('Expenditures 15-22'!G125,'Expenditures 15-22'!I125)+'Expenditures 15-22'!K182-SUM('Expenditures 15-22'!G182,'Expenditures 15-22'!I182)+'Expenditures 15-22'!D267</f>
        <v>665885</v>
      </c>
      <c r="H29" s="986"/>
    </row>
    <row r="30" spans="1:9" ht="12" customHeight="1" x14ac:dyDescent="0.2">
      <c r="A30" s="995" t="s">
        <v>102</v>
      </c>
      <c r="B30" s="998"/>
      <c r="C30" s="994">
        <v>2560</v>
      </c>
      <c r="D30" s="1825"/>
      <c r="E30" s="1827">
        <f>'Expenditures 15-22'!K63-SUM('Expenditures 15-22'!G63,'Expenditures 15-22'!I63)+'Expenditures 15-22'!D268-E10</f>
        <v>267789</v>
      </c>
      <c r="F30" s="1825"/>
      <c r="G30" s="1827">
        <f>'Expenditures 15-22'!K63-SUM('Expenditures 15-22'!G63,'Expenditures 15-22'!I63)+'Expenditures 15-22'!D268-E10</f>
        <v>267789</v>
      </c>
    </row>
    <row r="31" spans="1:9" ht="12" customHeight="1" x14ac:dyDescent="0.2">
      <c r="A31" s="995" t="s">
        <v>103</v>
      </c>
      <c r="B31" s="998"/>
      <c r="C31" s="994">
        <v>2570</v>
      </c>
      <c r="D31" s="1827">
        <f>'Expenditures 15-22'!K64-SUM('Expenditures 15-22'!G64,'Expenditures 15-22'!I64)+'Expenditures 15-22'!D269-E12</f>
        <v>14048</v>
      </c>
      <c r="E31" s="1827">
        <f>E12</f>
        <v>0</v>
      </c>
      <c r="F31" s="1827">
        <f>'Expenditures 15-22'!K64-SUM('Expenditures 15-22'!G64,'Expenditures 15-22'!I64)+'Expenditures 15-22'!D269-E12</f>
        <v>14048</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3180</v>
      </c>
      <c r="F39" s="1825"/>
      <c r="G39" s="1827">
        <f>'Expenditures 15-22'!K75-SUM('Expenditures 15-22'!G75,'Expenditures 15-22'!I75)+'Expenditures 15-22'!K130-SUM('Expenditures 15-22'!G130,'Expenditures 15-22'!I130)+'Expenditures 15-22'!K185-SUM('Expenditures 15-22'!G185,'Expenditures 15-22'!I185)+'Expenditures 15-22'!D280</f>
        <v>3180</v>
      </c>
    </row>
    <row r="40" spans="1:7" ht="12" customHeight="1" x14ac:dyDescent="0.2">
      <c r="A40" s="991" t="s">
        <v>1928</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205777</v>
      </c>
      <c r="E41" s="1829">
        <f>SUM(E19:E40)</f>
        <v>9780056</v>
      </c>
      <c r="F41" s="1829">
        <f>SUM(F19:F39)</f>
        <v>1161669</v>
      </c>
      <c r="G41" s="1829">
        <f>SUM(G19:G40)</f>
        <v>8824164</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205777</v>
      </c>
      <c r="F43" s="1830" t="s">
        <v>495</v>
      </c>
      <c r="G43" s="1831">
        <f>F41</f>
        <v>1161669</v>
      </c>
    </row>
    <row r="44" spans="1:7" ht="12" customHeight="1" x14ac:dyDescent="0.2">
      <c r="A44" s="988"/>
      <c r="B44" s="162"/>
      <c r="C44" s="1002"/>
      <c r="D44" s="1830" t="s">
        <v>494</v>
      </c>
      <c r="E44" s="1831">
        <f>E41</f>
        <v>9780056</v>
      </c>
      <c r="F44" s="1830" t="s">
        <v>494</v>
      </c>
      <c r="G44" s="1831">
        <f>G41</f>
        <v>8824164</v>
      </c>
    </row>
    <row r="45" spans="1:7" ht="12" customHeight="1" x14ac:dyDescent="0.2">
      <c r="A45" s="988"/>
      <c r="B45" s="162"/>
      <c r="C45" s="162"/>
      <c r="D45" s="1832" t="s">
        <v>1063</v>
      </c>
      <c r="E45" s="1833">
        <f>(E43/E44)</f>
        <v>2.1040472569891215E-2</v>
      </c>
      <c r="F45" s="1832" t="s">
        <v>1063</v>
      </c>
      <c r="G45" s="1833">
        <f>(G43/G44)</f>
        <v>0.13164635199436456</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C9" sqref="C9"/>
      <selection pane="bottomLeft" activeCell="C9" sqref="C9"/>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09" t="s">
        <v>1446</v>
      </c>
      <c r="B1" s="2309"/>
      <c r="C1" s="2309"/>
      <c r="D1" s="2309"/>
      <c r="E1" s="2309"/>
      <c r="F1" s="2309"/>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0" t="s">
        <v>1627</v>
      </c>
      <c r="B5" s="2311"/>
      <c r="C5" s="2312"/>
      <c r="D5" s="2312"/>
      <c r="E5" s="2312"/>
      <c r="F5" s="2312"/>
    </row>
    <row r="6" spans="1:10" ht="12" customHeight="1" x14ac:dyDescent="0.25">
      <c r="A6" s="1875"/>
      <c r="B6" s="1876"/>
      <c r="C6" s="2313" t="str">
        <f>COVER!A17</f>
        <v>Carlinville CUSD 1</v>
      </c>
      <c r="D6" s="2313"/>
      <c r="E6" s="2313"/>
      <c r="F6" s="1877"/>
    </row>
    <row r="7" spans="1:10" ht="11.25" customHeight="1" thickBot="1" x14ac:dyDescent="0.3">
      <c r="A7" s="1875"/>
      <c r="B7" s="1876"/>
      <c r="C7" s="2314">
        <f>COVER!A13</f>
        <v>40056001026</v>
      </c>
      <c r="D7" s="2314"/>
      <c r="E7" s="2314"/>
      <c r="F7" s="1877"/>
    </row>
    <row r="8" spans="1:10" ht="25.5" customHeight="1" thickBot="1" x14ac:dyDescent="0.25">
      <c r="A8" s="1918" t="s">
        <v>2023</v>
      </c>
      <c r="B8" s="1878" t="s">
        <v>2075</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15"/>
      <c r="D35" s="2315"/>
      <c r="E35" s="2315"/>
      <c r="F35" s="2316"/>
    </row>
    <row r="36" spans="1:11" ht="12" customHeight="1" x14ac:dyDescent="0.2">
      <c r="A36" s="2306"/>
      <c r="B36" s="2307"/>
      <c r="C36" s="2307"/>
      <c r="D36" s="2307"/>
      <c r="E36" s="2307"/>
      <c r="F36" s="2308"/>
    </row>
    <row r="37" spans="1:11" ht="12" customHeight="1" x14ac:dyDescent="0.2">
      <c r="A37" s="2306"/>
      <c r="B37" s="2307"/>
      <c r="C37" s="2307"/>
      <c r="D37" s="2307"/>
      <c r="E37" s="2307"/>
      <c r="F37" s="2308"/>
    </row>
    <row r="38" spans="1:11" ht="12" customHeight="1" x14ac:dyDescent="0.2">
      <c r="A38" s="2320"/>
      <c r="B38" s="2321"/>
      <c r="C38" s="2321"/>
      <c r="D38" s="2321"/>
      <c r="E38" s="2321"/>
      <c r="F38" s="2322"/>
    </row>
    <row r="39" spans="1:11" ht="4.5" hidden="1" customHeight="1" x14ac:dyDescent="0.2">
      <c r="A39" s="1898"/>
      <c r="B39" s="1898"/>
      <c r="C39" s="1898"/>
      <c r="D39" s="1898"/>
      <c r="E39" s="1898"/>
      <c r="F39" s="1898"/>
    </row>
    <row r="40" spans="1:11" s="1895" customFormat="1" ht="12" customHeight="1" x14ac:dyDescent="0.25">
      <c r="A40" s="1899" t="s">
        <v>1458</v>
      </c>
      <c r="B40" s="1900"/>
      <c r="C40" s="2323"/>
      <c r="D40" s="2323"/>
      <c r="E40" s="2323"/>
      <c r="F40" s="2324"/>
      <c r="H40" s="1904"/>
      <c r="I40" s="1904"/>
      <c r="J40" s="1904"/>
      <c r="K40" s="1904"/>
    </row>
    <row r="41" spans="1:11" s="1895" customFormat="1" ht="12" customHeight="1" x14ac:dyDescent="0.25">
      <c r="A41" s="2325"/>
      <c r="B41" s="2326"/>
      <c r="C41" s="2326"/>
      <c r="D41" s="2326"/>
      <c r="E41" s="2326"/>
      <c r="F41" s="2327"/>
      <c r="H41" s="1904"/>
      <c r="I41" s="1904"/>
      <c r="J41" s="1904"/>
      <c r="K41" s="1904"/>
    </row>
    <row r="42" spans="1:11" s="1895" customFormat="1" ht="12" customHeight="1" x14ac:dyDescent="0.25">
      <c r="A42" s="2325"/>
      <c r="B42" s="2326"/>
      <c r="C42" s="2326"/>
      <c r="D42" s="2326"/>
      <c r="E42" s="2326"/>
      <c r="F42" s="2327"/>
      <c r="H42" s="1904"/>
      <c r="I42" s="1904"/>
      <c r="J42" s="1904"/>
      <c r="K42" s="1904"/>
    </row>
    <row r="43" spans="1:11" s="1895" customFormat="1" ht="15" x14ac:dyDescent="0.25">
      <c r="A43" s="2317"/>
      <c r="B43" s="2318"/>
      <c r="C43" s="2318"/>
      <c r="D43" s="2318"/>
      <c r="E43" s="2318"/>
      <c r="F43" s="2319"/>
      <c r="H43" s="1904"/>
      <c r="I43" s="1904"/>
      <c r="J43" s="1904"/>
      <c r="K43" s="1904"/>
    </row>
    <row r="44" spans="1:11" s="1895" customFormat="1" ht="12" hidden="1" customHeight="1" x14ac:dyDescent="0.25">
      <c r="A44" s="2317"/>
      <c r="B44" s="2318"/>
      <c r="C44" s="2318"/>
      <c r="D44" s="2318"/>
      <c r="E44" s="2318"/>
      <c r="F44" s="231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9" sqref="C9"/>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Carlinville CUSD 1</v>
      </c>
      <c r="J6" s="2334"/>
      <c r="Q6" s="1686"/>
    </row>
    <row r="7" spans="1:17" x14ac:dyDescent="0.2">
      <c r="A7" s="2335" t="s">
        <v>924</v>
      </c>
      <c r="B7" s="2336"/>
      <c r="C7" s="2336"/>
      <c r="D7" s="2336"/>
      <c r="E7" s="2337"/>
      <c r="F7" s="1018"/>
      <c r="G7" s="1010"/>
      <c r="H7" s="1017" t="s">
        <v>390</v>
      </c>
      <c r="I7" s="2338">
        <f>COVER!A13</f>
        <v>40056001026</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173352</v>
      </c>
      <c r="F12" s="1040"/>
      <c r="G12" s="1834">
        <f t="shared" ref="G12:G18" si="0">SUM(E12:F12)</f>
        <v>173352</v>
      </c>
      <c r="H12" s="1041">
        <v>177450</v>
      </c>
      <c r="I12" s="1040"/>
      <c r="J12" s="1834">
        <f t="shared" ref="J12:J18" si="1">SUM(H12:I12)</f>
        <v>177450</v>
      </c>
    </row>
    <row r="13" spans="1:17" ht="15" customHeight="1" x14ac:dyDescent="0.2">
      <c r="A13" s="1036">
        <v>2</v>
      </c>
      <c r="B13" s="1037" t="s">
        <v>44</v>
      </c>
      <c r="C13" s="1038"/>
      <c r="D13" s="1039">
        <v>2330</v>
      </c>
      <c r="E13" s="1834">
        <f>'Expenditures 15-22'!K51</f>
        <v>5525</v>
      </c>
      <c r="F13" s="1040"/>
      <c r="G13" s="1834">
        <f t="shared" si="0"/>
        <v>5525</v>
      </c>
      <c r="H13" s="1041">
        <v>9726</v>
      </c>
      <c r="I13" s="1040"/>
      <c r="J13" s="1834">
        <f t="shared" si="1"/>
        <v>9726</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14048</v>
      </c>
      <c r="F16" s="1040"/>
      <c r="G16" s="1834">
        <f t="shared" si="0"/>
        <v>14048</v>
      </c>
      <c r="H16" s="1041">
        <v>15400</v>
      </c>
      <c r="I16" s="1040"/>
      <c r="J16" s="1834">
        <f t="shared" si="1"/>
        <v>15400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192925</v>
      </c>
      <c r="F19" s="1836">
        <f t="shared" si="2"/>
        <v>0</v>
      </c>
      <c r="G19" s="1836">
        <f t="shared" si="2"/>
        <v>192925</v>
      </c>
      <c r="H19" s="1836">
        <f t="shared" si="2"/>
        <v>202576</v>
      </c>
      <c r="I19" s="1836">
        <f t="shared" si="2"/>
        <v>0</v>
      </c>
      <c r="J19" s="1836">
        <f t="shared" si="2"/>
        <v>202576</v>
      </c>
    </row>
    <row r="20" spans="1:10" ht="13.5" thickTop="1" x14ac:dyDescent="0.2">
      <c r="A20" s="1036">
        <v>9</v>
      </c>
      <c r="B20" s="2345" t="s">
        <v>1703</v>
      </c>
      <c r="C20" s="2345"/>
      <c r="D20" s="2346"/>
      <c r="E20" s="1047"/>
      <c r="F20" s="1047"/>
      <c r="G20" s="1047"/>
      <c r="H20" s="1047"/>
      <c r="I20" s="1047"/>
      <c r="J20" s="1837">
        <f>IF(AND(G19&gt;0,J19&gt;0),(((J19-G19)/G19)),"Enter Budget Data")</f>
        <v>5.0024620966696902E-2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1942</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C9" sqref="C9"/>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2102</v>
      </c>
    </row>
    <row r="6" spans="1:2" x14ac:dyDescent="0.2">
      <c r="A6" s="1069">
        <v>2</v>
      </c>
      <c r="B6" s="329" t="s">
        <v>2103</v>
      </c>
    </row>
    <row r="7" spans="1:2" x14ac:dyDescent="0.2">
      <c r="A7" s="1069">
        <v>3</v>
      </c>
      <c r="B7" s="329" t="s">
        <v>2104</v>
      </c>
    </row>
    <row r="8" spans="1:2" x14ac:dyDescent="0.2">
      <c r="A8" s="1069">
        <v>4</v>
      </c>
      <c r="B8" s="329" t="s">
        <v>2105</v>
      </c>
    </row>
    <row r="9" spans="1:2" x14ac:dyDescent="0.2">
      <c r="A9" s="1070">
        <v>5</v>
      </c>
      <c r="B9" s="1956" t="s">
        <v>2106</v>
      </c>
    </row>
    <row r="10" spans="1:2" x14ac:dyDescent="0.2">
      <c r="A10" s="1070">
        <v>6</v>
      </c>
      <c r="B10" s="329" t="s">
        <v>2107</v>
      </c>
    </row>
    <row r="11" spans="1:2" x14ac:dyDescent="0.2">
      <c r="A11" s="1070">
        <v>7</v>
      </c>
      <c r="B11" s="329" t="s">
        <v>2108</v>
      </c>
    </row>
    <row r="12" spans="1:2" x14ac:dyDescent="0.2">
      <c r="A12" s="1070">
        <v>8</v>
      </c>
      <c r="B12" s="329" t="s">
        <v>2109</v>
      </c>
    </row>
    <row r="13" spans="1:2" x14ac:dyDescent="0.2">
      <c r="A13" s="1070">
        <v>9</v>
      </c>
      <c r="B13" s="329" t="s">
        <v>2110</v>
      </c>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Carlinville CUSD 1</v>
      </c>
    </row>
    <row r="65" spans="2:2" x14ac:dyDescent="0.2">
      <c r="B65" s="1071">
        <f>COVER!A13</f>
        <v>40056001026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C9" sqref="C9"/>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1969</v>
      </c>
      <c r="C4" s="162" t="s">
        <v>1231</v>
      </c>
      <c r="D4" s="169" t="s">
        <v>10</v>
      </c>
      <c r="E4" s="170" t="s">
        <v>22</v>
      </c>
    </row>
    <row r="5" spans="1:5" x14ac:dyDescent="0.2">
      <c r="A5" s="168" t="s">
        <v>1971</v>
      </c>
      <c r="C5" s="162" t="s">
        <v>1231</v>
      </c>
      <c r="D5" s="169" t="s">
        <v>10</v>
      </c>
      <c r="E5" s="170" t="s">
        <v>22</v>
      </c>
    </row>
    <row r="6" spans="1:5" x14ac:dyDescent="0.2">
      <c r="A6" s="168" t="s">
        <v>1970</v>
      </c>
      <c r="C6" s="162" t="s">
        <v>1231</v>
      </c>
      <c r="D6" s="167" t="s">
        <v>11</v>
      </c>
      <c r="E6" s="170" t="s">
        <v>998</v>
      </c>
    </row>
    <row r="7" spans="1:5" x14ac:dyDescent="0.2">
      <c r="A7" s="168" t="s">
        <v>1972</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1973</v>
      </c>
      <c r="C11" s="162" t="s">
        <v>1231</v>
      </c>
      <c r="D11" s="169" t="s">
        <v>14</v>
      </c>
      <c r="E11" s="170" t="s">
        <v>1218</v>
      </c>
    </row>
    <row r="12" spans="1:5" x14ac:dyDescent="0.2">
      <c r="B12" s="169" t="s">
        <v>1974</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1975</v>
      </c>
      <c r="C15" s="162" t="s">
        <v>1231</v>
      </c>
      <c r="D15" s="169" t="s">
        <v>17</v>
      </c>
      <c r="E15" s="170" t="s">
        <v>657</v>
      </c>
    </row>
    <row r="16" spans="1:5" x14ac:dyDescent="0.2">
      <c r="A16" s="172"/>
      <c r="B16" s="162" t="s">
        <v>1976</v>
      </c>
      <c r="C16" s="162" t="s">
        <v>1231</v>
      </c>
      <c r="D16" s="169" t="s">
        <v>702</v>
      </c>
      <c r="E16" s="170" t="s">
        <v>1100</v>
      </c>
    </row>
    <row r="17" spans="1:5" x14ac:dyDescent="0.2">
      <c r="B17" s="167" t="s">
        <v>1045</v>
      </c>
      <c r="C17" s="162" t="s">
        <v>1231</v>
      </c>
    </row>
    <row r="18" spans="1:5" x14ac:dyDescent="0.2">
      <c r="B18" s="167" t="s">
        <v>1982</v>
      </c>
      <c r="D18" s="169" t="s">
        <v>18</v>
      </c>
      <c r="E18" s="170" t="s">
        <v>1101</v>
      </c>
    </row>
    <row r="19" spans="1:5" x14ac:dyDescent="0.2">
      <c r="A19" s="168" t="s">
        <v>1161</v>
      </c>
      <c r="C19" s="162" t="s">
        <v>1231</v>
      </c>
      <c r="D19" s="169"/>
      <c r="E19" s="171"/>
    </row>
    <row r="20" spans="1:5" x14ac:dyDescent="0.2">
      <c r="B20" s="167" t="s">
        <v>1977</v>
      </c>
      <c r="C20" s="162" t="s">
        <v>1231</v>
      </c>
      <c r="D20" s="169" t="s">
        <v>19</v>
      </c>
      <c r="E20" s="170" t="s">
        <v>53</v>
      </c>
    </row>
    <row r="21" spans="1:5" x14ac:dyDescent="0.2">
      <c r="B21" s="167" t="s">
        <v>1978</v>
      </c>
      <c r="C21" s="162" t="s">
        <v>1231</v>
      </c>
      <c r="D21" s="169" t="s">
        <v>20</v>
      </c>
      <c r="E21" s="170" t="s">
        <v>1708</v>
      </c>
    </row>
    <row r="22" spans="1:5" x14ac:dyDescent="0.2">
      <c r="A22" s="168"/>
      <c r="B22" s="162" t="s">
        <v>1966</v>
      </c>
      <c r="C22" s="162" t="s">
        <v>1231</v>
      </c>
      <c r="D22" s="167" t="s">
        <v>1968</v>
      </c>
      <c r="E22" s="1859" t="s">
        <v>1709</v>
      </c>
    </row>
    <row r="23" spans="1:5" x14ac:dyDescent="0.2">
      <c r="A23" s="168"/>
      <c r="B23" s="162" t="s">
        <v>1967</v>
      </c>
      <c r="D23" s="167" t="s">
        <v>658</v>
      </c>
      <c r="E23" s="1859" t="s">
        <v>1016</v>
      </c>
    </row>
    <row r="24" spans="1:5" x14ac:dyDescent="0.2">
      <c r="A24" s="168" t="s">
        <v>1707</v>
      </c>
      <c r="C24" s="162" t="s">
        <v>1231</v>
      </c>
      <c r="D24" s="167" t="s">
        <v>1460</v>
      </c>
      <c r="E24" s="170" t="s">
        <v>1017</v>
      </c>
    </row>
    <row r="25" spans="1:5" x14ac:dyDescent="0.2">
      <c r="A25" s="168" t="s">
        <v>1979</v>
      </c>
      <c r="C25" s="162" t="s">
        <v>1231</v>
      </c>
      <c r="D25" s="169" t="s">
        <v>21</v>
      </c>
      <c r="E25" s="170" t="s">
        <v>1102</v>
      </c>
    </row>
    <row r="26" spans="1:5" x14ac:dyDescent="0.2">
      <c r="A26" s="168" t="s">
        <v>1980</v>
      </c>
      <c r="C26" s="162" t="s">
        <v>1231</v>
      </c>
      <c r="D26" s="169" t="s">
        <v>584</v>
      </c>
      <c r="E26" s="170" t="s">
        <v>1103</v>
      </c>
    </row>
    <row r="27" spans="1:5" x14ac:dyDescent="0.2">
      <c r="A27" s="168" t="s">
        <v>1981</v>
      </c>
      <c r="C27" s="162" t="s">
        <v>1231</v>
      </c>
      <c r="D27" s="169" t="s">
        <v>578</v>
      </c>
      <c r="E27" s="170" t="s">
        <v>704</v>
      </c>
    </row>
    <row r="28" spans="1:5" x14ac:dyDescent="0.2">
      <c r="A28" s="168" t="s">
        <v>1983</v>
      </c>
      <c r="D28" s="169" t="s">
        <v>705</v>
      </c>
      <c r="E28" s="170" t="s">
        <v>1433</v>
      </c>
    </row>
    <row r="29" spans="1:5" x14ac:dyDescent="0.2">
      <c r="A29" s="168" t="s">
        <v>1984</v>
      </c>
      <c r="D29" s="169" t="s">
        <v>1461</v>
      </c>
      <c r="E29" s="170" t="s">
        <v>1442</v>
      </c>
    </row>
    <row r="30" spans="1:5" x14ac:dyDescent="0.2">
      <c r="A30" s="173" t="s">
        <v>1985</v>
      </c>
      <c r="C30" s="162" t="s">
        <v>1231</v>
      </c>
      <c r="D30" s="169" t="s">
        <v>42</v>
      </c>
      <c r="E30" s="170" t="s">
        <v>1039</v>
      </c>
    </row>
    <row r="31" spans="1:5" x14ac:dyDescent="0.2">
      <c r="A31" s="168" t="s">
        <v>1602</v>
      </c>
      <c r="C31" s="162" t="s">
        <v>1231</v>
      </c>
      <c r="D31" s="167"/>
      <c r="E31" s="171"/>
    </row>
    <row r="32" spans="1:5" x14ac:dyDescent="0.2">
      <c r="B32" s="167" t="s">
        <v>1986</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2016</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9" sqref="C9"/>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9" sqref="C9"/>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4" zoomScale="110" zoomScaleNormal="110" workbookViewId="0">
      <selection activeCell="C9" sqref="C9"/>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2054</v>
      </c>
      <c r="B4" s="2373"/>
      <c r="C4" s="2373"/>
      <c r="D4" s="2373"/>
      <c r="E4" s="2373"/>
      <c r="F4" s="2374"/>
      <c r="G4" s="1075"/>
      <c r="H4" s="1075"/>
    </row>
    <row r="5" spans="1:8" ht="14.25" customHeight="1" x14ac:dyDescent="0.2">
      <c r="A5" s="2375" t="s">
        <v>2055</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10082946</v>
      </c>
      <c r="C8" s="1838">
        <f>'Acct Summary 7-8'!D8</f>
        <v>884722</v>
      </c>
      <c r="D8" s="1838">
        <f>'Acct Summary 7-8'!F8</f>
        <v>746494</v>
      </c>
      <c r="E8" s="1838">
        <f>'Acct Summary 7-8'!I8</f>
        <v>31416</v>
      </c>
      <c r="F8" s="1838">
        <f>SUM(B8:E8)</f>
        <v>11745578</v>
      </c>
    </row>
    <row r="9" spans="1:8" s="1080" customFormat="1" ht="14.25" customHeight="1" thickBot="1" x14ac:dyDescent="0.25">
      <c r="A9" s="1079" t="s">
        <v>1436</v>
      </c>
      <c r="B9" s="1839">
        <f>'Acct Summary 7-8'!C17</f>
        <v>9645457</v>
      </c>
      <c r="C9" s="1839">
        <f>'Acct Summary 7-8'!D17</f>
        <v>900452</v>
      </c>
      <c r="D9" s="1839">
        <f>'Acct Summary 7-8'!F17</f>
        <v>666727</v>
      </c>
      <c r="E9" s="1838"/>
      <c r="F9" s="1838">
        <f>SUM(B9:E9)</f>
        <v>11212636</v>
      </c>
    </row>
    <row r="10" spans="1:8" s="1080" customFormat="1" ht="14.25" thickTop="1" thickBot="1" x14ac:dyDescent="0.25">
      <c r="A10" s="1081" t="s">
        <v>1437</v>
      </c>
      <c r="B10" s="1840">
        <f>(B8-B9)</f>
        <v>437489</v>
      </c>
      <c r="C10" s="1840">
        <f>(C8-C9)</f>
        <v>-15730</v>
      </c>
      <c r="D10" s="1840">
        <f>(D8-D9)</f>
        <v>79767</v>
      </c>
      <c r="E10" s="1839">
        <f>(E8-E9)</f>
        <v>31416</v>
      </c>
      <c r="F10" s="1841">
        <f>SUM(F8-F9)</f>
        <v>532942</v>
      </c>
    </row>
    <row r="11" spans="1:8" s="1080" customFormat="1" ht="14.25" thickTop="1" thickBot="1" x14ac:dyDescent="0.25">
      <c r="A11" s="1082" t="s">
        <v>1785</v>
      </c>
      <c r="B11" s="1842">
        <f>'Acct Summary 7-8'!C81</f>
        <v>3218845</v>
      </c>
      <c r="C11" s="1842">
        <f>'Acct Summary 7-8'!D81</f>
        <v>392148</v>
      </c>
      <c r="D11" s="1842">
        <f>'Acct Summary 7-8'!F81</f>
        <v>378679</v>
      </c>
      <c r="E11" s="1842">
        <f>'Acct Summary 7-8'!I81</f>
        <v>3896796</v>
      </c>
      <c r="F11" s="1843">
        <f>SUM(B11:E11)</f>
        <v>7886468</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D82" sqref="D82"/>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40056001026</v>
      </c>
    </row>
    <row r="3" spans="1:2" x14ac:dyDescent="0.2">
      <c r="A3" t="s">
        <v>1013</v>
      </c>
      <c r="B3" s="138" t="str">
        <f>COVER!A15</f>
        <v>MACOUPIN</v>
      </c>
    </row>
    <row r="4" spans="1:2" x14ac:dyDescent="0.2">
      <c r="A4" t="s">
        <v>1064</v>
      </c>
      <c r="B4" s="138" t="str">
        <f>COVER!A17</f>
        <v>Carlinville CUSD 1</v>
      </c>
    </row>
    <row r="5" spans="1:2" x14ac:dyDescent="0.2">
      <c r="A5" t="s">
        <v>728</v>
      </c>
      <c r="B5" s="138" t="str">
        <f>COVER!A38</f>
        <v>BECKY SCHUCHMAN</v>
      </c>
    </row>
    <row r="6" spans="1:2" x14ac:dyDescent="0.2">
      <c r="A6" t="s">
        <v>733</v>
      </c>
      <c r="B6" s="138">
        <f>COVER!P35</f>
        <v>0</v>
      </c>
    </row>
    <row r="7" spans="1:2" x14ac:dyDescent="0.2">
      <c r="A7" t="s">
        <v>729</v>
      </c>
      <c r="B7" s="138">
        <f>COVER!I38</f>
        <v>0</v>
      </c>
    </row>
    <row r="8" spans="1:2" x14ac:dyDescent="0.2">
      <c r="A8" t="s">
        <v>730</v>
      </c>
      <c r="B8" s="138" t="str">
        <f>COVER!T38</f>
        <v>MICHELLE MUELLER</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060-003363</v>
      </c>
    </row>
    <row r="16" spans="1:2" x14ac:dyDescent="0.2">
      <c r="A16" t="s">
        <v>442</v>
      </c>
      <c r="B16" s="138" t="str">
        <f>COVER!T13</f>
        <v>LOY MILLER TALLEY, PC</v>
      </c>
    </row>
    <row r="17" spans="1:2" x14ac:dyDescent="0.2">
      <c r="A17" t="s">
        <v>939</v>
      </c>
      <c r="B17" s="138" t="str">
        <f>COVER!T15</f>
        <v>KENNETH E. LOY</v>
      </c>
    </row>
    <row r="18" spans="1:2" x14ac:dyDescent="0.2">
      <c r="A18" t="s">
        <v>1212</v>
      </c>
      <c r="B18" s="138" t="str">
        <f>COVER!T17</f>
        <v>#2 CROSSROADS CT</v>
      </c>
    </row>
    <row r="19" spans="1:2" x14ac:dyDescent="0.2">
      <c r="A19" t="s">
        <v>941</v>
      </c>
      <c r="B19" s="138" t="str">
        <f>COVER!T25</f>
        <v>KEN@LMTCPAS.COM</v>
      </c>
    </row>
    <row r="20" spans="1:2" x14ac:dyDescent="0.2">
      <c r="A20" t="s">
        <v>942</v>
      </c>
      <c r="B20" s="138" t="str">
        <f>COVER!T19</f>
        <v>ALTON</v>
      </c>
    </row>
    <row r="21" spans="1:2" x14ac:dyDescent="0.2">
      <c r="A21" t="s">
        <v>500</v>
      </c>
      <c r="B21" s="138" t="str">
        <f>COVER!X19</f>
        <v>IL</v>
      </c>
    </row>
    <row r="22" spans="1:2" x14ac:dyDescent="0.2">
      <c r="A22" t="s">
        <v>943</v>
      </c>
      <c r="B22" s="138">
        <f>COVER!Z19</f>
        <v>62002</v>
      </c>
    </row>
    <row r="23" spans="1:2" x14ac:dyDescent="0.2">
      <c r="A23" t="s">
        <v>1214</v>
      </c>
      <c r="B23" s="138" t="str">
        <f>COVER!T21</f>
        <v>618-465-1196</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35374</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2008593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3320355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86194</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101510</v>
      </c>
      <c r="C91" s="2" t="s">
        <v>594</v>
      </c>
      <c r="D91" s="2" t="str">
        <f t="shared" si="0"/>
        <v>Error?</v>
      </c>
    </row>
    <row r="92" spans="1:4" x14ac:dyDescent="0.2">
      <c r="A92" s="5">
        <v>31</v>
      </c>
      <c r="B92" s="138">
        <f>'Assets-Liab 5-6'!C39</f>
        <v>3218845</v>
      </c>
      <c r="D92" s="2" t="str">
        <f t="shared" si="0"/>
        <v>Error?</v>
      </c>
    </row>
    <row r="93" spans="1:4" x14ac:dyDescent="0.2">
      <c r="A93" s="5">
        <v>32</v>
      </c>
      <c r="B93" s="138">
        <f>'Assets-Liab 5-6'!C41</f>
        <v>3320355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363282</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392148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392148</v>
      </c>
      <c r="D123" s="2" t="str">
        <f t="shared" si="0"/>
        <v>Error?</v>
      </c>
    </row>
    <row r="124" spans="1:4" x14ac:dyDescent="0.2">
      <c r="A124" s="5">
        <v>63</v>
      </c>
      <c r="B124" s="138">
        <f>'Assets-Liab 5-6'!D41</f>
        <v>392148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141359</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141359</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147915</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378679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378679</v>
      </c>
      <c r="D170" s="2" t="str">
        <f t="shared" si="1"/>
        <v>Error?</v>
      </c>
    </row>
    <row r="171" spans="1:4" x14ac:dyDescent="0.2">
      <c r="A171" s="5">
        <v>110</v>
      </c>
      <c r="B171" s="138">
        <f>'Assets-Liab 5-6'!F41</f>
        <v>378679</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107161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107161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564874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564874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170329</v>
      </c>
      <c r="D273" s="2" t="str">
        <f t="shared" si="3"/>
        <v>Error?</v>
      </c>
    </row>
    <row r="274" spans="1:4" x14ac:dyDescent="0.2">
      <c r="A274" s="5">
        <v>213</v>
      </c>
      <c r="B274" s="138">
        <f>'Assets-Liab 5-6'!M17</f>
        <v>26024726</v>
      </c>
      <c r="D274" s="2" t="str">
        <f t="shared" si="3"/>
        <v>Error?</v>
      </c>
    </row>
    <row r="275" spans="1:4" x14ac:dyDescent="0.2">
      <c r="A275" s="5">
        <v>214</v>
      </c>
      <c r="B275" s="138">
        <f>'Assets-Liab 5-6'!M18</f>
        <v>0</v>
      </c>
      <c r="D275" s="2" t="str">
        <f t="shared" si="3"/>
        <v>Error?</v>
      </c>
    </row>
    <row r="276" spans="1:4" x14ac:dyDescent="0.2">
      <c r="A276" s="5">
        <v>215</v>
      </c>
      <c r="B276" s="138">
        <f>'Assets-Liab 5-6'!M19</f>
        <v>6877395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33072450</v>
      </c>
      <c r="C279" s="2" t="s">
        <v>594</v>
      </c>
      <c r="D279" s="2" t="str">
        <f t="shared" si="3"/>
        <v>Error?</v>
      </c>
    </row>
    <row r="280" spans="1:4" x14ac:dyDescent="0.2">
      <c r="A280" s="5">
        <v>219</v>
      </c>
      <c r="B280" s="138">
        <f>'Assets-Liab 5-6'!M40</f>
        <v>33072450</v>
      </c>
      <c r="D280" s="2" t="str">
        <f t="shared" si="3"/>
        <v>Error?</v>
      </c>
    </row>
    <row r="281" spans="1:4" x14ac:dyDescent="0.2">
      <c r="A281" s="5">
        <v>220</v>
      </c>
      <c r="B281" s="138">
        <f>'Assets-Liab 5-6'!M41</f>
        <v>33072450</v>
      </c>
      <c r="C281" s="2" t="s">
        <v>594</v>
      </c>
      <c r="D281" s="2" t="str">
        <f t="shared" si="3"/>
        <v>Error?</v>
      </c>
    </row>
    <row r="282" spans="1:4" x14ac:dyDescent="0.2">
      <c r="A282" s="5">
        <v>221</v>
      </c>
      <c r="B282" s="138">
        <f>'Assets-Liab 5-6'!N21</f>
        <v>141359</v>
      </c>
      <c r="D282" s="2" t="str">
        <f t="shared" si="3"/>
        <v>Error?</v>
      </c>
    </row>
    <row r="283" spans="1:4" x14ac:dyDescent="0.2">
      <c r="A283" s="5">
        <v>222</v>
      </c>
      <c r="B283" s="138">
        <f>'Assets-Liab 5-6'!N22</f>
        <v>3719641</v>
      </c>
      <c r="D283" s="2" t="str">
        <f t="shared" si="3"/>
        <v>Error?</v>
      </c>
    </row>
    <row r="284" spans="1:4" x14ac:dyDescent="0.2">
      <c r="A284" s="5">
        <v>223</v>
      </c>
      <c r="B284" s="138">
        <f>'Assets-Liab 5-6'!N23</f>
        <v>3861000</v>
      </c>
      <c r="C284" s="2" t="s">
        <v>594</v>
      </c>
      <c r="D284" s="2" t="str">
        <f t="shared" si="3"/>
        <v>Error?</v>
      </c>
    </row>
    <row r="285" spans="1:4" x14ac:dyDescent="0.2">
      <c r="A285" s="5">
        <v>224</v>
      </c>
      <c r="B285" s="138">
        <f>'Assets-Liab 5-6'!N36</f>
        <v>3861000</v>
      </c>
      <c r="D285" s="2" t="str">
        <f t="shared" si="3"/>
        <v>Error?</v>
      </c>
    </row>
    <row r="286" spans="1:4" x14ac:dyDescent="0.2">
      <c r="A286" s="10">
        <v>225</v>
      </c>
      <c r="D286" s="2" t="str">
        <f t="shared" si="3"/>
        <v>OK</v>
      </c>
    </row>
    <row r="287" spans="1:4" x14ac:dyDescent="0.2">
      <c r="A287" s="5">
        <v>226</v>
      </c>
      <c r="B287" s="138">
        <f>'Assets-Liab 5-6'!N37</f>
        <v>3861000</v>
      </c>
      <c r="C287" s="2" t="s">
        <v>594</v>
      </c>
      <c r="D287" s="2" t="str">
        <f t="shared" si="3"/>
        <v>Error?</v>
      </c>
    </row>
    <row r="288" spans="1:4" x14ac:dyDescent="0.2">
      <c r="A288" s="5">
        <v>227</v>
      </c>
      <c r="B288" s="138">
        <f>'Assets-Liab 5-6'!N41</f>
        <v>3861000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500000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1390000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3890762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190567</v>
      </c>
      <c r="D717" s="2" t="str">
        <f t="shared" si="10"/>
        <v>Error?</v>
      </c>
    </row>
    <row r="718" spans="1:4" x14ac:dyDescent="0.2">
      <c r="A718" s="5">
        <v>657</v>
      </c>
      <c r="B718" s="138">
        <f>'Expenditures 15-22'!C14</f>
        <v>187874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4659155</v>
      </c>
      <c r="C720" s="2" t="s">
        <v>594</v>
      </c>
      <c r="D720" s="2" t="str">
        <f t="shared" si="10"/>
        <v>Error?</v>
      </c>
    </row>
    <row r="721" spans="1:4" x14ac:dyDescent="0.2">
      <c r="A721" s="5">
        <v>660</v>
      </c>
      <c r="B721" s="138">
        <f>'Expenditures 15-22'!C36</f>
        <v>55833</v>
      </c>
      <c r="D721" s="2" t="str">
        <f t="shared" si="10"/>
        <v>Error?</v>
      </c>
    </row>
    <row r="722" spans="1:4" x14ac:dyDescent="0.2">
      <c r="A722" s="5">
        <v>661</v>
      </c>
      <c r="B722" s="138">
        <f>'Expenditures 15-22'!C37</f>
        <v>218713</v>
      </c>
      <c r="D722" s="2" t="str">
        <f t="shared" si="10"/>
        <v>Error?</v>
      </c>
    </row>
    <row r="723" spans="1:4" x14ac:dyDescent="0.2">
      <c r="A723" s="5">
        <v>662</v>
      </c>
      <c r="B723" s="138">
        <f>'Expenditures 15-22'!C38</f>
        <v>132734</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4737</v>
      </c>
      <c r="D726" s="2" t="str">
        <f t="shared" si="10"/>
        <v>Error?</v>
      </c>
    </row>
    <row r="727" spans="1:4" x14ac:dyDescent="0.2">
      <c r="A727" s="5">
        <v>666</v>
      </c>
      <c r="B727" s="138">
        <f>'Expenditures 15-22'!C42</f>
        <v>412017</v>
      </c>
      <c r="C727" s="2" t="s">
        <v>594</v>
      </c>
      <c r="D727" s="2" t="str">
        <f t="shared" si="10"/>
        <v>Error?</v>
      </c>
    </row>
    <row r="728" spans="1:4" x14ac:dyDescent="0.2">
      <c r="A728" s="5">
        <v>667</v>
      </c>
      <c r="B728" s="138">
        <f>'Expenditures 15-22'!C44</f>
        <v>16246</v>
      </c>
      <c r="D728" s="2" t="str">
        <f t="shared" si="10"/>
        <v>Error?</v>
      </c>
    </row>
    <row r="729" spans="1:4" x14ac:dyDescent="0.2">
      <c r="A729" s="5">
        <v>668</v>
      </c>
      <c r="B729" s="138">
        <f>'Expenditures 15-22'!C45</f>
        <v>253862</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270108</v>
      </c>
      <c r="C731" s="2" t="s">
        <v>594</v>
      </c>
      <c r="D731" s="2" t="str">
        <f t="shared" si="10"/>
        <v>Error?</v>
      </c>
    </row>
    <row r="732" spans="1:4" x14ac:dyDescent="0.2">
      <c r="A732" s="5">
        <v>671</v>
      </c>
      <c r="B732" s="138">
        <f>'Expenditures 15-22'!C49</f>
        <v>433</v>
      </c>
      <c r="D732" s="2" t="str">
        <f t="shared" si="10"/>
        <v>Error?</v>
      </c>
    </row>
    <row r="733" spans="1:4" x14ac:dyDescent="0.2">
      <c r="A733" s="5">
        <v>672</v>
      </c>
      <c r="B733" s="138">
        <f>'Expenditures 15-22'!C50</f>
        <v>143907</v>
      </c>
      <c r="D733" s="2" t="str">
        <f t="shared" si="10"/>
        <v>Error?</v>
      </c>
    </row>
    <row r="734" spans="1:4" x14ac:dyDescent="0.2">
      <c r="A734" s="5">
        <v>673</v>
      </c>
      <c r="B734" s="138">
        <f>'Expenditures 15-22'!C53</f>
        <v>149255</v>
      </c>
      <c r="C734" s="2" t="s">
        <v>594</v>
      </c>
      <c r="D734" s="2" t="str">
        <f t="shared" si="10"/>
        <v>Error?</v>
      </c>
    </row>
    <row r="735" spans="1:4" x14ac:dyDescent="0.2">
      <c r="A735" s="5">
        <v>674</v>
      </c>
      <c r="B735" s="138">
        <f>'Expenditures 15-22'!C55</f>
        <v>467504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467504</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110690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183594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294284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1593168</v>
      </c>
      <c r="C755" s="2" t="s">
        <v>594</v>
      </c>
      <c r="D755" s="2" t="str">
        <f t="shared" si="10"/>
        <v>Error?</v>
      </c>
    </row>
    <row r="756" spans="1:4" x14ac:dyDescent="0.2">
      <c r="A756" s="5">
        <v>695</v>
      </c>
      <c r="B756" s="138">
        <f>'Expenditures 15-22'!C75</f>
        <v>1428</v>
      </c>
      <c r="D756" s="2" t="str">
        <f t="shared" si="10"/>
        <v>Error?</v>
      </c>
    </row>
    <row r="757" spans="1:4" x14ac:dyDescent="0.2">
      <c r="A757" s="5">
        <v>696</v>
      </c>
      <c r="B757" s="138">
        <f>'Expenditures 15-22'!C114</f>
        <v>6253751</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519100</v>
      </c>
      <c r="D763" s="2" t="str">
        <f t="shared" si="10"/>
        <v>Error?</v>
      </c>
    </row>
    <row r="764" spans="1:4" x14ac:dyDescent="0.2">
      <c r="A764" s="5">
        <v>703</v>
      </c>
      <c r="B764" s="138">
        <f>'Expenditures 15-22'!D16</f>
        <v>3</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27491</v>
      </c>
      <c r="D775" s="2" t="str">
        <f t="shared" si="11"/>
        <v>Error?</v>
      </c>
    </row>
    <row r="776" spans="1:4" x14ac:dyDescent="0.2">
      <c r="A776" s="5">
        <v>715</v>
      </c>
      <c r="B776" s="138">
        <f>'Expenditures 15-22'!D14</f>
        <v>5807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643665</v>
      </c>
      <c r="C778" s="2" t="s">
        <v>594</v>
      </c>
      <c r="D778" s="2" t="str">
        <f t="shared" si="11"/>
        <v>Error?</v>
      </c>
    </row>
    <row r="779" spans="1:4" x14ac:dyDescent="0.2">
      <c r="A779" s="5">
        <v>718</v>
      </c>
      <c r="B779" s="138">
        <f>'Expenditures 15-22'!D36</f>
        <v>7423</v>
      </c>
      <c r="D779" s="2" t="str">
        <f t="shared" si="11"/>
        <v>Error?</v>
      </c>
    </row>
    <row r="780" spans="1:4" x14ac:dyDescent="0.2">
      <c r="A780" s="5">
        <v>719</v>
      </c>
      <c r="B780" s="138">
        <f>'Expenditures 15-22'!D37</f>
        <v>28927</v>
      </c>
      <c r="D780" s="2" t="str">
        <f t="shared" si="11"/>
        <v>Error?</v>
      </c>
    </row>
    <row r="781" spans="1:4" x14ac:dyDescent="0.2">
      <c r="A781" s="5">
        <v>720</v>
      </c>
      <c r="B781" s="138">
        <f>'Expenditures 15-22'!D38</f>
        <v>16965</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53315</v>
      </c>
      <c r="C785" s="2" t="s">
        <v>594</v>
      </c>
      <c r="D785" s="2" t="str">
        <f t="shared" si="11"/>
        <v>Error?</v>
      </c>
    </row>
    <row r="786" spans="1:4" x14ac:dyDescent="0.2">
      <c r="A786" s="5">
        <v>725</v>
      </c>
      <c r="B786" s="138">
        <f>'Expenditures 15-22'!D44</f>
        <v>1363</v>
      </c>
      <c r="D786" s="2" t="str">
        <f t="shared" si="11"/>
        <v>Error?</v>
      </c>
    </row>
    <row r="787" spans="1:4" x14ac:dyDescent="0.2">
      <c r="A787" s="5">
        <v>726</v>
      </c>
      <c r="B787" s="138">
        <f>'Expenditures 15-22'!D45</f>
        <v>29821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31184</v>
      </c>
      <c r="C789" s="2" t="s">
        <v>594</v>
      </c>
      <c r="D789" s="2" t="str">
        <f t="shared" si="11"/>
        <v>Error?</v>
      </c>
    </row>
    <row r="790" spans="1:4" x14ac:dyDescent="0.2">
      <c r="A790" s="5">
        <v>729</v>
      </c>
      <c r="B790" s="138">
        <f>'Expenditures 15-22'!D49</f>
        <v>900</v>
      </c>
      <c r="D790" s="2" t="str">
        <f t="shared" si="11"/>
        <v>Error?</v>
      </c>
    </row>
    <row r="791" spans="1:4" x14ac:dyDescent="0.2">
      <c r="A791" s="5">
        <v>730</v>
      </c>
      <c r="B791" s="138">
        <f>'Expenditures 15-22'!D50</f>
        <v>11652</v>
      </c>
      <c r="D791" s="2" t="str">
        <f t="shared" si="11"/>
        <v>Error?</v>
      </c>
    </row>
    <row r="792" spans="1:4" x14ac:dyDescent="0.2">
      <c r="A792" s="5">
        <v>731</v>
      </c>
      <c r="B792" s="138">
        <f>'Expenditures 15-22'!D53</f>
        <v>12554</v>
      </c>
      <c r="C792" s="2" t="s">
        <v>594</v>
      </c>
      <c r="D792" s="2" t="str">
        <f t="shared" si="11"/>
        <v>Error?</v>
      </c>
    </row>
    <row r="793" spans="1:4" x14ac:dyDescent="0.2">
      <c r="A793" s="5">
        <v>732</v>
      </c>
      <c r="B793" s="138">
        <f>'Expenditures 15-22'!D55</f>
        <v>73197</v>
      </c>
      <c r="D793" s="2" t="str">
        <f t="shared" si="11"/>
        <v>Error?</v>
      </c>
    </row>
    <row r="794" spans="1:4" x14ac:dyDescent="0.2">
      <c r="A794" s="5">
        <v>733</v>
      </c>
      <c r="B794" s="138">
        <f>'Expenditures 15-22'!D56</f>
        <v>0</v>
      </c>
      <c r="D794" s="2" t="str">
        <f t="shared" si="11"/>
        <v>Error?</v>
      </c>
    </row>
    <row r="795" spans="1:4" x14ac:dyDescent="0.2">
      <c r="A795" s="5">
        <v>734</v>
      </c>
      <c r="B795" s="138">
        <f>'Expenditures 15-22'!D57</f>
        <v>73197</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19206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33982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53188</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223438</v>
      </c>
      <c r="C813" s="2" t="s">
        <v>594</v>
      </c>
      <c r="D813" s="2" t="str">
        <f t="shared" si="11"/>
        <v>Error?</v>
      </c>
    </row>
    <row r="814" spans="1:4" x14ac:dyDescent="0.2">
      <c r="A814" s="5">
        <v>753</v>
      </c>
      <c r="B814" s="138">
        <f>'Expenditures 15-22'!D75</f>
        <v>46</v>
      </c>
      <c r="D814" s="2" t="str">
        <f t="shared" si="11"/>
        <v>Error?</v>
      </c>
    </row>
    <row r="815" spans="1:4" x14ac:dyDescent="0.2">
      <c r="A815" s="5">
        <v>754</v>
      </c>
      <c r="B815" s="138">
        <f>'Expenditures 15-22'!D114</f>
        <v>867149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30612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19303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58373</v>
      </c>
      <c r="C836" s="2" t="s">
        <v>594</v>
      </c>
      <c r="D836" s="2" t="str">
        <f t="shared" si="12"/>
        <v>Error?</v>
      </c>
    </row>
    <row r="837" spans="1:4" x14ac:dyDescent="0.2">
      <c r="A837" s="5">
        <v>776</v>
      </c>
      <c r="B837" s="138">
        <f>'Expenditures 15-22'!E36</f>
        <v>303</v>
      </c>
      <c r="D837" s="2" t="str">
        <f t="shared" si="12"/>
        <v>Error?</v>
      </c>
    </row>
    <row r="838" spans="1:4" x14ac:dyDescent="0.2">
      <c r="A838" s="5">
        <v>777</v>
      </c>
      <c r="B838" s="138">
        <f>'Expenditures 15-22'!E37</f>
        <v>0</v>
      </c>
      <c r="D838" s="2" t="str">
        <f t="shared" si="12"/>
        <v>Error?</v>
      </c>
    </row>
    <row r="839" spans="1:4" x14ac:dyDescent="0.2">
      <c r="A839" s="5">
        <v>778</v>
      </c>
      <c r="B839" s="138">
        <f>'Expenditures 15-22'!E38</f>
        <v>360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2248</v>
      </c>
      <c r="D842" s="2" t="str">
        <f t="shared" si="12"/>
        <v>Error?</v>
      </c>
    </row>
    <row r="843" spans="1:4" x14ac:dyDescent="0.2">
      <c r="A843" s="5">
        <v>782</v>
      </c>
      <c r="B843" s="138">
        <f>'Expenditures 15-22'!E42</f>
        <v>2911</v>
      </c>
      <c r="C843" s="2" t="s">
        <v>594</v>
      </c>
      <c r="D843" s="2" t="str">
        <f t="shared" si="12"/>
        <v>Error?</v>
      </c>
    </row>
    <row r="844" spans="1:4" x14ac:dyDescent="0.2">
      <c r="A844" s="5">
        <v>783</v>
      </c>
      <c r="B844" s="138">
        <f>'Expenditures 15-22'!E44</f>
        <v>25303</v>
      </c>
      <c r="D844" s="2" t="str">
        <f t="shared" si="12"/>
        <v>Error?</v>
      </c>
    </row>
    <row r="845" spans="1:4" x14ac:dyDescent="0.2">
      <c r="A845" s="5">
        <v>784</v>
      </c>
      <c r="B845" s="138">
        <f>'Expenditures 15-22'!E45</f>
        <v>13588</v>
      </c>
      <c r="D845" s="2" t="str">
        <f t="shared" si="12"/>
        <v>Error?</v>
      </c>
    </row>
    <row r="846" spans="1:4" x14ac:dyDescent="0.2">
      <c r="A846" s="5">
        <v>785</v>
      </c>
      <c r="B846" s="138">
        <f>'Expenditures 15-22'!E46</f>
        <v>530</v>
      </c>
      <c r="D846" s="2" t="str">
        <f t="shared" si="12"/>
        <v>Error?</v>
      </c>
    </row>
    <row r="847" spans="1:4" x14ac:dyDescent="0.2">
      <c r="A847" s="5">
        <v>786</v>
      </c>
      <c r="B847" s="138">
        <f>'Expenditures 15-22'!E47</f>
        <v>39421</v>
      </c>
      <c r="C847" s="2" t="s">
        <v>594</v>
      </c>
      <c r="D847" s="2" t="str">
        <f t="shared" si="12"/>
        <v>Error?</v>
      </c>
    </row>
    <row r="848" spans="1:4" x14ac:dyDescent="0.2">
      <c r="A848" s="5">
        <v>787</v>
      </c>
      <c r="B848" s="138">
        <f>'Expenditures 15-22'!E49</f>
        <v>71009</v>
      </c>
      <c r="D848" s="2" t="str">
        <f t="shared" si="12"/>
        <v>Error?</v>
      </c>
    </row>
    <row r="849" spans="1:4" x14ac:dyDescent="0.2">
      <c r="A849" s="5">
        <v>788</v>
      </c>
      <c r="B849" s="138">
        <f>'Expenditures 15-22'!E50</f>
        <v>2819</v>
      </c>
      <c r="D849" s="2" t="str">
        <f t="shared" si="12"/>
        <v>Error?</v>
      </c>
    </row>
    <row r="850" spans="1:4" x14ac:dyDescent="0.2">
      <c r="A850" s="5">
        <v>789</v>
      </c>
      <c r="B850" s="138">
        <f>'Expenditures 15-22'!E53</f>
        <v>73828</v>
      </c>
      <c r="C850" s="2" t="s">
        <v>594</v>
      </c>
      <c r="D850" s="2" t="str">
        <f t="shared" si="12"/>
        <v>Error?</v>
      </c>
    </row>
    <row r="851" spans="1:4" x14ac:dyDescent="0.2">
      <c r="A851" s="5">
        <v>790</v>
      </c>
      <c r="B851" s="138">
        <f>'Expenditures 15-22'!E55</f>
        <v>1709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1709</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39962</v>
      </c>
      <c r="D855" s="2" t="str">
        <f t="shared" si="12"/>
        <v>Error?</v>
      </c>
    </row>
    <row r="856" spans="1:4" x14ac:dyDescent="0.2">
      <c r="A856" s="5">
        <v>795</v>
      </c>
      <c r="B856" s="138">
        <f>'Expenditures 15-22'!E61</f>
        <v>0</v>
      </c>
      <c r="D856" s="2" t="str">
        <f t="shared" si="12"/>
        <v>Error?</v>
      </c>
    </row>
    <row r="857" spans="1:4" x14ac:dyDescent="0.2">
      <c r="A857" s="5">
        <v>796</v>
      </c>
      <c r="B857" s="138">
        <f>'Expenditures 15-22'!E62</f>
        <v>753</v>
      </c>
      <c r="D857" s="2" t="str">
        <f t="shared" si="12"/>
        <v>Error?</v>
      </c>
    </row>
    <row r="858" spans="1:4" x14ac:dyDescent="0.2">
      <c r="A858" s="5">
        <v>797</v>
      </c>
      <c r="B858" s="138">
        <f>'Expenditures 15-22'!E63</f>
        <v>4384</v>
      </c>
      <c r="D858" s="2" t="str">
        <f t="shared" si="12"/>
        <v>Error?</v>
      </c>
    </row>
    <row r="859" spans="1:4" x14ac:dyDescent="0.2">
      <c r="A859" s="5">
        <v>798</v>
      </c>
      <c r="B859" s="138">
        <f>'Expenditures 15-22'!E64</f>
        <v>12056</v>
      </c>
      <c r="D859" s="2" t="str">
        <f t="shared" si="12"/>
        <v>Error?</v>
      </c>
    </row>
    <row r="860" spans="1:4" x14ac:dyDescent="0.2">
      <c r="A860" s="10">
        <v>799</v>
      </c>
      <c r="D860" s="2" t="str">
        <f t="shared" si="12"/>
        <v>OK</v>
      </c>
    </row>
    <row r="861" spans="1:4" x14ac:dyDescent="0.2">
      <c r="A861" s="5">
        <v>800</v>
      </c>
      <c r="B861" s="138">
        <f>'Expenditures 15-22'!E65</f>
        <v>57155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175024</v>
      </c>
      <c r="C871" s="2" t="s">
        <v>594</v>
      </c>
      <c r="D871" s="2" t="str">
        <f t="shared" si="12"/>
        <v>Error?</v>
      </c>
    </row>
    <row r="872" spans="1:4" x14ac:dyDescent="0.2">
      <c r="A872" s="5">
        <v>811</v>
      </c>
      <c r="B872" s="138">
        <f>'Expenditures 15-22'!E75</f>
        <v>96</v>
      </c>
      <c r="D872" s="2" t="str">
        <f t="shared" si="12"/>
        <v>Error?</v>
      </c>
    </row>
    <row r="873" spans="1:4" x14ac:dyDescent="0.2">
      <c r="A873" s="5">
        <v>812</v>
      </c>
      <c r="B873" s="138">
        <f>'Expenditures 15-22'!E114</f>
        <v>1684883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53667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42017</v>
      </c>
      <c r="D891" s="2" t="str">
        <f t="shared" si="12"/>
        <v>Error?</v>
      </c>
    </row>
    <row r="892" spans="1:4" x14ac:dyDescent="0.2">
      <c r="A892" s="5">
        <v>831</v>
      </c>
      <c r="B892" s="138">
        <f>'Expenditures 15-22'!F14</f>
        <v>3287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181980</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9367</v>
      </c>
      <c r="D896" s="2" t="str">
        <f t="shared" si="13"/>
        <v>Error?</v>
      </c>
    </row>
    <row r="897" spans="1:4" x14ac:dyDescent="0.2">
      <c r="A897" s="5">
        <v>836</v>
      </c>
      <c r="B897" s="138">
        <f>'Expenditures 15-22'!F38</f>
        <v>2678</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12045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170738</v>
      </c>
      <c r="D903" s="2" t="str">
        <f t="shared" si="13"/>
        <v>Error?</v>
      </c>
    </row>
    <row r="904" spans="1:4" x14ac:dyDescent="0.2">
      <c r="A904" s="5">
        <v>843</v>
      </c>
      <c r="B904" s="138">
        <f>'Expenditures 15-22'!F46</f>
        <v>537</v>
      </c>
      <c r="D904" s="2" t="str">
        <f t="shared" si="13"/>
        <v>Error?</v>
      </c>
    </row>
    <row r="905" spans="1:4" x14ac:dyDescent="0.2">
      <c r="A905" s="5">
        <v>844</v>
      </c>
      <c r="B905" s="138">
        <f>'Expenditures 15-22'!F47</f>
        <v>171275</v>
      </c>
      <c r="C905" s="2" t="s">
        <v>594</v>
      </c>
      <c r="D905" s="2" t="str">
        <f t="shared" si="13"/>
        <v>Error?</v>
      </c>
    </row>
    <row r="906" spans="1:4" x14ac:dyDescent="0.2">
      <c r="A906" s="5">
        <v>845</v>
      </c>
      <c r="B906" s="138">
        <f>'Expenditures 15-22'!F49</f>
        <v>4326</v>
      </c>
      <c r="D906" s="2" t="str">
        <f t="shared" si="13"/>
        <v>Error?</v>
      </c>
    </row>
    <row r="907" spans="1:4" x14ac:dyDescent="0.2">
      <c r="A907" s="5">
        <v>846</v>
      </c>
      <c r="B907" s="138">
        <f>'Expenditures 15-22'!F50</f>
        <v>7650</v>
      </c>
      <c r="D907" s="2" t="str">
        <f t="shared" si="13"/>
        <v>Error?</v>
      </c>
    </row>
    <row r="908" spans="1:4" x14ac:dyDescent="0.2">
      <c r="A908" s="5">
        <v>847</v>
      </c>
      <c r="B908" s="138">
        <f>'Expenditures 15-22'!F53</f>
        <v>12584</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80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260239</v>
      </c>
      <c r="D916" s="2" t="str">
        <f t="shared" si="13"/>
        <v>Error?</v>
      </c>
    </row>
    <row r="917" spans="1:4" x14ac:dyDescent="0.2">
      <c r="A917" s="5">
        <v>856</v>
      </c>
      <c r="B917" s="138">
        <f>'Expenditures 15-22'!F64</f>
        <v>1992</v>
      </c>
      <c r="D917" s="2" t="str">
        <f t="shared" si="13"/>
        <v>Error?</v>
      </c>
    </row>
    <row r="918" spans="1:4" x14ac:dyDescent="0.2">
      <c r="A918" s="10">
        <v>857</v>
      </c>
      <c r="D918" s="2" t="str">
        <f t="shared" si="13"/>
        <v>OK</v>
      </c>
    </row>
    <row r="919" spans="1:4" x14ac:dyDescent="0.2">
      <c r="A919" s="5">
        <v>858</v>
      </c>
      <c r="B919" s="138">
        <f>'Expenditures 15-22'!F65</f>
        <v>262311</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458215</v>
      </c>
      <c r="C929" s="2" t="s">
        <v>594</v>
      </c>
      <c r="D929" s="2" t="str">
        <f t="shared" si="13"/>
        <v>Error?</v>
      </c>
    </row>
    <row r="930" spans="1:4" x14ac:dyDescent="0.2">
      <c r="A930" s="5">
        <v>869</v>
      </c>
      <c r="B930" s="138">
        <f>'Expenditures 15-22'!F75</f>
        <v>1575</v>
      </c>
      <c r="D930" s="2" t="str">
        <f t="shared" si="13"/>
        <v>Error?</v>
      </c>
    </row>
    <row r="931" spans="1:4" x14ac:dyDescent="0.2">
      <c r="A931" s="5">
        <v>870</v>
      </c>
      <c r="B931" s="138">
        <f>'Expenditures 15-22'!F114</f>
        <v>641770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5615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7707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478</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478</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38732</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38732</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5556</v>
      </c>
      <c r="D965" s="2" t="str">
        <f t="shared" si="14"/>
        <v>Error?</v>
      </c>
    </row>
    <row r="966" spans="1:4" x14ac:dyDescent="0.2">
      <c r="A966" s="5">
        <v>905</v>
      </c>
      <c r="B966" s="138">
        <f>'Expenditures 15-22'!G53</f>
        <v>5556</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17788</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17788</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62554</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70261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1117</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8777</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103075</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95</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95</v>
      </c>
      <c r="C1021" s="2" t="s">
        <v>594</v>
      </c>
      <c r="D1021" s="2" t="str">
        <f t="shared" si="14"/>
        <v>Error?</v>
      </c>
    </row>
    <row r="1022" spans="1:4" x14ac:dyDescent="0.2">
      <c r="A1022" s="5">
        <v>961</v>
      </c>
      <c r="B1022" s="138">
        <f>'Expenditures 15-22'!H49</f>
        <v>13956</v>
      </c>
      <c r="D1022" s="2" t="str">
        <f t="shared" si="14"/>
        <v>Error?</v>
      </c>
    </row>
    <row r="1023" spans="1:4" x14ac:dyDescent="0.2">
      <c r="A1023" s="5">
        <v>962</v>
      </c>
      <c r="B1023" s="138">
        <f>'Expenditures 15-22'!H50</f>
        <v>1768</v>
      </c>
      <c r="D1023" s="2" t="str">
        <f t="shared" ref="D1023:D1086" si="15">IF(ISBLANK(B1023),"OK",IF(A1023-B1023=0,"OK","Error?"))</f>
        <v>Error?</v>
      </c>
    </row>
    <row r="1024" spans="1:4" x14ac:dyDescent="0.2">
      <c r="A1024" s="5">
        <v>963</v>
      </c>
      <c r="B1024" s="138">
        <f>'Expenditures 15-22'!H53</f>
        <v>15724</v>
      </c>
      <c r="C1024" s="2" t="s">
        <v>594</v>
      </c>
      <c r="D1024" s="2" t="str">
        <f t="shared" si="15"/>
        <v>Error?</v>
      </c>
    </row>
    <row r="1025" spans="1:4" x14ac:dyDescent="0.2">
      <c r="A1025" s="5">
        <v>964</v>
      </c>
      <c r="B1025" s="138">
        <f>'Expenditures 15-22'!H55</f>
        <v>815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815</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885</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885</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17519</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7049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127643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4500873</v>
      </c>
      <c r="C1093" s="2" t="s">
        <v>594</v>
      </c>
      <c r="D1093" s="2" t="str">
        <f t="shared" si="16"/>
        <v>Error?</v>
      </c>
    </row>
    <row r="1094" spans="1:4" x14ac:dyDescent="0.2">
      <c r="A1094" s="5">
        <v>1033</v>
      </c>
      <c r="B1094" s="138">
        <f>'Expenditures 15-22'!K16</f>
        <v>3</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260075</v>
      </c>
      <c r="C1105" s="2" t="s">
        <v>594</v>
      </c>
      <c r="D1105" s="2" t="str">
        <f t="shared" si="16"/>
        <v>Error?</v>
      </c>
    </row>
    <row r="1106" spans="1:4" x14ac:dyDescent="0.2">
      <c r="A1106" s="5">
        <v>1045</v>
      </c>
      <c r="B1106" s="138">
        <f>'Expenditures 15-22'!K14</f>
        <v>225048</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5653955</v>
      </c>
      <c r="C1108" s="2" t="s">
        <v>594</v>
      </c>
      <c r="D1108" s="2" t="str">
        <f t="shared" si="16"/>
        <v>Error?</v>
      </c>
    </row>
    <row r="1109" spans="1:4" x14ac:dyDescent="0.2">
      <c r="A1109" s="5">
        <v>1048</v>
      </c>
      <c r="B1109" s="138">
        <f>'Expenditures 15-22'!K36</f>
        <v>63559</v>
      </c>
      <c r="C1109" s="2" t="s">
        <v>594</v>
      </c>
      <c r="D1109" s="2" t="str">
        <f t="shared" si="16"/>
        <v>Error?</v>
      </c>
    </row>
    <row r="1110" spans="1:4" x14ac:dyDescent="0.2">
      <c r="A1110" s="5">
        <v>1049</v>
      </c>
      <c r="B1110" s="138">
        <f>'Expenditures 15-22'!K37</f>
        <v>257007</v>
      </c>
      <c r="C1110" s="2" t="s">
        <v>594</v>
      </c>
      <c r="D1110" s="2" t="str">
        <f t="shared" si="16"/>
        <v>Error?</v>
      </c>
    </row>
    <row r="1111" spans="1:4" x14ac:dyDescent="0.2">
      <c r="A1111" s="5">
        <v>1050</v>
      </c>
      <c r="B1111" s="138">
        <f>'Expenditures 15-22'!K38</f>
        <v>153215</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6985</v>
      </c>
      <c r="C1114" s="2" t="s">
        <v>594</v>
      </c>
      <c r="D1114" s="2" t="str">
        <f t="shared" si="16"/>
        <v>Error?</v>
      </c>
    </row>
    <row r="1115" spans="1:4" x14ac:dyDescent="0.2">
      <c r="A1115" s="5">
        <v>1054</v>
      </c>
      <c r="B1115" s="138">
        <f>'Expenditures 15-22'!K42</f>
        <v>480766</v>
      </c>
      <c r="C1115" s="2" t="s">
        <v>594</v>
      </c>
      <c r="D1115" s="2" t="str">
        <f t="shared" si="16"/>
        <v>Error?</v>
      </c>
    </row>
    <row r="1116" spans="1:4" x14ac:dyDescent="0.2">
      <c r="A1116" s="5">
        <v>1055</v>
      </c>
      <c r="B1116" s="138">
        <f>'Expenditures 15-22'!K44</f>
        <v>42912</v>
      </c>
      <c r="C1116" s="2" t="s">
        <v>594</v>
      </c>
      <c r="D1116" s="2" t="str">
        <f t="shared" si="16"/>
        <v>Error?</v>
      </c>
    </row>
    <row r="1117" spans="1:4" x14ac:dyDescent="0.2">
      <c r="A1117" s="5">
        <v>1056</v>
      </c>
      <c r="B1117" s="138">
        <f>'Expenditures 15-22'!K45</f>
        <v>506836</v>
      </c>
      <c r="C1117" s="2" t="s">
        <v>594</v>
      </c>
      <c r="D1117" s="2" t="str">
        <f t="shared" si="16"/>
        <v>Error?</v>
      </c>
    </row>
    <row r="1118" spans="1:4" x14ac:dyDescent="0.2">
      <c r="A1118" s="5">
        <v>1057</v>
      </c>
      <c r="B1118" s="138">
        <f>'Expenditures 15-22'!K46</f>
        <v>1067</v>
      </c>
      <c r="C1118" s="2" t="s">
        <v>594</v>
      </c>
      <c r="D1118" s="2" t="str">
        <f t="shared" si="16"/>
        <v>Error?</v>
      </c>
    </row>
    <row r="1119" spans="1:4" x14ac:dyDescent="0.2">
      <c r="A1119" s="5">
        <v>1058</v>
      </c>
      <c r="B1119" s="138">
        <f>'Expenditures 15-22'!K47</f>
        <v>550815</v>
      </c>
      <c r="C1119" s="2" t="s">
        <v>594</v>
      </c>
      <c r="D1119" s="2" t="str">
        <f t="shared" si="16"/>
        <v>Error?</v>
      </c>
    </row>
    <row r="1120" spans="1:4" x14ac:dyDescent="0.2">
      <c r="A1120" s="5">
        <v>1059</v>
      </c>
      <c r="B1120" s="138">
        <f>'Expenditures 15-22'!K49</f>
        <v>90624</v>
      </c>
      <c r="C1120" s="2" t="s">
        <v>594</v>
      </c>
      <c r="D1120" s="2" t="str">
        <f t="shared" si="16"/>
        <v>Error?</v>
      </c>
    </row>
    <row r="1121" spans="1:4" x14ac:dyDescent="0.2">
      <c r="A1121" s="5">
        <v>1060</v>
      </c>
      <c r="B1121" s="138">
        <f>'Expenditures 15-22'!K50</f>
        <v>173352</v>
      </c>
      <c r="C1121" s="2" t="s">
        <v>594</v>
      </c>
      <c r="D1121" s="2" t="str">
        <f t="shared" si="16"/>
        <v>Error?</v>
      </c>
    </row>
    <row r="1122" spans="1:4" x14ac:dyDescent="0.2">
      <c r="A1122" s="5">
        <v>1061</v>
      </c>
      <c r="B1122" s="138">
        <f>'Expenditures 15-22'!K53</f>
        <v>269501</v>
      </c>
      <c r="C1122" s="2" t="s">
        <v>594</v>
      </c>
      <c r="D1122" s="2" t="str">
        <f t="shared" si="16"/>
        <v>Error?</v>
      </c>
    </row>
    <row r="1123" spans="1:4" x14ac:dyDescent="0.2">
      <c r="A1123" s="5">
        <v>1062</v>
      </c>
      <c r="B1123" s="138">
        <f>'Expenditures 15-22'!K55</f>
        <v>543225</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543225</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170823</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753</v>
      </c>
      <c r="C1129" s="2" t="s">
        <v>594</v>
      </c>
      <c r="D1129" s="2" t="str">
        <f t="shared" si="16"/>
        <v>Error?</v>
      </c>
    </row>
    <row r="1130" spans="1:4" x14ac:dyDescent="0.2">
      <c r="A1130" s="5">
        <v>1069</v>
      </c>
      <c r="B1130" s="138">
        <f>'Expenditures 15-22'!K63</f>
        <v>499987</v>
      </c>
      <c r="C1130" s="2" t="s">
        <v>594</v>
      </c>
      <c r="D1130" s="2" t="str">
        <f t="shared" si="16"/>
        <v>Error?</v>
      </c>
    </row>
    <row r="1131" spans="1:4" x14ac:dyDescent="0.2">
      <c r="A1131" s="5">
        <v>1070</v>
      </c>
      <c r="B1131" s="138">
        <f>'Expenditures 15-22'!K64</f>
        <v>14048</v>
      </c>
      <c r="C1131" s="2" t="s">
        <v>594</v>
      </c>
      <c r="D1131" s="2" t="str">
        <f t="shared" si="16"/>
        <v>Error?</v>
      </c>
    </row>
    <row r="1132" spans="1:4" x14ac:dyDescent="0.2">
      <c r="A1132" s="10">
        <v>1071</v>
      </c>
      <c r="D1132" s="2" t="str">
        <f t="shared" si="16"/>
        <v>OK</v>
      </c>
    </row>
    <row r="1133" spans="1:4" x14ac:dyDescent="0.2">
      <c r="A1133" s="5">
        <v>1072</v>
      </c>
      <c r="B1133" s="138">
        <f>'Expenditures 15-22'!K65</f>
        <v>685611</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2529918</v>
      </c>
      <c r="C1143" s="2" t="s">
        <v>594</v>
      </c>
      <c r="D1143" s="2" t="str">
        <f t="shared" si="16"/>
        <v>Error?</v>
      </c>
    </row>
    <row r="1144" spans="1:4" x14ac:dyDescent="0.2">
      <c r="A1144" s="5">
        <v>1083</v>
      </c>
      <c r="B1144" s="138">
        <f>'Expenditures 15-22'!K75</f>
        <v>3145</v>
      </c>
      <c r="C1144" s="2" t="s">
        <v>594</v>
      </c>
      <c r="D1144" s="2" t="str">
        <f t="shared" si="16"/>
        <v>Error?</v>
      </c>
    </row>
    <row r="1145" spans="1:4" x14ac:dyDescent="0.2">
      <c r="A1145" s="5">
        <v>1084</v>
      </c>
      <c r="B1145" s="138">
        <f>'Expenditures 15-22'!K102</f>
        <v>1458439</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9645457</v>
      </c>
      <c r="C1152" s="2" t="s">
        <v>594</v>
      </c>
      <c r="D1152" s="2" t="str">
        <f t="shared" si="17"/>
        <v>Error?</v>
      </c>
    </row>
    <row r="1153" spans="1:4" x14ac:dyDescent="0.2">
      <c r="A1153" s="5">
        <v>1092</v>
      </c>
      <c r="B1153" s="138">
        <f>'Expenditures 15-22'!K115</f>
        <v>437489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327829</v>
      </c>
      <c r="D1221" s="2" t="str">
        <f t="shared" si="18"/>
        <v>Error?</v>
      </c>
    </row>
    <row r="1222" spans="1:4" x14ac:dyDescent="0.2">
      <c r="A1222" s="10">
        <v>1161</v>
      </c>
      <c r="D1222" s="2" t="str">
        <f t="shared" si="18"/>
        <v>OK</v>
      </c>
    </row>
    <row r="1223" spans="1:4" x14ac:dyDescent="0.2">
      <c r="A1223" s="5">
        <v>1162</v>
      </c>
      <c r="B1223" s="138">
        <f>'Expenditures 15-22'!C127</f>
        <v>327829</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327829</v>
      </c>
      <c r="C1225" s="2" t="s">
        <v>594</v>
      </c>
      <c r="D1225" s="2" t="str">
        <f t="shared" si="18"/>
        <v>Error?</v>
      </c>
    </row>
    <row r="1226" spans="1:4" x14ac:dyDescent="0.2">
      <c r="A1226" s="5">
        <v>1165</v>
      </c>
      <c r="B1226" s="138">
        <f>'Expenditures 15-22'!C151</f>
        <v>327829</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56644</v>
      </c>
      <c r="D1229" s="2" t="str">
        <f t="shared" si="18"/>
        <v>Error?</v>
      </c>
    </row>
    <row r="1230" spans="1:4" x14ac:dyDescent="0.2">
      <c r="A1230" s="10">
        <v>1169</v>
      </c>
      <c r="D1230" s="2" t="str">
        <f t="shared" si="18"/>
        <v>OK</v>
      </c>
    </row>
    <row r="1231" spans="1:4" x14ac:dyDescent="0.2">
      <c r="A1231" s="5">
        <v>1170</v>
      </c>
      <c r="B1231" s="138">
        <f>'Expenditures 15-22'!D127</f>
        <v>56644</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56644</v>
      </c>
      <c r="C1233" s="2" t="s">
        <v>594</v>
      </c>
      <c r="D1233" s="2" t="str">
        <f t="shared" si="18"/>
        <v>Error?</v>
      </c>
    </row>
    <row r="1234" spans="1:4" x14ac:dyDescent="0.2">
      <c r="A1234" s="5">
        <v>1173</v>
      </c>
      <c r="B1234" s="138">
        <f>'Expenditures 15-22'!D151</f>
        <v>56644</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178191</v>
      </c>
      <c r="D1237" s="2" t="str">
        <f t="shared" si="18"/>
        <v>Error?</v>
      </c>
    </row>
    <row r="1238" spans="1:4" x14ac:dyDescent="0.2">
      <c r="A1238" s="10">
        <v>1177</v>
      </c>
      <c r="D1238" s="2" t="str">
        <f t="shared" si="18"/>
        <v>OK</v>
      </c>
    </row>
    <row r="1239" spans="1:4" x14ac:dyDescent="0.2">
      <c r="A1239" s="5">
        <v>1178</v>
      </c>
      <c r="B1239" s="138">
        <f>'Expenditures 15-22'!E127</f>
        <v>178191</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178191</v>
      </c>
      <c r="C1241" s="2" t="s">
        <v>594</v>
      </c>
      <c r="D1241" s="2" t="str">
        <f t="shared" si="18"/>
        <v>Error?</v>
      </c>
    </row>
    <row r="1242" spans="1:4" x14ac:dyDescent="0.2">
      <c r="A1242" s="5">
        <v>1181</v>
      </c>
      <c r="B1242" s="138">
        <f>'Expenditures 15-22'!E151</f>
        <v>178191</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334255</v>
      </c>
      <c r="D1245" s="2" t="str">
        <f t="shared" si="18"/>
        <v>Error?</v>
      </c>
    </row>
    <row r="1246" spans="1:4" x14ac:dyDescent="0.2">
      <c r="A1246" s="10">
        <v>1185</v>
      </c>
      <c r="D1246" s="2" t="str">
        <f t="shared" si="18"/>
        <v>OK</v>
      </c>
    </row>
    <row r="1247" spans="1:4" x14ac:dyDescent="0.2">
      <c r="A1247" s="5">
        <v>1186</v>
      </c>
      <c r="B1247" s="138">
        <f>'Expenditures 15-22'!F127</f>
        <v>337788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337788</v>
      </c>
      <c r="C1249" s="2" t="s">
        <v>594</v>
      </c>
      <c r="D1249" s="2" t="str">
        <f t="shared" si="18"/>
        <v>Error?</v>
      </c>
    </row>
    <row r="1250" spans="1:4" x14ac:dyDescent="0.2">
      <c r="A1250" s="5">
        <v>1189</v>
      </c>
      <c r="B1250" s="138">
        <f>'Expenditures 15-22'!F151</f>
        <v>337788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896919</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900452</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900452</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900452</v>
      </c>
      <c r="C1288" s="2" t="s">
        <v>594</v>
      </c>
      <c r="D1288" s="2" t="str">
        <f t="shared" si="19"/>
        <v>Error?</v>
      </c>
    </row>
    <row r="1289" spans="1:4" x14ac:dyDescent="0.2">
      <c r="A1289" s="5">
        <v>1228</v>
      </c>
      <c r="B1289" s="138">
        <f>'Expenditures 15-22'!K152</f>
        <v>-15730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88692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913413</v>
      </c>
      <c r="D1315" s="2" t="str">
        <f t="shared" si="19"/>
        <v>Error?</v>
      </c>
    </row>
    <row r="1316" spans="1:4" x14ac:dyDescent="0.2">
      <c r="A1316" s="5">
        <v>1255</v>
      </c>
      <c r="B1316" s="138">
        <f>'Expenditures 15-22'!H171</f>
        <v>265</v>
      </c>
      <c r="D1316" s="2" t="str">
        <f t="shared" si="19"/>
        <v>Error?</v>
      </c>
    </row>
    <row r="1317" spans="1:4" x14ac:dyDescent="0.2">
      <c r="A1317" s="5">
        <v>1256</v>
      </c>
      <c r="B1317" s="138">
        <f>'Expenditures 15-22'!H172</f>
        <v>1002370</v>
      </c>
      <c r="C1317" s="2" t="s">
        <v>594</v>
      </c>
      <c r="D1317" s="2" t="str">
        <f t="shared" si="19"/>
        <v>Error?</v>
      </c>
    </row>
    <row r="1318" spans="1:4" x14ac:dyDescent="0.2">
      <c r="A1318" s="5">
        <v>1257</v>
      </c>
      <c r="B1318" s="138">
        <f>'Expenditures 15-22'!H174</f>
        <v>1002370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88692</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913413</v>
      </c>
      <c r="C1329" s="2" t="s">
        <v>594</v>
      </c>
      <c r="D1329" s="2" t="str">
        <f t="shared" si="19"/>
        <v>Error?</v>
      </c>
    </row>
    <row r="1330" spans="1:4" x14ac:dyDescent="0.2">
      <c r="A1330" s="5">
        <v>1269</v>
      </c>
      <c r="B1330" s="138">
        <f>'Expenditures 15-22'!K171</f>
        <v>265</v>
      </c>
      <c r="C1330" s="2" t="s">
        <v>594</v>
      </c>
      <c r="D1330" s="2" t="str">
        <f t="shared" si="19"/>
        <v>Error?</v>
      </c>
    </row>
    <row r="1331" spans="1:4" x14ac:dyDescent="0.2">
      <c r="A1331" s="5">
        <v>1270</v>
      </c>
      <c r="B1331" s="138">
        <f>'Expenditures 15-22'!K172</f>
        <v>1002370</v>
      </c>
      <c r="C1331" s="2" t="s">
        <v>594</v>
      </c>
      <c r="D1331" s="2" t="str">
        <f t="shared" si="19"/>
        <v>Error?</v>
      </c>
    </row>
    <row r="1332" spans="1:4" x14ac:dyDescent="0.2">
      <c r="A1332" s="5">
        <v>1271</v>
      </c>
      <c r="B1332" s="138">
        <f>'Expenditures 15-22'!K174</f>
        <v>1002370</v>
      </c>
      <c r="C1332" s="2" t="s">
        <v>594</v>
      </c>
      <c r="D1332" s="2" t="str">
        <f t="shared" si="19"/>
        <v>Error?</v>
      </c>
    </row>
    <row r="1333" spans="1:4" x14ac:dyDescent="0.2">
      <c r="A1333" s="5">
        <v>1272</v>
      </c>
      <c r="B1333" s="138">
        <f>'Expenditures 15-22'!K175</f>
        <v>-4469</v>
      </c>
      <c r="C1333" s="2" t="s">
        <v>594</v>
      </c>
      <c r="D1333" s="2" t="str">
        <f t="shared" si="19"/>
        <v>Error?</v>
      </c>
    </row>
    <row r="1334" spans="1:4" x14ac:dyDescent="0.2">
      <c r="A1334" s="10">
        <v>1273</v>
      </c>
      <c r="D1334" s="2" t="str">
        <f t="shared" si="19"/>
        <v>OK</v>
      </c>
    </row>
    <row r="1335" spans="1:4" x14ac:dyDescent="0.2">
      <c r="A1335" s="5">
        <v>1274</v>
      </c>
      <c r="B1335" s="138">
        <f>'Expenditures 15-22'!C182</f>
        <v>420770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420770</v>
      </c>
      <c r="C1339" s="2" t="s">
        <v>594</v>
      </c>
      <c r="D1339" s="2" t="str">
        <f t="shared" si="19"/>
        <v>Error?</v>
      </c>
    </row>
    <row r="1340" spans="1:4" x14ac:dyDescent="0.2">
      <c r="A1340" s="5">
        <v>1279</v>
      </c>
      <c r="B1340" s="138">
        <f>'Expenditures 15-22'!C210</f>
        <v>420770</v>
      </c>
      <c r="C1340" s="2" t="s">
        <v>594</v>
      </c>
      <c r="D1340" s="2" t="str">
        <f t="shared" si="19"/>
        <v>Error?</v>
      </c>
    </row>
    <row r="1341" spans="1:4" x14ac:dyDescent="0.2">
      <c r="A1341" s="5">
        <v>1280</v>
      </c>
      <c r="B1341" s="138">
        <f>'Expenditures 15-22'!D182</f>
        <v>15957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15957</v>
      </c>
      <c r="C1345" s="2" t="s">
        <v>594</v>
      </c>
      <c r="D1345" s="2" t="str">
        <f t="shared" si="20"/>
        <v>Error?</v>
      </c>
    </row>
    <row r="1346" spans="1:4" x14ac:dyDescent="0.2">
      <c r="A1346" s="5">
        <v>1285</v>
      </c>
      <c r="B1346" s="138">
        <f>'Expenditures 15-22'!D210</f>
        <v>15957</v>
      </c>
      <c r="C1346" s="2" t="s">
        <v>594</v>
      </c>
      <c r="D1346" s="2" t="str">
        <f t="shared" si="20"/>
        <v>Error?</v>
      </c>
    </row>
    <row r="1347" spans="1:4" x14ac:dyDescent="0.2">
      <c r="A1347" s="5">
        <v>1286</v>
      </c>
      <c r="B1347" s="138">
        <f>'Expenditures 15-22'!E182</f>
        <v>18198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18198</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18198</v>
      </c>
      <c r="C1353" s="2" t="s">
        <v>594</v>
      </c>
      <c r="D1353" s="2" t="str">
        <f t="shared" si="20"/>
        <v>Error?</v>
      </c>
    </row>
    <row r="1354" spans="1:4" x14ac:dyDescent="0.2">
      <c r="A1354" s="5">
        <v>1293</v>
      </c>
      <c r="B1354" s="138">
        <f>'Expenditures 15-22'!F182</f>
        <v>132704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132704</v>
      </c>
      <c r="C1358" s="2" t="s">
        <v>594</v>
      </c>
      <c r="D1358" s="2" t="str">
        <f t="shared" si="20"/>
        <v>Error?</v>
      </c>
    </row>
    <row r="1359" spans="1:4" x14ac:dyDescent="0.2">
      <c r="A1359" s="5">
        <v>1298</v>
      </c>
      <c r="B1359" s="138">
        <f>'Expenditures 15-22'!F210</f>
        <v>132704</v>
      </c>
      <c r="C1359" s="2" t="s">
        <v>594</v>
      </c>
      <c r="D1359" s="2" t="str">
        <f t="shared" si="20"/>
        <v>Error?</v>
      </c>
    </row>
    <row r="1360" spans="1:4" x14ac:dyDescent="0.2">
      <c r="A1360" s="5">
        <v>1299</v>
      </c>
      <c r="B1360" s="138">
        <f>'Expenditures 15-22'!G182</f>
        <v>78934</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78934</v>
      </c>
      <c r="C1364" s="2" t="s">
        <v>594</v>
      </c>
      <c r="D1364" s="2" t="str">
        <f t="shared" si="20"/>
        <v>Error?</v>
      </c>
    </row>
    <row r="1365" spans="1:4" x14ac:dyDescent="0.2">
      <c r="A1365" s="5">
        <v>1304</v>
      </c>
      <c r="B1365" s="138">
        <f>'Expenditures 15-22'!G210</f>
        <v>78934</v>
      </c>
      <c r="C1365" s="2" t="s">
        <v>594</v>
      </c>
      <c r="D1365" s="2" t="str">
        <f t="shared" si="20"/>
        <v>Error?</v>
      </c>
    </row>
    <row r="1366" spans="1:4" x14ac:dyDescent="0.2">
      <c r="A1366" s="5">
        <v>1305</v>
      </c>
      <c r="B1366" s="138">
        <f>'Expenditures 15-22'!H182</f>
        <v>164</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164</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164</v>
      </c>
      <c r="C1376" s="2" t="s">
        <v>594</v>
      </c>
      <c r="D1376" s="2" t="str">
        <f t="shared" si="20"/>
        <v>Error?</v>
      </c>
    </row>
    <row r="1377" spans="1:4" x14ac:dyDescent="0.2">
      <c r="A1377" s="5">
        <v>1316</v>
      </c>
      <c r="B1377" s="138">
        <f>'Expenditures 15-22'!K182</f>
        <v>666727</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666727</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666727</v>
      </c>
      <c r="C1388" s="2" t="s">
        <v>594</v>
      </c>
      <c r="D1388" s="2" t="str">
        <f t="shared" si="20"/>
        <v>Error?</v>
      </c>
    </row>
    <row r="1389" spans="1:4" x14ac:dyDescent="0.2">
      <c r="A1389" s="5">
        <v>1328</v>
      </c>
      <c r="B1389" s="138">
        <f>'Expenditures 15-22'!K211</f>
        <v>79767</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6</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2692</v>
      </c>
      <c r="D1407" s="2" t="str">
        <f t="shared" ref="D1407:D1470" si="21">IF(ISBLANK(B1407),"OK",IF(A1407-B1407=0,"OK","Error?"))</f>
        <v>Error?</v>
      </c>
    </row>
    <row r="1408" spans="1:4" x14ac:dyDescent="0.2">
      <c r="A1408" s="5">
        <v>1347</v>
      </c>
      <c r="B1408" s="138">
        <f>'Expenditures 15-22'!D223</f>
        <v>3924</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94330</v>
      </c>
      <c r="C1410" s="2" t="s">
        <v>594</v>
      </c>
      <c r="D1410" s="2" t="str">
        <f t="shared" si="21"/>
        <v>Error?</v>
      </c>
    </row>
    <row r="1411" spans="1:4" x14ac:dyDescent="0.2">
      <c r="A1411" s="5">
        <v>1350</v>
      </c>
      <c r="B1411" s="138">
        <f>'Expenditures 15-22'!D232</f>
        <v>798</v>
      </c>
      <c r="D1411" s="2" t="str">
        <f t="shared" si="21"/>
        <v>Error?</v>
      </c>
    </row>
    <row r="1412" spans="1:4" x14ac:dyDescent="0.2">
      <c r="A1412" s="5">
        <v>1351</v>
      </c>
      <c r="B1412" s="138">
        <f>'Expenditures 15-22'!D233</f>
        <v>5943</v>
      </c>
      <c r="D1412" s="2" t="str">
        <f t="shared" si="21"/>
        <v>Error?</v>
      </c>
    </row>
    <row r="1413" spans="1:4" x14ac:dyDescent="0.2">
      <c r="A1413" s="5">
        <v>1352</v>
      </c>
      <c r="B1413" s="138">
        <f>'Expenditures 15-22'!D234</f>
        <v>1756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363</v>
      </c>
      <c r="D1416" s="2" t="str">
        <f t="shared" si="21"/>
        <v>Error?</v>
      </c>
    </row>
    <row r="1417" spans="1:4" x14ac:dyDescent="0.2">
      <c r="A1417" s="5">
        <v>1356</v>
      </c>
      <c r="B1417" s="138">
        <f>'Expenditures 15-22'!D238</f>
        <v>8860</v>
      </c>
      <c r="C1417" s="2" t="s">
        <v>594</v>
      </c>
      <c r="D1417" s="2" t="str">
        <f t="shared" si="21"/>
        <v>Error?</v>
      </c>
    </row>
    <row r="1418" spans="1:4" x14ac:dyDescent="0.2">
      <c r="A1418" s="5">
        <v>1357</v>
      </c>
      <c r="B1418" s="138">
        <f>'Expenditures 15-22'!D240</f>
        <v>234</v>
      </c>
      <c r="D1418" s="2" t="str">
        <f t="shared" si="21"/>
        <v>Error?</v>
      </c>
    </row>
    <row r="1419" spans="1:4" x14ac:dyDescent="0.2">
      <c r="A1419" s="5">
        <v>1358</v>
      </c>
      <c r="B1419" s="138">
        <f>'Expenditures 15-22'!D241</f>
        <v>34918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35152</v>
      </c>
      <c r="C1421" s="2" t="s">
        <v>594</v>
      </c>
      <c r="D1421" s="2" t="str">
        <f t="shared" si="21"/>
        <v>Error?</v>
      </c>
    </row>
    <row r="1422" spans="1:4" x14ac:dyDescent="0.2">
      <c r="A1422" s="5">
        <v>1361</v>
      </c>
      <c r="B1422" s="138">
        <f>'Expenditures 15-22'!D245</f>
        <v>6350</v>
      </c>
      <c r="D1422" s="2" t="str">
        <f t="shared" si="21"/>
        <v>Error?</v>
      </c>
    </row>
    <row r="1423" spans="1:4" x14ac:dyDescent="0.2">
      <c r="A1423" s="5">
        <v>1362</v>
      </c>
      <c r="B1423" s="138">
        <f>'Expenditures 15-22'!D246</f>
        <v>7951</v>
      </c>
      <c r="D1423" s="2" t="str">
        <f t="shared" si="21"/>
        <v>Error?</v>
      </c>
    </row>
    <row r="1424" spans="1:4" x14ac:dyDescent="0.2">
      <c r="A1424" s="5">
        <v>1363</v>
      </c>
      <c r="B1424" s="138">
        <f>'Expenditures 15-22'!D257</f>
        <v>15212</v>
      </c>
      <c r="C1424" s="2" t="s">
        <v>594</v>
      </c>
      <c r="D1424" s="2" t="str">
        <f t="shared" si="21"/>
        <v>Error?</v>
      </c>
    </row>
    <row r="1425" spans="1:4" x14ac:dyDescent="0.2">
      <c r="A1425" s="5">
        <v>1364</v>
      </c>
      <c r="B1425" s="138">
        <f>'Expenditures 15-22'!D259</f>
        <v>38299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38299</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20906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58973</v>
      </c>
      <c r="D1431" s="2" t="str">
        <f t="shared" si="21"/>
        <v>Error?</v>
      </c>
    </row>
    <row r="1432" spans="1:4" x14ac:dyDescent="0.2">
      <c r="A1432" s="5">
        <v>1371</v>
      </c>
      <c r="B1432" s="138">
        <f>'Expenditures 15-22'!D267</f>
        <v>73806</v>
      </c>
      <c r="D1432" s="2" t="str">
        <f t="shared" si="21"/>
        <v>Error?</v>
      </c>
    </row>
    <row r="1433" spans="1:4" x14ac:dyDescent="0.2">
      <c r="A1433" s="5">
        <v>1372</v>
      </c>
      <c r="B1433" s="138">
        <f>'Expenditures 15-22'!D268</f>
        <v>34300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187985</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285508</v>
      </c>
      <c r="C1446" s="2" t="s">
        <v>594</v>
      </c>
      <c r="D1446" s="2" t="str">
        <f t="shared" si="21"/>
        <v>Error?</v>
      </c>
    </row>
    <row r="1447" spans="1:4" x14ac:dyDescent="0.2">
      <c r="A1447" s="5">
        <v>1386</v>
      </c>
      <c r="B1447" s="138">
        <f>'Expenditures 15-22'!D280</f>
        <v>35</v>
      </c>
      <c r="D1447" s="2" t="str">
        <f t="shared" si="21"/>
        <v>Error?</v>
      </c>
    </row>
    <row r="1448" spans="1:4" x14ac:dyDescent="0.2">
      <c r="A1448" s="5">
        <v>1387</v>
      </c>
      <c r="B1448" s="138">
        <f>'Expenditures 15-22'!D295</f>
        <v>379873</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6</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2692</v>
      </c>
      <c r="C1471" s="2" t="s">
        <v>594</v>
      </c>
      <c r="D1471" s="2" t="str">
        <f t="shared" ref="D1471:D1534" si="22">IF(ISBLANK(B1471),"OK",IF(A1471-B1471=0,"OK","Error?"))</f>
        <v>Error?</v>
      </c>
    </row>
    <row r="1472" spans="1:4" x14ac:dyDescent="0.2">
      <c r="A1472" s="5">
        <v>1411</v>
      </c>
      <c r="B1472" s="138">
        <f>'Expenditures 15-22'!K223</f>
        <v>3924</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94330</v>
      </c>
      <c r="C1474" s="2" t="s">
        <v>594</v>
      </c>
      <c r="D1474" s="2" t="str">
        <f t="shared" si="22"/>
        <v>Error?</v>
      </c>
    </row>
    <row r="1475" spans="1:4" x14ac:dyDescent="0.2">
      <c r="A1475" s="5">
        <v>1414</v>
      </c>
      <c r="B1475" s="138">
        <f>'Expenditures 15-22'!K232</f>
        <v>798</v>
      </c>
      <c r="C1475" s="2" t="s">
        <v>594</v>
      </c>
      <c r="D1475" s="2" t="str">
        <f t="shared" si="22"/>
        <v>Error?</v>
      </c>
    </row>
    <row r="1476" spans="1:4" x14ac:dyDescent="0.2">
      <c r="A1476" s="5">
        <v>1415</v>
      </c>
      <c r="B1476" s="138">
        <f>'Expenditures 15-22'!K233</f>
        <v>5943</v>
      </c>
      <c r="C1476" s="2" t="s">
        <v>594</v>
      </c>
      <c r="D1476" s="2" t="str">
        <f t="shared" si="22"/>
        <v>Error?</v>
      </c>
    </row>
    <row r="1477" spans="1:4" x14ac:dyDescent="0.2">
      <c r="A1477" s="5">
        <v>1416</v>
      </c>
      <c r="B1477" s="138">
        <f>'Expenditures 15-22'!K234</f>
        <v>1756</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363</v>
      </c>
      <c r="C1480" s="2" t="s">
        <v>594</v>
      </c>
      <c r="D1480" s="2" t="str">
        <f t="shared" si="22"/>
        <v>Error?</v>
      </c>
    </row>
    <row r="1481" spans="1:4" x14ac:dyDescent="0.2">
      <c r="A1481" s="5">
        <v>1420</v>
      </c>
      <c r="B1481" s="138">
        <f>'Expenditures 15-22'!K238</f>
        <v>8860</v>
      </c>
      <c r="C1481" s="2" t="s">
        <v>594</v>
      </c>
      <c r="D1481" s="2" t="str">
        <f t="shared" si="22"/>
        <v>Error?</v>
      </c>
    </row>
    <row r="1482" spans="1:4" x14ac:dyDescent="0.2">
      <c r="A1482" s="5">
        <v>1421</v>
      </c>
      <c r="B1482" s="138">
        <f>'Expenditures 15-22'!K240</f>
        <v>234</v>
      </c>
      <c r="C1482" s="2" t="s">
        <v>594</v>
      </c>
      <c r="D1482" s="2" t="str">
        <f t="shared" si="22"/>
        <v>Error?</v>
      </c>
    </row>
    <row r="1483" spans="1:4" x14ac:dyDescent="0.2">
      <c r="A1483" s="5">
        <v>1422</v>
      </c>
      <c r="B1483" s="138">
        <f>'Expenditures 15-22'!K241</f>
        <v>34918</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35152</v>
      </c>
      <c r="C1485" s="2" t="s">
        <v>594</v>
      </c>
      <c r="D1485" s="2" t="str">
        <f t="shared" si="22"/>
        <v>Error?</v>
      </c>
    </row>
    <row r="1486" spans="1:4" x14ac:dyDescent="0.2">
      <c r="A1486" s="5">
        <v>1425</v>
      </c>
      <c r="B1486" s="138">
        <f>'Expenditures 15-22'!K245</f>
        <v>6350</v>
      </c>
      <c r="C1486" s="2" t="s">
        <v>594</v>
      </c>
      <c r="D1486" s="2" t="str">
        <f t="shared" si="22"/>
        <v>Error?</v>
      </c>
    </row>
    <row r="1487" spans="1:4" x14ac:dyDescent="0.2">
      <c r="A1487" s="5">
        <v>1426</v>
      </c>
      <c r="B1487" s="138">
        <f>'Expenditures 15-22'!K246</f>
        <v>7951</v>
      </c>
      <c r="C1487" s="2" t="s">
        <v>594</v>
      </c>
      <c r="D1487" s="2" t="str">
        <f t="shared" si="22"/>
        <v>Error?</v>
      </c>
    </row>
    <row r="1488" spans="1:4" x14ac:dyDescent="0.2">
      <c r="A1488" s="5">
        <v>1427</v>
      </c>
      <c r="B1488" s="138">
        <f>'Expenditures 15-22'!K257</f>
        <v>15212</v>
      </c>
      <c r="C1488" s="2" t="s">
        <v>594</v>
      </c>
      <c r="D1488" s="2" t="str">
        <f t="shared" si="22"/>
        <v>Error?</v>
      </c>
    </row>
    <row r="1489" spans="1:4" x14ac:dyDescent="0.2">
      <c r="A1489" s="5">
        <v>1428</v>
      </c>
      <c r="B1489" s="138">
        <f>'Expenditures 15-22'!K259</f>
        <v>38299</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38299</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20906</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58973</v>
      </c>
      <c r="C1495" s="2" t="s">
        <v>594</v>
      </c>
      <c r="D1495" s="2" t="str">
        <f t="shared" si="22"/>
        <v>Error?</v>
      </c>
    </row>
    <row r="1496" spans="1:4" x14ac:dyDescent="0.2">
      <c r="A1496" s="5">
        <v>1435</v>
      </c>
      <c r="B1496" s="138">
        <f>'Expenditures 15-22'!K267</f>
        <v>73806</v>
      </c>
      <c r="C1496" s="2" t="s">
        <v>594</v>
      </c>
      <c r="D1496" s="2" t="str">
        <f t="shared" si="22"/>
        <v>Error?</v>
      </c>
    </row>
    <row r="1497" spans="1:4" x14ac:dyDescent="0.2">
      <c r="A1497" s="5">
        <v>1436</v>
      </c>
      <c r="B1497" s="138">
        <f>'Expenditures 15-22'!K268</f>
        <v>34300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187985</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285508</v>
      </c>
      <c r="C1510" s="2" t="s">
        <v>594</v>
      </c>
      <c r="D1510" s="2" t="str">
        <f t="shared" si="22"/>
        <v>Error?</v>
      </c>
    </row>
    <row r="1511" spans="1:4" x14ac:dyDescent="0.2">
      <c r="A1511" s="5">
        <v>1450</v>
      </c>
      <c r="B1511" s="138">
        <f>'Expenditures 15-22'!K280</f>
        <v>35</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379873</v>
      </c>
      <c r="C1517" s="2" t="s">
        <v>594</v>
      </c>
      <c r="D1517" s="2" t="str">
        <f t="shared" si="22"/>
        <v>Error?</v>
      </c>
    </row>
    <row r="1518" spans="1:4" x14ac:dyDescent="0.2">
      <c r="A1518" s="5">
        <v>1457</v>
      </c>
      <c r="B1518" s="138">
        <f>'Expenditures 15-22'!K296</f>
        <v>20175</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161302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161302</v>
      </c>
      <c r="C1547" s="2" t="s">
        <v>594</v>
      </c>
      <c r="D1547" s="2" t="str">
        <f t="shared" si="23"/>
        <v>Error?</v>
      </c>
    </row>
    <row r="1548" spans="1:4" x14ac:dyDescent="0.2">
      <c r="A1548" s="5">
        <v>1487</v>
      </c>
      <c r="B1548" s="138">
        <f>'Expenditures 15-22'!G312</f>
        <v>161302</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161302</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161302</v>
      </c>
      <c r="C1559" s="2" t="s">
        <v>594</v>
      </c>
      <c r="D1559" s="2" t="str">
        <f t="shared" si="23"/>
        <v>Error?</v>
      </c>
    </row>
    <row r="1560" spans="1:4" x14ac:dyDescent="0.2">
      <c r="A1560" s="5">
        <v>1499</v>
      </c>
      <c r="B1560" s="138">
        <f>'Expenditures 15-22'!K312</f>
        <v>161302</v>
      </c>
      <c r="C1560" s="2" t="s">
        <v>594</v>
      </c>
      <c r="D1560" s="2" t="str">
        <f t="shared" si="23"/>
        <v>Error?</v>
      </c>
    </row>
    <row r="1561" spans="1:4" x14ac:dyDescent="0.2">
      <c r="A1561" s="5">
        <v>1500</v>
      </c>
      <c r="B1561" s="138">
        <f>'Expenditures 15-22'!K313</f>
        <v>261695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2281356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3218845</v>
      </c>
      <c r="C1630" s="2" t="s">
        <v>594</v>
      </c>
      <c r="D1630" s="2" t="str">
        <f t="shared" si="24"/>
        <v>Error?</v>
      </c>
    </row>
    <row r="1631" spans="1:4" x14ac:dyDescent="0.2">
      <c r="A1631" s="5">
        <v>1570</v>
      </c>
      <c r="B1631" s="138">
        <f>'Acct Summary 7-8'!D79</f>
        <v>407878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392148</v>
      </c>
      <c r="C1644" s="2" t="s">
        <v>594</v>
      </c>
      <c r="D1644" s="2" t="str">
        <f t="shared" si="24"/>
        <v>Error?</v>
      </c>
    </row>
    <row r="1645" spans="1:4" x14ac:dyDescent="0.2">
      <c r="A1645" s="5">
        <v>1584</v>
      </c>
      <c r="B1645" s="138">
        <f>'Acct Summary 7-8'!E79</f>
        <v>145828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141359</v>
      </c>
      <c r="C1658" s="2" t="s">
        <v>594</v>
      </c>
      <c r="D1658" s="2" t="str">
        <f t="shared" si="24"/>
        <v>Error?</v>
      </c>
    </row>
    <row r="1659" spans="1:4" x14ac:dyDescent="0.2">
      <c r="A1659" s="5">
        <v>1598</v>
      </c>
      <c r="B1659" s="138">
        <f>'Acct Summary 7-8'!F79</f>
        <v>298912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378679</v>
      </c>
      <c r="C1672" s="2" t="s">
        <v>594</v>
      </c>
      <c r="D1672" s="2" t="str">
        <f t="shared" si="25"/>
        <v>Error?</v>
      </c>
    </row>
    <row r="1673" spans="1:4" x14ac:dyDescent="0.2">
      <c r="A1673" s="5">
        <v>1612</v>
      </c>
      <c r="B1673" s="138">
        <f>'Acct Summary 7-8'!G79</f>
        <v>86986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107161</v>
      </c>
      <c r="C1686" s="2" t="s">
        <v>594</v>
      </c>
      <c r="D1686" s="2" t="str">
        <f t="shared" si="25"/>
        <v>Error?</v>
      </c>
    </row>
    <row r="1687" spans="1:4" x14ac:dyDescent="0.2">
      <c r="A1687" s="5">
        <v>1626</v>
      </c>
      <c r="B1687" s="138">
        <f>'Acct Summary 7-8'!H79</f>
        <v>303179</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564874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3007946</v>
      </c>
      <c r="C1744" s="2" t="s">
        <v>594</v>
      </c>
      <c r="D1744" s="2" t="str">
        <f t="shared" si="26"/>
        <v>Error?</v>
      </c>
    </row>
    <row r="1745" spans="1:5" x14ac:dyDescent="0.2">
      <c r="A1745" s="5">
        <v>1684</v>
      </c>
      <c r="B1745" s="138">
        <f>'Tax Sched 23'!B5</f>
        <v>747149</v>
      </c>
      <c r="C1745" s="2" t="s">
        <v>594</v>
      </c>
      <c r="D1745" s="2" t="str">
        <f t="shared" si="26"/>
        <v>Error?</v>
      </c>
    </row>
    <row r="1746" spans="1:5" x14ac:dyDescent="0.2">
      <c r="A1746" s="5">
        <v>1685</v>
      </c>
      <c r="B1746" s="138">
        <f>'Tax Sched 23'!B6</f>
        <v>995835</v>
      </c>
      <c r="C1746" s="2" t="s">
        <v>594</v>
      </c>
      <c r="D1746" s="2" t="str">
        <f t="shared" si="26"/>
        <v>Error?</v>
      </c>
    </row>
    <row r="1747" spans="1:5" x14ac:dyDescent="0.2">
      <c r="A1747" s="5">
        <v>1686</v>
      </c>
      <c r="B1747" s="138">
        <f>'Tax Sched 23'!B7</f>
        <v>312860</v>
      </c>
      <c r="C1747" s="2" t="s">
        <v>594</v>
      </c>
      <c r="D1747" s="2" t="str">
        <f t="shared" si="26"/>
        <v>Error?</v>
      </c>
    </row>
    <row r="1748" spans="1:5" x14ac:dyDescent="0.2">
      <c r="A1748" s="5">
        <v>1687</v>
      </c>
      <c r="B1748" s="138">
        <f>'Tax Sched 23'!B8</f>
        <v>153530</v>
      </c>
      <c r="C1748" s="2" t="s">
        <v>594</v>
      </c>
      <c r="D1748" s="2" t="str">
        <f t="shared" si="26"/>
        <v>Error?</v>
      </c>
    </row>
    <row r="1749" spans="1:5" x14ac:dyDescent="0.2">
      <c r="A1749" s="5">
        <v>1688</v>
      </c>
      <c r="B1749" s="138">
        <f>'Tax Sched 23'!B10</f>
        <v>5315</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251063</v>
      </c>
      <c r="C1752" s="2" t="s">
        <v>594</v>
      </c>
      <c r="D1752" s="2" t="str">
        <f t="shared" si="26"/>
        <v>Error?</v>
      </c>
    </row>
    <row r="1753" spans="1:5" x14ac:dyDescent="0.2">
      <c r="A1753" s="5">
        <v>1692</v>
      </c>
      <c r="B1753" s="138">
        <f>'Tax Sched 23'!B12</f>
        <v>19307</v>
      </c>
      <c r="C1753" s="2" t="s">
        <v>594</v>
      </c>
      <c r="D1753" s="2" t="str">
        <f t="shared" si="26"/>
        <v>Error?</v>
      </c>
    </row>
    <row r="1754" spans="1:5" x14ac:dyDescent="0.2">
      <c r="A1754" s="5">
        <v>1693</v>
      </c>
      <c r="B1754" s="138">
        <f>'Tax Sched 23'!B14</f>
        <v>116840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5820357</v>
      </c>
      <c r="C1759" s="2" t="s">
        <v>594</v>
      </c>
      <c r="D1759" s="2" t="str">
        <f t="shared" si="26"/>
        <v>Error?</v>
      </c>
    </row>
    <row r="1760" spans="1:5" x14ac:dyDescent="0.2">
      <c r="A1760" s="5">
        <v>1699</v>
      </c>
      <c r="B1760" s="138">
        <f>'Tax Sched 23'!D4</f>
        <v>3007946</v>
      </c>
      <c r="C1760" s="2" t="s">
        <v>594</v>
      </c>
      <c r="D1760" s="2" t="str">
        <f t="shared" si="26"/>
        <v>Error?</v>
      </c>
    </row>
    <row r="1761" spans="1:5" x14ac:dyDescent="0.2">
      <c r="A1761" s="5">
        <v>1700</v>
      </c>
      <c r="B1761" s="138">
        <f>'Tax Sched 23'!D5</f>
        <v>747149</v>
      </c>
      <c r="C1761" s="2" t="s">
        <v>594</v>
      </c>
      <c r="D1761" s="2" t="str">
        <f t="shared" si="26"/>
        <v>Error?</v>
      </c>
    </row>
    <row r="1762" spans="1:5" s="8" customFormat="1" x14ac:dyDescent="0.2">
      <c r="A1762" s="5">
        <v>1701</v>
      </c>
      <c r="B1762" s="138">
        <f>'Tax Sched 23'!D6</f>
        <v>995835</v>
      </c>
      <c r="C1762" s="2" t="s">
        <v>594</v>
      </c>
      <c r="D1762" s="2" t="str">
        <f t="shared" si="26"/>
        <v>Error?</v>
      </c>
      <c r="E1762" s="9"/>
    </row>
    <row r="1763" spans="1:5" x14ac:dyDescent="0.2">
      <c r="A1763" s="5">
        <v>1702</v>
      </c>
      <c r="B1763" s="138">
        <f>'Tax Sched 23'!D7</f>
        <v>312860</v>
      </c>
      <c r="C1763" s="2" t="s">
        <v>594</v>
      </c>
      <c r="D1763" s="2" t="str">
        <f t="shared" si="26"/>
        <v>Error?</v>
      </c>
    </row>
    <row r="1764" spans="1:5" x14ac:dyDescent="0.2">
      <c r="A1764" s="5">
        <v>1703</v>
      </c>
      <c r="B1764" s="138">
        <f>'Tax Sched 23'!D8</f>
        <v>153530</v>
      </c>
      <c r="C1764" s="2" t="s">
        <v>594</v>
      </c>
      <c r="D1764" s="2" t="str">
        <f t="shared" si="26"/>
        <v>Error?</v>
      </c>
    </row>
    <row r="1765" spans="1:5" x14ac:dyDescent="0.2">
      <c r="A1765" s="5">
        <v>1704</v>
      </c>
      <c r="B1765" s="138">
        <f>'Tax Sched 23'!D10</f>
        <v>5315</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251063</v>
      </c>
      <c r="C1768" s="2" t="s">
        <v>594</v>
      </c>
      <c r="D1768" s="2" t="str">
        <f t="shared" si="26"/>
        <v>Error?</v>
      </c>
    </row>
    <row r="1769" spans="1:5" x14ac:dyDescent="0.2">
      <c r="A1769" s="5">
        <v>1708</v>
      </c>
      <c r="B1769" s="138">
        <f>'Tax Sched 23'!D12</f>
        <v>19307</v>
      </c>
      <c r="C1769" s="2" t="s">
        <v>594</v>
      </c>
      <c r="D1769" s="2" t="str">
        <f t="shared" si="26"/>
        <v>Error?</v>
      </c>
    </row>
    <row r="1770" spans="1:5" x14ac:dyDescent="0.2">
      <c r="A1770" s="5">
        <v>1709</v>
      </c>
      <c r="B1770" s="138">
        <f>'Tax Sched 23'!D14</f>
        <v>116840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5820357</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3284258</v>
      </c>
      <c r="C1792" s="2" t="s">
        <v>594</v>
      </c>
      <c r="D1792" s="2" t="str">
        <f t="shared" si="27"/>
        <v>Error?</v>
      </c>
    </row>
    <row r="1793" spans="1:4" x14ac:dyDescent="0.2">
      <c r="A1793" s="5">
        <v>1732</v>
      </c>
      <c r="B1793" s="138">
        <f>'Tax Sched 23'!F5</f>
        <v>762419</v>
      </c>
      <c r="C1793" s="2" t="s">
        <v>594</v>
      </c>
      <c r="D1793" s="2" t="str">
        <f t="shared" si="27"/>
        <v>Error?</v>
      </c>
    </row>
    <row r="1794" spans="1:4" x14ac:dyDescent="0.2">
      <c r="A1794" s="5">
        <v>1733</v>
      </c>
      <c r="B1794" s="138">
        <f>'Tax Sched 23'!F6</f>
        <v>997252</v>
      </c>
      <c r="C1794" s="2" t="s">
        <v>594</v>
      </c>
      <c r="D1794" s="2" t="str">
        <f t="shared" si="27"/>
        <v>Error?</v>
      </c>
    </row>
    <row r="1795" spans="1:4" x14ac:dyDescent="0.2">
      <c r="A1795" s="5">
        <v>1734</v>
      </c>
      <c r="B1795" s="138">
        <f>'Tax Sched 23'!F7</f>
        <v>319144</v>
      </c>
      <c r="C1795" s="2" t="s">
        <v>594</v>
      </c>
      <c r="D1795" s="2" t="str">
        <f t="shared" si="27"/>
        <v>Error?</v>
      </c>
    </row>
    <row r="1796" spans="1:4" x14ac:dyDescent="0.2">
      <c r="A1796" s="5">
        <v>1735</v>
      </c>
      <c r="B1796" s="138">
        <f>'Tax Sched 23'!F8</f>
        <v>156487</v>
      </c>
      <c r="C1796" s="2" t="s">
        <v>594</v>
      </c>
      <c r="D1796" s="2" t="str">
        <f t="shared" si="27"/>
        <v>Error?</v>
      </c>
    </row>
    <row r="1797" spans="1:4" x14ac:dyDescent="0.2">
      <c r="A1797" s="5">
        <v>1736</v>
      </c>
      <c r="B1797" s="138">
        <f>'Tax Sched 23'!F10</f>
        <v>5372</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48878</v>
      </c>
      <c r="C1800" s="2" t="s">
        <v>594</v>
      </c>
      <c r="D1800" s="2" t="str">
        <f t="shared" si="27"/>
        <v>Error?</v>
      </c>
    </row>
    <row r="1801" spans="1:4" x14ac:dyDescent="0.2">
      <c r="A1801" s="5">
        <v>1740</v>
      </c>
      <c r="B1801" s="138">
        <f>'Tax Sched 23'!F12</f>
        <v>48878</v>
      </c>
      <c r="C1801" s="2" t="s">
        <v>594</v>
      </c>
      <c r="D1801" s="2" t="str">
        <f t="shared" si="27"/>
        <v>Error?</v>
      </c>
    </row>
    <row r="1802" spans="1:4" x14ac:dyDescent="0.2">
      <c r="A1802" s="5">
        <v>1741</v>
      </c>
      <c r="B1802" s="138">
        <f>'Tax Sched 23'!F14</f>
        <v>119243</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5956478</v>
      </c>
      <c r="C1807" s="2" t="s">
        <v>594</v>
      </c>
      <c r="D1807" s="2" t="str">
        <f t="shared" si="27"/>
        <v>Error?</v>
      </c>
    </row>
    <row r="1808" spans="1:4" x14ac:dyDescent="0.2">
      <c r="A1808" s="5">
        <v>1747</v>
      </c>
      <c r="B1808" s="138">
        <f>'Tax Sched 23'!E4</f>
        <v>3284258</v>
      </c>
      <c r="D1808" s="2" t="str">
        <f t="shared" si="27"/>
        <v>Error?</v>
      </c>
    </row>
    <row r="1809" spans="1:4" x14ac:dyDescent="0.2">
      <c r="A1809" s="5">
        <v>1748</v>
      </c>
      <c r="B1809" s="138">
        <f>'Tax Sched 23'!E5</f>
        <v>762419</v>
      </c>
      <c r="D1809" s="2" t="str">
        <f t="shared" si="27"/>
        <v>Error?</v>
      </c>
    </row>
    <row r="1810" spans="1:4" x14ac:dyDescent="0.2">
      <c r="A1810" s="5">
        <v>1749</v>
      </c>
      <c r="B1810" s="138">
        <f>'Tax Sched 23'!E6</f>
        <v>997252</v>
      </c>
      <c r="D1810" s="2" t="str">
        <f t="shared" si="27"/>
        <v>Error?</v>
      </c>
    </row>
    <row r="1811" spans="1:4" x14ac:dyDescent="0.2">
      <c r="A1811" s="5">
        <v>1750</v>
      </c>
      <c r="B1811" s="138">
        <f>'Tax Sched 23'!E7</f>
        <v>319144</v>
      </c>
      <c r="D1811" s="2" t="str">
        <f t="shared" si="27"/>
        <v>Error?</v>
      </c>
    </row>
    <row r="1812" spans="1:4" x14ac:dyDescent="0.2">
      <c r="A1812" s="5">
        <v>1751</v>
      </c>
      <c r="B1812" s="138">
        <f>'Tax Sched 23'!E8</f>
        <v>156487</v>
      </c>
      <c r="D1812" s="2" t="str">
        <f t="shared" si="27"/>
        <v>Error?</v>
      </c>
    </row>
    <row r="1813" spans="1:4" x14ac:dyDescent="0.2">
      <c r="A1813" s="5">
        <v>1752</v>
      </c>
      <c r="B1813" s="138">
        <f>'Tax Sched 23'!E10</f>
        <v>5372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48878</v>
      </c>
      <c r="D1816" s="2" t="str">
        <f t="shared" si="27"/>
        <v>Error?</v>
      </c>
    </row>
    <row r="1817" spans="1:4" x14ac:dyDescent="0.2">
      <c r="A1817" s="5">
        <v>1756</v>
      </c>
      <c r="B1817" s="138">
        <f>'Tax Sched 23'!E12</f>
        <v>48878</v>
      </c>
      <c r="D1817" s="2" t="str">
        <f t="shared" si="27"/>
        <v>Error?</v>
      </c>
    </row>
    <row r="1818" spans="1:4" x14ac:dyDescent="0.2">
      <c r="A1818" s="5">
        <v>1757</v>
      </c>
      <c r="B1818" s="138">
        <f>'Tax Sched 23'!E14</f>
        <v>119243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5956478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2384413</v>
      </c>
      <c r="C1939" s="2" t="s">
        <v>594</v>
      </c>
      <c r="D1939" s="2" t="str">
        <f t="shared" si="29"/>
        <v>Error?</v>
      </c>
    </row>
    <row r="1940" spans="1:5" x14ac:dyDescent="0.2">
      <c r="A1940" s="5">
        <v>1879</v>
      </c>
      <c r="B1940" s="138">
        <f>'Short-Term Long-Term Debt 24'!F49</f>
        <v>2390000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116840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116840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116840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170329</v>
      </c>
      <c r="D2008" s="2" t="str">
        <f t="shared" si="30"/>
        <v>Error?</v>
      </c>
    </row>
    <row r="2009" spans="1:4" x14ac:dyDescent="0.2">
      <c r="A2009" s="5">
        <v>1948</v>
      </c>
      <c r="B2009" s="138">
        <f>'Cap Outlay Deprec 26'!C8</f>
        <v>25191697</v>
      </c>
      <c r="D2009" s="2" t="str">
        <f t="shared" si="30"/>
        <v>Error?</v>
      </c>
    </row>
    <row r="2010" spans="1:4" x14ac:dyDescent="0.2">
      <c r="A2010" s="5">
        <v>1949</v>
      </c>
      <c r="B2010" s="138">
        <f>'Cap Outlay Deprec 26'!C10</f>
        <v>181682</v>
      </c>
      <c r="D2010" s="2" t="str">
        <f t="shared" si="30"/>
        <v>Error?</v>
      </c>
    </row>
    <row r="2011" spans="1:4" x14ac:dyDescent="0.2">
      <c r="A2011" s="5">
        <v>1950</v>
      </c>
      <c r="B2011" s="138">
        <f>'Cap Outlay Deprec 26'!C12</f>
        <v>4055366</v>
      </c>
      <c r="D2011" s="2" t="str">
        <f t="shared" si="30"/>
        <v>Error?</v>
      </c>
    </row>
    <row r="2012" spans="1:4" x14ac:dyDescent="0.2">
      <c r="A2012" s="5">
        <v>1951</v>
      </c>
      <c r="B2012" s="138">
        <f>'Cap Outlay Deprec 26'!C13</f>
        <v>2672834</v>
      </c>
      <c r="D2012" s="2" t="str">
        <f t="shared" si="30"/>
        <v>Error?</v>
      </c>
    </row>
    <row r="2013" spans="1:4" x14ac:dyDescent="0.2">
      <c r="A2013" s="5">
        <v>1952</v>
      </c>
      <c r="B2013" s="138">
        <f>'Cap Outlay Deprec 26'!C16</f>
        <v>32271908</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651347</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70261</v>
      </c>
      <c r="D2017" s="2" t="str">
        <f t="shared" si="30"/>
        <v>Error?</v>
      </c>
    </row>
    <row r="2018" spans="1:4" x14ac:dyDescent="0.2">
      <c r="A2018" s="5">
        <v>1957</v>
      </c>
      <c r="B2018" s="138">
        <f>'Cap Outlay Deprec 26'!D13</f>
        <v>78934</v>
      </c>
      <c r="D2018" s="2" t="str">
        <f t="shared" si="30"/>
        <v>Error?</v>
      </c>
    </row>
    <row r="2019" spans="1:4" x14ac:dyDescent="0.2">
      <c r="A2019" s="5">
        <v>1958</v>
      </c>
      <c r="B2019" s="138">
        <f>'Cap Outlay Deprec 26'!D16</f>
        <v>800542</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170329</v>
      </c>
      <c r="C2026" s="2" t="s">
        <v>594</v>
      </c>
      <c r="D2026" s="2" t="str">
        <f t="shared" si="30"/>
        <v>Error?</v>
      </c>
    </row>
    <row r="2027" spans="1:4" x14ac:dyDescent="0.2">
      <c r="A2027" s="5">
        <v>1966</v>
      </c>
      <c r="B2027" s="138">
        <f>'Cap Outlay Deprec 26'!F8</f>
        <v>25843044</v>
      </c>
      <c r="C2027" s="2" t="s">
        <v>594</v>
      </c>
      <c r="D2027" s="2" t="str">
        <f t="shared" si="30"/>
        <v>Error?</v>
      </c>
    </row>
    <row r="2028" spans="1:4" x14ac:dyDescent="0.2">
      <c r="A2028" s="5">
        <v>1967</v>
      </c>
      <c r="B2028" s="138">
        <f>'Cap Outlay Deprec 26'!F10</f>
        <v>181682</v>
      </c>
      <c r="C2028" s="2" t="s">
        <v>594</v>
      </c>
      <c r="D2028" s="2" t="str">
        <f t="shared" si="30"/>
        <v>Error?</v>
      </c>
    </row>
    <row r="2029" spans="1:4" x14ac:dyDescent="0.2">
      <c r="A2029" s="5">
        <v>1968</v>
      </c>
      <c r="B2029" s="138">
        <f>'Cap Outlay Deprec 26'!F12</f>
        <v>4125627</v>
      </c>
      <c r="C2029" s="2" t="s">
        <v>594</v>
      </c>
      <c r="D2029" s="2" t="str">
        <f t="shared" si="30"/>
        <v>Error?</v>
      </c>
    </row>
    <row r="2030" spans="1:4" x14ac:dyDescent="0.2">
      <c r="A2030" s="5">
        <v>1969</v>
      </c>
      <c r="B2030" s="138">
        <f>'Cap Outlay Deprec 26'!F13</f>
        <v>2751768</v>
      </c>
      <c r="C2030" s="2" t="s">
        <v>594</v>
      </c>
      <c r="D2030" s="2" t="str">
        <f t="shared" si="30"/>
        <v>Error?</v>
      </c>
    </row>
    <row r="2031" spans="1:4" x14ac:dyDescent="0.2">
      <c r="A2031" s="5">
        <v>1970</v>
      </c>
      <c r="B2031" s="138">
        <f>'Cap Outlay Deprec 26'!F16</f>
        <v>33072450</v>
      </c>
      <c r="C2031" s="2" t="s">
        <v>594</v>
      </c>
      <c r="D2031" s="2" t="str">
        <f t="shared" si="30"/>
        <v>Error?</v>
      </c>
    </row>
    <row r="2032" spans="1:4" x14ac:dyDescent="0.2">
      <c r="A2032" s="10">
        <v>1971</v>
      </c>
      <c r="D2032" s="2" t="str">
        <f t="shared" si="30"/>
        <v>OK</v>
      </c>
    </row>
    <row r="2033" spans="1:4" x14ac:dyDescent="0.2">
      <c r="A2033" s="5">
        <v>1972</v>
      </c>
      <c r="B2033" s="138">
        <f>'Cap Outlay Deprec 26'!H8</f>
        <v>10429462</v>
      </c>
      <c r="D2033" s="2" t="str">
        <f t="shared" si="30"/>
        <v>Error?</v>
      </c>
    </row>
    <row r="2034" spans="1:4" x14ac:dyDescent="0.2">
      <c r="A2034" s="5">
        <v>1973</v>
      </c>
      <c r="B2034" s="138">
        <f>'Cap Outlay Deprec 26'!H10</f>
        <v>181682</v>
      </c>
      <c r="D2034" s="2" t="str">
        <f t="shared" si="30"/>
        <v>Error?</v>
      </c>
    </row>
    <row r="2035" spans="1:4" x14ac:dyDescent="0.2">
      <c r="A2035" s="5">
        <v>1974</v>
      </c>
      <c r="B2035" s="138">
        <f>'Cap Outlay Deprec 26'!H12</f>
        <v>3398785</v>
      </c>
      <c r="D2035" s="2" t="str">
        <f t="shared" si="30"/>
        <v>Error?</v>
      </c>
    </row>
    <row r="2036" spans="1:4" x14ac:dyDescent="0.2">
      <c r="A2036" s="5">
        <v>1975</v>
      </c>
      <c r="B2036" s="138">
        <f>'Cap Outlay Deprec 26'!H13</f>
        <v>2554865</v>
      </c>
      <c r="D2036" s="2" t="str">
        <f t="shared" si="30"/>
        <v>Error?</v>
      </c>
    </row>
    <row r="2037" spans="1:4" x14ac:dyDescent="0.2">
      <c r="A2037" s="5">
        <v>1976</v>
      </c>
      <c r="B2037" s="138">
        <f>'Cap Outlay Deprec 26'!H16</f>
        <v>16564794</v>
      </c>
      <c r="C2037" s="2" t="s">
        <v>594</v>
      </c>
      <c r="D2037" s="2" t="str">
        <f t="shared" si="30"/>
        <v>Error?</v>
      </c>
    </row>
    <row r="2038" spans="1:4" x14ac:dyDescent="0.2">
      <c r="A2038" s="10">
        <v>1977</v>
      </c>
      <c r="D2038" s="2" t="str">
        <f t="shared" si="30"/>
        <v>OK</v>
      </c>
    </row>
    <row r="2039" spans="1:4" x14ac:dyDescent="0.2">
      <c r="A2039" s="5">
        <v>1978</v>
      </c>
      <c r="B2039" s="138">
        <f>'Cap Outlay Deprec 26'!I8</f>
        <v>301758</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69171</v>
      </c>
      <c r="D2041" s="2" t="str">
        <f t="shared" si="30"/>
        <v>Error?</v>
      </c>
    </row>
    <row r="2042" spans="1:4" x14ac:dyDescent="0.2">
      <c r="A2042" s="5">
        <v>1981</v>
      </c>
      <c r="B2042" s="138">
        <f>'Cap Outlay Deprec 26'!I13</f>
        <v>31487</v>
      </c>
      <c r="D2042" s="2" t="str">
        <f t="shared" si="30"/>
        <v>Error?</v>
      </c>
    </row>
    <row r="2043" spans="1:4" x14ac:dyDescent="0.2">
      <c r="A2043" s="5">
        <v>1982</v>
      </c>
      <c r="B2043" s="138">
        <f>'Cap Outlay Deprec 26'!I16</f>
        <v>402416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10731220</v>
      </c>
      <c r="C2051" s="2" t="s">
        <v>594</v>
      </c>
      <c r="D2051" s="2" t="str">
        <f t="shared" si="31"/>
        <v>Error?</v>
      </c>
    </row>
    <row r="2052" spans="1:4" x14ac:dyDescent="0.2">
      <c r="A2052" s="5">
        <v>1991</v>
      </c>
      <c r="B2052" s="138">
        <f>'Cap Outlay Deprec 26'!K10</f>
        <v>181682</v>
      </c>
      <c r="C2052" s="2" t="s">
        <v>594</v>
      </c>
      <c r="D2052" s="2" t="str">
        <f t="shared" si="31"/>
        <v>Error?</v>
      </c>
    </row>
    <row r="2053" spans="1:4" x14ac:dyDescent="0.2">
      <c r="A2053" s="5">
        <v>1992</v>
      </c>
      <c r="B2053" s="138">
        <f>'Cap Outlay Deprec 26'!K12</f>
        <v>3467956</v>
      </c>
      <c r="C2053" s="2" t="s">
        <v>594</v>
      </c>
      <c r="D2053" s="2" t="str">
        <f t="shared" si="31"/>
        <v>Error?</v>
      </c>
    </row>
    <row r="2054" spans="1:4" x14ac:dyDescent="0.2">
      <c r="A2054" s="5">
        <v>1993</v>
      </c>
      <c r="B2054" s="138">
        <f>'Cap Outlay Deprec 26'!K13</f>
        <v>2586352</v>
      </c>
      <c r="C2054" s="2" t="s">
        <v>594</v>
      </c>
      <c r="D2054" s="2" t="str">
        <f t="shared" si="31"/>
        <v>Error?</v>
      </c>
    </row>
    <row r="2055" spans="1:4" x14ac:dyDescent="0.2">
      <c r="A2055" s="5">
        <v>1994</v>
      </c>
      <c r="B2055" s="138">
        <f>'Cap Outlay Deprec 26'!K16</f>
        <v>16967210</v>
      </c>
      <c r="C2055" s="2" t="s">
        <v>594</v>
      </c>
      <c r="D2055" s="2" t="str">
        <f t="shared" si="31"/>
        <v>Error?</v>
      </c>
    </row>
    <row r="2056" spans="1:4" x14ac:dyDescent="0.2">
      <c r="A2056" s="5">
        <v>1995</v>
      </c>
      <c r="B2056" s="138">
        <f>'Cap Outlay Deprec 26'!L5</f>
        <v>170329</v>
      </c>
      <c r="C2056" s="2" t="s">
        <v>594</v>
      </c>
      <c r="D2056" s="2" t="str">
        <f t="shared" si="31"/>
        <v>Error?</v>
      </c>
    </row>
    <row r="2057" spans="1:4" x14ac:dyDescent="0.2">
      <c r="A2057" s="5">
        <v>1996</v>
      </c>
      <c r="B2057" s="138">
        <f>'Cap Outlay Deprec 26'!L8</f>
        <v>15111824</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657671</v>
      </c>
      <c r="C2059" s="2" t="s">
        <v>594</v>
      </c>
      <c r="D2059" s="2" t="str">
        <f t="shared" si="31"/>
        <v>Error?</v>
      </c>
    </row>
    <row r="2060" spans="1:4" x14ac:dyDescent="0.2">
      <c r="A2060" s="5">
        <v>1999</v>
      </c>
      <c r="B2060" s="138">
        <f>'Cap Outlay Deprec 26'!L13</f>
        <v>165416</v>
      </c>
      <c r="C2060" s="2" t="s">
        <v>594</v>
      </c>
      <c r="D2060" s="2" t="str">
        <f t="shared" si="31"/>
        <v>Error?</v>
      </c>
    </row>
    <row r="2061" spans="1:4" x14ac:dyDescent="0.2">
      <c r="A2061" s="5">
        <v>2000</v>
      </c>
      <c r="B2061" s="138">
        <f>'Cap Outlay Deprec 26'!L16</f>
        <v>16105240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1451390</v>
      </c>
      <c r="C2088" s="2" t="s">
        <v>594</v>
      </c>
      <c r="D2088" s="2" t="str">
        <f t="shared" si="31"/>
        <v>Error?</v>
      </c>
    </row>
    <row r="2089" spans="1:4" x14ac:dyDescent="0.2">
      <c r="A2089" s="5">
        <v>2028</v>
      </c>
      <c r="B2089" s="138">
        <f>'Expenditures 15-22'!K92</f>
        <v>975</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500000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107161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141359</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564874</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3924710</v>
      </c>
      <c r="C2551" s="2" t="s">
        <v>594</v>
      </c>
      <c r="D2551" s="2" t="str">
        <f t="shared" si="38"/>
        <v>Error?</v>
      </c>
    </row>
    <row r="2552" spans="1:4" x14ac:dyDescent="0.2">
      <c r="A2552" s="10">
        <v>2491</v>
      </c>
      <c r="D2552" s="2" t="str">
        <f t="shared" si="38"/>
        <v>OK</v>
      </c>
    </row>
    <row r="2553" spans="1:4" x14ac:dyDescent="0.2">
      <c r="A2553" s="5">
        <v>2492</v>
      </c>
      <c r="B2553" s="138">
        <f>'Acct Summary 7-8'!C6</f>
        <v>5498383</v>
      </c>
      <c r="C2553" s="2" t="s">
        <v>594</v>
      </c>
      <c r="D2553" s="2" t="str">
        <f t="shared" si="38"/>
        <v>Error?</v>
      </c>
    </row>
    <row r="2554" spans="1:4" x14ac:dyDescent="0.2">
      <c r="A2554" s="5">
        <v>2493</v>
      </c>
      <c r="B2554" s="138">
        <f>'Acct Summary 7-8'!C7</f>
        <v>659853</v>
      </c>
      <c r="C2554" s="2" t="s">
        <v>594</v>
      </c>
      <c r="D2554" s="2" t="str">
        <f t="shared" si="38"/>
        <v>Error?</v>
      </c>
    </row>
    <row r="2555" spans="1:4" x14ac:dyDescent="0.2">
      <c r="A2555" s="5">
        <v>2494</v>
      </c>
      <c r="B2555" s="138">
        <f>'Acct Summary 7-8'!C8</f>
        <v>10082946</v>
      </c>
      <c r="C2555" s="2" t="s">
        <v>594</v>
      </c>
      <c r="D2555" s="2" t="str">
        <f t="shared" si="38"/>
        <v>Error?</v>
      </c>
    </row>
    <row r="2556" spans="1:4" x14ac:dyDescent="0.2">
      <c r="A2556" s="5">
        <v>2495</v>
      </c>
      <c r="B2556" s="138">
        <f>'Acct Summary 7-8'!C12</f>
        <v>5653955</v>
      </c>
      <c r="C2556" s="2" t="s">
        <v>594</v>
      </c>
      <c r="D2556" s="2" t="str">
        <f t="shared" si="38"/>
        <v>Error?</v>
      </c>
    </row>
    <row r="2557" spans="1:4" x14ac:dyDescent="0.2">
      <c r="A2557" s="5">
        <v>2496</v>
      </c>
      <c r="B2557" s="138">
        <f>'Acct Summary 7-8'!C13</f>
        <v>2529918</v>
      </c>
      <c r="C2557" s="2" t="s">
        <v>594</v>
      </c>
      <c r="D2557" s="2" t="str">
        <f t="shared" si="38"/>
        <v>Error?</v>
      </c>
    </row>
    <row r="2558" spans="1:4" x14ac:dyDescent="0.2">
      <c r="A2558" s="5">
        <v>2497</v>
      </c>
      <c r="B2558" s="138">
        <f>'Acct Summary 7-8'!C14</f>
        <v>3145</v>
      </c>
      <c r="C2558" s="2" t="s">
        <v>594</v>
      </c>
      <c r="D2558" s="2" t="str">
        <f t="shared" si="38"/>
        <v>Error?</v>
      </c>
    </row>
    <row r="2559" spans="1:4" x14ac:dyDescent="0.2">
      <c r="A2559" s="5">
        <v>2498</v>
      </c>
      <c r="B2559" s="138">
        <f>'Acct Summary 7-8'!C15</f>
        <v>1458439</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9645457</v>
      </c>
      <c r="C2561" s="2" t="s">
        <v>594</v>
      </c>
      <c r="D2561" s="2" t="str">
        <f t="shared" si="39"/>
        <v>Error?</v>
      </c>
    </row>
    <row r="2562" spans="1:4" x14ac:dyDescent="0.2">
      <c r="A2562" s="5">
        <v>2501</v>
      </c>
      <c r="B2562" s="138">
        <f>'Acct Summary 7-8'!C20</f>
        <v>437489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784722</v>
      </c>
      <c r="C2564" s="2" t="s">
        <v>594</v>
      </c>
      <c r="D2564" s="2" t="str">
        <f t="shared" si="39"/>
        <v>Error?</v>
      </c>
    </row>
    <row r="2565" spans="1:4" x14ac:dyDescent="0.2">
      <c r="A2565" s="10">
        <v>2504</v>
      </c>
      <c r="D2565" s="2" t="str">
        <f t="shared" si="39"/>
        <v>OK</v>
      </c>
    </row>
    <row r="2566" spans="1:4" x14ac:dyDescent="0.2">
      <c r="A2566" s="5">
        <v>2505</v>
      </c>
      <c r="B2566" s="138">
        <f>'Acct Summary 7-8'!D6</f>
        <v>100000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884722</v>
      </c>
      <c r="C2568" s="2" t="s">
        <v>594</v>
      </c>
      <c r="D2568" s="2" t="str">
        <f t="shared" si="39"/>
        <v>Error?</v>
      </c>
    </row>
    <row r="2569" spans="1:4" x14ac:dyDescent="0.2">
      <c r="A2569" s="5">
        <v>2508</v>
      </c>
      <c r="B2569" s="138">
        <f>'Acct Summary 7-8'!D13</f>
        <v>900452</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900452</v>
      </c>
      <c r="C2573" s="2" t="s">
        <v>594</v>
      </c>
      <c r="D2573" s="2" t="str">
        <f t="shared" si="39"/>
        <v>Error?</v>
      </c>
    </row>
    <row r="2574" spans="1:4" x14ac:dyDescent="0.2">
      <c r="A2574" s="5">
        <v>2513</v>
      </c>
      <c r="B2574" s="138">
        <f>'Acct Summary 7-8'!D20</f>
        <v>-15730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326250</v>
      </c>
      <c r="C2591" s="2" t="s">
        <v>594</v>
      </c>
      <c r="D2591" s="2" t="str">
        <f t="shared" si="39"/>
        <v>Error?</v>
      </c>
    </row>
    <row r="2592" spans="1:4" x14ac:dyDescent="0.2">
      <c r="A2592" s="10">
        <v>2531</v>
      </c>
      <c r="D2592" s="2" t="str">
        <f t="shared" si="39"/>
        <v>OK</v>
      </c>
    </row>
    <row r="2593" spans="1:4" x14ac:dyDescent="0.2">
      <c r="A2593" s="5">
        <v>2532</v>
      </c>
      <c r="B2593" s="138">
        <f>'Acct Summary 7-8'!F6</f>
        <v>420244</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746494</v>
      </c>
      <c r="C2595" s="2" t="s">
        <v>594</v>
      </c>
      <c r="D2595" s="2" t="str">
        <f t="shared" si="39"/>
        <v>Error?</v>
      </c>
    </row>
    <row r="2596" spans="1:4" x14ac:dyDescent="0.2">
      <c r="A2596" s="5">
        <v>2535</v>
      </c>
      <c r="B2596" s="138">
        <f>'Acct Summary 7-8'!F13</f>
        <v>666727</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666727</v>
      </c>
      <c r="C2600" s="2" t="s">
        <v>594</v>
      </c>
      <c r="D2600" s="2" t="str">
        <f t="shared" si="39"/>
        <v>Error?</v>
      </c>
    </row>
    <row r="2601" spans="1:4" x14ac:dyDescent="0.2">
      <c r="A2601" s="5">
        <v>2540</v>
      </c>
      <c r="B2601" s="138">
        <f>'Acct Summary 7-8'!F20</f>
        <v>79767</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400048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400048</v>
      </c>
      <c r="C2606" s="2" t="s">
        <v>594</v>
      </c>
      <c r="D2606" s="2" t="str">
        <f t="shared" si="39"/>
        <v>Error?</v>
      </c>
    </row>
    <row r="2607" spans="1:4" x14ac:dyDescent="0.2">
      <c r="A2607" s="5">
        <v>2546</v>
      </c>
      <c r="B2607" s="138">
        <f>'Acct Summary 7-8'!G12</f>
        <v>94330</v>
      </c>
      <c r="C2607" s="2" t="s">
        <v>594</v>
      </c>
      <c r="D2607" s="2" t="str">
        <f t="shared" si="39"/>
        <v>Error?</v>
      </c>
    </row>
    <row r="2608" spans="1:4" x14ac:dyDescent="0.2">
      <c r="A2608" s="5">
        <v>2547</v>
      </c>
      <c r="B2608" s="138">
        <f>'Acct Summary 7-8'!G13</f>
        <v>285508</v>
      </c>
      <c r="C2608" s="2" t="s">
        <v>594</v>
      </c>
      <c r="D2608" s="2" t="str">
        <f t="shared" si="39"/>
        <v>Error?</v>
      </c>
    </row>
    <row r="2609" spans="1:4" x14ac:dyDescent="0.2">
      <c r="A2609" s="5">
        <v>2548</v>
      </c>
      <c r="B2609" s="138">
        <f>'Acct Summary 7-8'!G14</f>
        <v>35</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379873</v>
      </c>
      <c r="C2612" s="2" t="s">
        <v>594</v>
      </c>
      <c r="D2612" s="2" t="str">
        <f t="shared" si="39"/>
        <v>Error?</v>
      </c>
    </row>
    <row r="2613" spans="1:4" x14ac:dyDescent="0.2">
      <c r="A2613" s="5">
        <v>2552</v>
      </c>
      <c r="B2613" s="138">
        <f>'Acct Summary 7-8'!G20</f>
        <v>20175</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997901</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997901</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1002370</v>
      </c>
      <c r="C2634" s="2" t="s">
        <v>594</v>
      </c>
      <c r="D2634" s="2" t="str">
        <f t="shared" si="40"/>
        <v>Error?</v>
      </c>
    </row>
    <row r="2635" spans="1:4" x14ac:dyDescent="0.2">
      <c r="A2635" s="5">
        <v>2574</v>
      </c>
      <c r="B2635" s="138">
        <f>'Acct Summary 7-8'!E17</f>
        <v>1002370</v>
      </c>
      <c r="C2635" s="2" t="s">
        <v>594</v>
      </c>
      <c r="D2635" s="2" t="str">
        <f t="shared" si="40"/>
        <v>Error?</v>
      </c>
    </row>
    <row r="2636" spans="1:4" x14ac:dyDescent="0.2">
      <c r="A2636" s="5">
        <v>2575</v>
      </c>
      <c r="B2636" s="138">
        <f>'Acct Summary 7-8'!E20</f>
        <v>-4469</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422997</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422997</v>
      </c>
      <c r="C2658" s="2" t="s">
        <v>594</v>
      </c>
      <c r="D2658" s="2" t="str">
        <f t="shared" si="40"/>
        <v>Error?</v>
      </c>
    </row>
    <row r="2659" spans="1:4" x14ac:dyDescent="0.2">
      <c r="A2659" s="5">
        <v>2598</v>
      </c>
      <c r="B2659" s="138">
        <f>'Acct Summary 7-8'!H13</f>
        <v>161302</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161302</v>
      </c>
      <c r="C2661" s="2" t="s">
        <v>594</v>
      </c>
      <c r="D2661" s="2" t="str">
        <f t="shared" si="40"/>
        <v>Error?</v>
      </c>
    </row>
    <row r="2662" spans="1:4" x14ac:dyDescent="0.2">
      <c r="A2662" s="5">
        <v>2601</v>
      </c>
      <c r="B2662" s="138">
        <f>'Acct Summary 7-8'!H20</f>
        <v>261695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4915</v>
      </c>
      <c r="D2718" s="2" t="str">
        <f t="shared" si="41"/>
        <v>Error?</v>
      </c>
    </row>
    <row r="2719" spans="1:4" x14ac:dyDescent="0.2">
      <c r="A2719" s="5">
        <v>2658</v>
      </c>
      <c r="B2719" s="138">
        <f>'Expenditures 15-22'!D51</f>
        <v>2</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608</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5525</v>
      </c>
      <c r="C2724" s="2" t="s">
        <v>594</v>
      </c>
      <c r="D2724" s="2" t="str">
        <f t="shared" si="41"/>
        <v>Error?</v>
      </c>
    </row>
    <row r="2725" spans="1:4" x14ac:dyDescent="0.2">
      <c r="A2725" s="5">
        <v>2664</v>
      </c>
      <c r="B2725" s="138">
        <f>'Expenditures 15-22'!D247</f>
        <v>911</v>
      </c>
      <c r="D2725" s="2" t="str">
        <f t="shared" si="41"/>
        <v>Error?</v>
      </c>
    </row>
    <row r="2726" spans="1:4" x14ac:dyDescent="0.2">
      <c r="A2726" s="5">
        <v>2665</v>
      </c>
      <c r="B2726" s="138">
        <f>'Expenditures 15-22'!K247</f>
        <v>911</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1451390</v>
      </c>
      <c r="C2789" s="2" t="s">
        <v>594</v>
      </c>
      <c r="D2789" s="2" t="str">
        <f t="shared" si="42"/>
        <v>Error?</v>
      </c>
    </row>
    <row r="2790" spans="1:4" x14ac:dyDescent="0.2">
      <c r="A2790" s="5">
        <v>2729</v>
      </c>
      <c r="B2790" s="138">
        <f>'Expenditures 15-22'!E102</f>
        <v>1451390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3843900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3896796</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746157</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993883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3896796</v>
      </c>
      <c r="D2912" s="2" t="str">
        <f t="shared" si="44"/>
        <v>Error?</v>
      </c>
    </row>
    <row r="2913" spans="1:4" x14ac:dyDescent="0.2">
      <c r="A2913" s="5">
        <v>2852</v>
      </c>
      <c r="B2913" s="138">
        <f>'Assets-Liab 5-6'!I41</f>
        <v>3896796</v>
      </c>
      <c r="C2913" s="2" t="s">
        <v>594</v>
      </c>
      <c r="D2913" s="2" t="str">
        <f t="shared" si="44"/>
        <v>Error?</v>
      </c>
    </row>
    <row r="2914" spans="1:4" x14ac:dyDescent="0.2">
      <c r="A2914" s="5">
        <v>2853</v>
      </c>
      <c r="B2914" s="138">
        <f>'Assets-Liab 5-6'!L33</f>
        <v>993883</v>
      </c>
      <c r="D2914" s="2" t="str">
        <f t="shared" si="44"/>
        <v>Error?</v>
      </c>
    </row>
    <row r="2915" spans="1:4" x14ac:dyDescent="0.2">
      <c r="A2915" s="10">
        <v>2854</v>
      </c>
      <c r="D2915" s="2" t="str">
        <f t="shared" si="44"/>
        <v>OK</v>
      </c>
    </row>
    <row r="2916" spans="1:4" x14ac:dyDescent="0.2">
      <c r="A2916" s="5">
        <v>2855</v>
      </c>
      <c r="B2916" s="138">
        <f>'Assets-Liab 5-6'!L34</f>
        <v>993883</v>
      </c>
      <c r="C2916" s="2" t="s">
        <v>594</v>
      </c>
      <c r="D2916" s="2" t="str">
        <f t="shared" si="44"/>
        <v>Error?</v>
      </c>
    </row>
    <row r="2917" spans="1:4" x14ac:dyDescent="0.2">
      <c r="A2917" s="5">
        <v>2856</v>
      </c>
      <c r="B2917" s="138">
        <f>'Assets-Liab 5-6'!L41</f>
        <v>993883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3920</v>
      </c>
      <c r="D2949" s="2" t="str">
        <f t="shared" si="45"/>
        <v>Error?</v>
      </c>
    </row>
    <row r="2950" spans="1:4" x14ac:dyDescent="0.2">
      <c r="A2950" s="5">
        <v>2889</v>
      </c>
      <c r="B2950" s="138">
        <f>'Expenditures 15-22'!E79</f>
        <v>1447470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3920</v>
      </c>
      <c r="C2973" s="2" t="s">
        <v>594</v>
      </c>
      <c r="D2973" s="2" t="str">
        <f t="shared" si="45"/>
        <v>Error?</v>
      </c>
    </row>
    <row r="2974" spans="1:4" x14ac:dyDescent="0.2">
      <c r="A2974" s="5">
        <v>2913</v>
      </c>
      <c r="B2974" s="138">
        <f>'Expenditures 15-22'!K79</f>
        <v>1447470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155183</v>
      </c>
      <c r="D3055" s="2" t="str">
        <f t="shared" si="46"/>
        <v>Error?</v>
      </c>
    </row>
    <row r="3056" spans="1:4" x14ac:dyDescent="0.2">
      <c r="A3056" s="5">
        <v>2995</v>
      </c>
      <c r="B3056" s="138">
        <f>'Expenditures 15-22'!D10</f>
        <v>48813</v>
      </c>
      <c r="D3056" s="2" t="str">
        <f t="shared" si="46"/>
        <v>Error?</v>
      </c>
    </row>
    <row r="3057" spans="1:4" x14ac:dyDescent="0.2">
      <c r="A3057" s="5">
        <v>2996</v>
      </c>
      <c r="B3057" s="138">
        <f>'Expenditures 15-22'!E10</f>
        <v>5238</v>
      </c>
      <c r="D3057" s="2" t="str">
        <f t="shared" si="46"/>
        <v>Error?</v>
      </c>
    </row>
    <row r="3058" spans="1:4" x14ac:dyDescent="0.2">
      <c r="A3058" s="5">
        <v>2997</v>
      </c>
      <c r="B3058" s="138">
        <f>'Expenditures 15-22'!F10</f>
        <v>64592</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273826</v>
      </c>
      <c r="C3062" s="2" t="s">
        <v>594</v>
      </c>
      <c r="D3062" s="2" t="str">
        <f t="shared" si="46"/>
        <v>Error?</v>
      </c>
    </row>
    <row r="3063" spans="1:4" x14ac:dyDescent="0.2">
      <c r="A3063" s="10">
        <v>3002</v>
      </c>
      <c r="D3063" s="2" t="str">
        <f t="shared" si="46"/>
        <v>OK</v>
      </c>
    </row>
    <row r="3064" spans="1:4" x14ac:dyDescent="0.2">
      <c r="A3064" s="5">
        <v>3003</v>
      </c>
      <c r="B3064" s="138">
        <f>'Expenditures 15-22'!D219</f>
        <v>10541</v>
      </c>
      <c r="D3064" s="2" t="str">
        <f t="shared" si="46"/>
        <v>Error?</v>
      </c>
    </row>
    <row r="3065" spans="1:4" x14ac:dyDescent="0.2">
      <c r="A3065" s="5">
        <v>3004</v>
      </c>
      <c r="B3065" s="138">
        <f>'Expenditures 15-22'!K219</f>
        <v>10541</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31416</v>
      </c>
      <c r="C3225" s="2" t="s">
        <v>594</v>
      </c>
      <c r="D3225" s="2" t="str">
        <f t="shared" si="49"/>
        <v>Error?</v>
      </c>
    </row>
    <row r="3226" spans="1:4" x14ac:dyDescent="0.2">
      <c r="A3226" s="5">
        <v>3165</v>
      </c>
      <c r="B3226" s="138">
        <f>'Acct Summary 7-8'!I8</f>
        <v>31416</v>
      </c>
      <c r="C3226" s="2" t="s">
        <v>594</v>
      </c>
      <c r="D3226" s="2" t="str">
        <f t="shared" si="49"/>
        <v>Error?</v>
      </c>
    </row>
    <row r="3227" spans="1:4" x14ac:dyDescent="0.2">
      <c r="A3227" s="5">
        <v>3166</v>
      </c>
      <c r="B3227" s="138">
        <f>'Acct Summary 7-8'!I20</f>
        <v>31416</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500000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500000</v>
      </c>
      <c r="C3232" s="2" t="s">
        <v>594</v>
      </c>
      <c r="D3232" s="2" t="str">
        <f t="shared" si="49"/>
        <v>Error?</v>
      </c>
    </row>
    <row r="3233" spans="1:4" x14ac:dyDescent="0.2">
      <c r="A3233" s="5">
        <v>3172</v>
      </c>
      <c r="B3233" s="138">
        <f>'Acct Summary 7-8'!C78</f>
        <v>937489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-15730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79767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20175</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-4469</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261695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1390000</v>
      </c>
      <c r="C3317" s="2" t="s">
        <v>594</v>
      </c>
      <c r="D3317" s="2" t="str">
        <f t="shared" si="50"/>
        <v>Error?</v>
      </c>
    </row>
    <row r="3318" spans="1:4" x14ac:dyDescent="0.2">
      <c r="A3318" s="5">
        <v>3257</v>
      </c>
      <c r="B3318" s="138">
        <f>'Acct Summary 7-8'!I76</f>
        <v>526300</v>
      </c>
      <c r="C3318" s="2" t="s">
        <v>594</v>
      </c>
      <c r="D3318" s="2" t="str">
        <f t="shared" si="50"/>
        <v>Error?</v>
      </c>
    </row>
    <row r="3319" spans="1:4" x14ac:dyDescent="0.2">
      <c r="A3319" s="5">
        <v>3258</v>
      </c>
      <c r="B3319" s="138">
        <f>'Acct Summary 7-8'!I77</f>
        <v>863700</v>
      </c>
      <c r="C3319" s="2" t="s">
        <v>594</v>
      </c>
      <c r="D3319" s="2" t="str">
        <f t="shared" si="50"/>
        <v>Error?</v>
      </c>
    </row>
    <row r="3320" spans="1:4" x14ac:dyDescent="0.2">
      <c r="A3320" s="5">
        <v>3259</v>
      </c>
      <c r="B3320" s="138">
        <f>'Acct Summary 7-8'!I78</f>
        <v>895116</v>
      </c>
      <c r="C3320" s="2" t="s">
        <v>594</v>
      </c>
      <c r="D3320" s="2" t="str">
        <f t="shared" si="50"/>
        <v>Error?</v>
      </c>
    </row>
    <row r="3321" spans="1:4" x14ac:dyDescent="0.2">
      <c r="A3321" s="5">
        <v>3260</v>
      </c>
      <c r="B3321" s="138">
        <f>'Acct Summary 7-8'!I79</f>
        <v>3001680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3896796</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30065</v>
      </c>
      <c r="D3366" s="2" t="str">
        <f t="shared" si="51"/>
        <v>Error?</v>
      </c>
    </row>
    <row r="3367" spans="1:4" x14ac:dyDescent="0.2">
      <c r="A3367" s="5">
        <v>3306</v>
      </c>
      <c r="B3367" s="138">
        <f>'Expenditures 15-22'!C19</f>
        <v>11978</v>
      </c>
      <c r="D3367" s="2" t="str">
        <f t="shared" si="51"/>
        <v>Error?</v>
      </c>
    </row>
    <row r="3368" spans="1:4" x14ac:dyDescent="0.2">
      <c r="A3368" s="5">
        <v>3307</v>
      </c>
      <c r="B3368" s="138">
        <f>'Expenditures 15-22'!D8</f>
        <v>517</v>
      </c>
      <c r="D3368" s="2" t="str">
        <f t="shared" si="51"/>
        <v>Error?</v>
      </c>
    </row>
    <row r="3369" spans="1:4" x14ac:dyDescent="0.2">
      <c r="A3369" s="5">
        <v>3308</v>
      </c>
      <c r="B3369" s="138">
        <f>'Expenditures 15-22'!D19</f>
        <v>236</v>
      </c>
      <c r="D3369" s="2" t="str">
        <f t="shared" si="51"/>
        <v>Error?</v>
      </c>
    </row>
    <row r="3370" spans="1:4" x14ac:dyDescent="0.2">
      <c r="A3370" s="5">
        <v>3309</v>
      </c>
      <c r="B3370" s="138">
        <f>'Expenditures 15-22'!E8</f>
        <v>3150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157</v>
      </c>
      <c r="D3372" s="2" t="str">
        <f t="shared" si="51"/>
        <v>Error?</v>
      </c>
    </row>
    <row r="3373" spans="1:4" x14ac:dyDescent="0.2">
      <c r="A3373" s="5">
        <v>3312</v>
      </c>
      <c r="B3373" s="138">
        <f>'Expenditures 15-22'!F19</f>
        <v>260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33889</v>
      </c>
      <c r="C3380" s="2" t="s">
        <v>594</v>
      </c>
      <c r="D3380" s="2" t="str">
        <f t="shared" si="51"/>
        <v>Error?</v>
      </c>
    </row>
    <row r="3381" spans="1:4" x14ac:dyDescent="0.2">
      <c r="A3381" s="5">
        <v>3320</v>
      </c>
      <c r="B3381" s="138">
        <f>'Expenditures 15-22'!K19</f>
        <v>12474</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67930</v>
      </c>
      <c r="D3387" s="2" t="str">
        <f t="shared" si="51"/>
        <v>Error?</v>
      </c>
    </row>
    <row r="3388" spans="1:4" x14ac:dyDescent="0.2">
      <c r="A3388" s="5">
        <v>3327</v>
      </c>
      <c r="B3388" s="138">
        <f>'Expenditures 15-22'!D217</f>
        <v>1257</v>
      </c>
      <c r="D3388" s="2" t="str">
        <f t="shared" si="51"/>
        <v>Error?</v>
      </c>
    </row>
    <row r="3389" spans="1:4" x14ac:dyDescent="0.2">
      <c r="A3389" s="5">
        <v>3328</v>
      </c>
      <c r="B3389" s="138">
        <f>'Expenditures 15-22'!D228</f>
        <v>588</v>
      </c>
      <c r="D3389" s="2" t="str">
        <f t="shared" si="51"/>
        <v>Error?</v>
      </c>
    </row>
    <row r="3390" spans="1:4" x14ac:dyDescent="0.2">
      <c r="A3390" s="5">
        <v>3329</v>
      </c>
      <c r="B3390" s="138">
        <f>'Expenditures 15-22'!K215</f>
        <v>67930</v>
      </c>
      <c r="C3390" s="2" t="s">
        <v>594</v>
      </c>
      <c r="D3390" s="2" t="str">
        <f t="shared" si="51"/>
        <v>Error?</v>
      </c>
    </row>
    <row r="3391" spans="1:4" x14ac:dyDescent="0.2">
      <c r="A3391" s="5">
        <v>3330</v>
      </c>
      <c r="B3391" s="138">
        <f>'Expenditures 15-22'!K217</f>
        <v>1257</v>
      </c>
      <c r="C3391" s="2" t="s">
        <v>594</v>
      </c>
      <c r="D3391" s="2" t="str">
        <f t="shared" ref="D3391:D3454" si="52">IF(ISBLANK(B3391),"OK",IF(A3391-B3391=0,"OK","Error?"))</f>
        <v>Error?</v>
      </c>
    </row>
    <row r="3392" spans="1:4" x14ac:dyDescent="0.2">
      <c r="A3392" s="5">
        <v>3331</v>
      </c>
      <c r="B3392" s="138">
        <f>'Expenditures 15-22'!K228</f>
        <v>588</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1311762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28866</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141359</v>
      </c>
      <c r="D3417" s="2" t="str">
        <f t="shared" si="52"/>
        <v>Error?</v>
      </c>
    </row>
    <row r="3418" spans="1:4" x14ac:dyDescent="0.2">
      <c r="A3418" s="10">
        <v>3357</v>
      </c>
      <c r="D3418" s="2" t="str">
        <f t="shared" si="52"/>
        <v>OK</v>
      </c>
    </row>
    <row r="3419" spans="1:4" x14ac:dyDescent="0.2">
      <c r="A3419" s="5">
        <v>3358</v>
      </c>
      <c r="B3419" s="138">
        <f>'Assets-Liab 5-6'!F4</f>
        <v>230764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107161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564874</v>
      </c>
      <c r="D3425" s="2" t="str">
        <f t="shared" si="52"/>
        <v>Error?</v>
      </c>
    </row>
    <row r="3426" spans="1:4" x14ac:dyDescent="0.2">
      <c r="A3426" s="10">
        <v>3365</v>
      </c>
      <c r="D3426" s="2" t="str">
        <f t="shared" si="52"/>
        <v>OK</v>
      </c>
    </row>
    <row r="3427" spans="1:4" x14ac:dyDescent="0.2">
      <c r="A3427" s="5">
        <v>3366</v>
      </c>
      <c r="B3427" s="138">
        <f>'Assets-Liab 5-6'!I4</f>
        <v>52896</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247726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210512</v>
      </c>
      <c r="C3446" s="2" t="s">
        <v>594</v>
      </c>
      <c r="D3446" s="2" t="str">
        <f t="shared" si="52"/>
        <v>Error?</v>
      </c>
    </row>
    <row r="3447" spans="1:4" x14ac:dyDescent="0.2">
      <c r="A3447" s="5">
        <v>3386</v>
      </c>
      <c r="B3447" s="138">
        <f>'Tax Sched 23'!D16</f>
        <v>210512</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214547</v>
      </c>
      <c r="C3449" s="2" t="s">
        <v>594</v>
      </c>
      <c r="D3449" s="2" t="str">
        <f t="shared" si="52"/>
        <v>Error?</v>
      </c>
    </row>
    <row r="3450" spans="1:4" x14ac:dyDescent="0.2">
      <c r="A3450" s="5">
        <v>3389</v>
      </c>
      <c r="B3450" s="138">
        <f>'Tax Sched 23'!E16</f>
        <v>214547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3533</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3533</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92405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144138</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236543</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236543</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236543</v>
      </c>
      <c r="C3568" s="2" t="s">
        <v>594</v>
      </c>
      <c r="D3568" s="2" t="str">
        <f t="shared" si="54"/>
        <v>Error?</v>
      </c>
    </row>
    <row r="3569" spans="1:4" x14ac:dyDescent="0.2">
      <c r="A3569" s="5">
        <v>3508</v>
      </c>
      <c r="B3569" s="138">
        <f>'Acct Summary 7-8'!K4</f>
        <v>22122</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22122</v>
      </c>
      <c r="C3571" s="2" t="s">
        <v>594</v>
      </c>
      <c r="D3571" s="2" t="str">
        <f t="shared" si="54"/>
        <v>Error?</v>
      </c>
    </row>
    <row r="3572" spans="1:4" x14ac:dyDescent="0.2">
      <c r="A3572" s="5">
        <v>3511</v>
      </c>
      <c r="B3572" s="138">
        <f>'Acct Summary 7-8'!K13</f>
        <v>511150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511150</v>
      </c>
      <c r="C3575" s="2" t="s">
        <v>594</v>
      </c>
      <c r="D3575" s="2" t="str">
        <f t="shared" si="54"/>
        <v>Error?</v>
      </c>
    </row>
    <row r="3576" spans="1:4" x14ac:dyDescent="0.2">
      <c r="A3576" s="5">
        <v>3515</v>
      </c>
      <c r="B3576" s="138">
        <f>'Acct Summary 7-8'!K20</f>
        <v>-489028</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-489028</v>
      </c>
      <c r="C3588" s="2" t="s">
        <v>594</v>
      </c>
      <c r="D3588" s="2" t="str">
        <f t="shared" si="55"/>
        <v>Error?</v>
      </c>
    </row>
    <row r="3589" spans="1:4" x14ac:dyDescent="0.2">
      <c r="A3589" s="5">
        <v>3528</v>
      </c>
      <c r="B3589" s="138">
        <f>'Acct Summary 7-8'!K79</f>
        <v>725571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236543</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21105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21105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21105</v>
      </c>
      <c r="C3635" s="2" t="s">
        <v>594</v>
      </c>
      <c r="D3635" s="2" t="str">
        <f t="shared" si="55"/>
        <v>Error?</v>
      </c>
    </row>
    <row r="3636" spans="1:4" x14ac:dyDescent="0.2">
      <c r="A3636" s="5">
        <v>3575</v>
      </c>
      <c r="B3636" s="138">
        <f>'Expenditures 15-22'!E367</f>
        <v>21105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490045</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490045</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490045</v>
      </c>
      <c r="C3649" s="2" t="s">
        <v>594</v>
      </c>
      <c r="D3649" s="2" t="str">
        <f t="shared" si="56"/>
        <v>Error?</v>
      </c>
    </row>
    <row r="3650" spans="1:4" x14ac:dyDescent="0.2">
      <c r="A3650" s="5">
        <v>3589</v>
      </c>
      <c r="B3650" s="138">
        <f>'Expenditures 15-22'!G367</f>
        <v>490045</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511150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511150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511150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511150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-489028</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248710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3938038</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14020984</v>
      </c>
      <c r="C4122" s="2" t="s">
        <v>594</v>
      </c>
      <c r="D4122" s="2" t="str">
        <f t="shared" si="63"/>
        <v>Error?</v>
      </c>
    </row>
    <row r="4123" spans="1:4" x14ac:dyDescent="0.2">
      <c r="A4123" s="5">
        <v>4062</v>
      </c>
      <c r="B4123" s="138">
        <f>'Acct Summary 7-8'!D10</f>
        <v>884722</v>
      </c>
      <c r="C4123" s="2" t="s">
        <v>594</v>
      </c>
      <c r="D4123" s="2" t="str">
        <f t="shared" si="63"/>
        <v>Error?</v>
      </c>
    </row>
    <row r="4124" spans="1:4" x14ac:dyDescent="0.2">
      <c r="A4124" s="5">
        <v>4063</v>
      </c>
      <c r="B4124" s="138">
        <f>'Acct Summary 7-8'!E10</f>
        <v>997901</v>
      </c>
      <c r="C4124" s="2" t="s">
        <v>594</v>
      </c>
      <c r="D4124" s="2" t="str">
        <f t="shared" si="63"/>
        <v>Error?</v>
      </c>
    </row>
    <row r="4125" spans="1:4" x14ac:dyDescent="0.2">
      <c r="A4125" s="5">
        <v>4064</v>
      </c>
      <c r="B4125" s="138">
        <f>'Acct Summary 7-8'!F10</f>
        <v>746494</v>
      </c>
      <c r="C4125" s="2" t="s">
        <v>594</v>
      </c>
      <c r="D4125" s="2" t="str">
        <f t="shared" si="63"/>
        <v>Error?</v>
      </c>
    </row>
    <row r="4126" spans="1:4" x14ac:dyDescent="0.2">
      <c r="A4126" s="5">
        <v>4065</v>
      </c>
      <c r="B4126" s="138">
        <f>'Acct Summary 7-8'!G10</f>
        <v>400048</v>
      </c>
      <c r="C4126" s="2" t="s">
        <v>594</v>
      </c>
      <c r="D4126" s="2" t="str">
        <f t="shared" si="63"/>
        <v>Error?</v>
      </c>
    </row>
    <row r="4127" spans="1:4" x14ac:dyDescent="0.2">
      <c r="A4127" s="5">
        <v>4066</v>
      </c>
      <c r="B4127" s="138">
        <f>'Acct Summary 7-8'!H10</f>
        <v>422997</v>
      </c>
      <c r="C4127" s="2" t="s">
        <v>594</v>
      </c>
      <c r="D4127" s="2" t="str">
        <f t="shared" si="63"/>
        <v>Error?</v>
      </c>
    </row>
    <row r="4128" spans="1:4" x14ac:dyDescent="0.2">
      <c r="A4128" s="5">
        <v>4067</v>
      </c>
      <c r="B4128" s="138">
        <f>'Acct Summary 7-8'!I10</f>
        <v>31416</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22122</v>
      </c>
      <c r="C4130" s="2" t="s">
        <v>594</v>
      </c>
      <c r="D4130" s="2" t="str">
        <f t="shared" si="63"/>
        <v>Error?</v>
      </c>
    </row>
    <row r="4131" spans="1:4" x14ac:dyDescent="0.2">
      <c r="A4131" s="5">
        <v>4070</v>
      </c>
      <c r="B4131" s="138">
        <f>'Acct Summary 7-8'!C18</f>
        <v>3938038</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13583495</v>
      </c>
      <c r="C4136" s="2" t="s">
        <v>594</v>
      </c>
      <c r="D4136" s="2" t="str">
        <f t="shared" si="63"/>
        <v>Error?</v>
      </c>
    </row>
    <row r="4137" spans="1:4" x14ac:dyDescent="0.2">
      <c r="A4137" s="5">
        <v>4076</v>
      </c>
      <c r="B4137" s="138">
        <f>'Acct Summary 7-8'!D19</f>
        <v>900452</v>
      </c>
      <c r="C4137" s="2" t="s">
        <v>594</v>
      </c>
      <c r="D4137" s="2" t="str">
        <f t="shared" si="63"/>
        <v>Error?</v>
      </c>
    </row>
    <row r="4138" spans="1:4" x14ac:dyDescent="0.2">
      <c r="A4138" s="5">
        <v>4077</v>
      </c>
      <c r="B4138" s="138">
        <f>'Acct Summary 7-8'!E19</f>
        <v>1002370</v>
      </c>
      <c r="C4138" s="2" t="s">
        <v>594</v>
      </c>
      <c r="D4138" s="2" t="str">
        <f t="shared" si="63"/>
        <v>Error?</v>
      </c>
    </row>
    <row r="4139" spans="1:4" x14ac:dyDescent="0.2">
      <c r="A4139" s="5">
        <v>4078</v>
      </c>
      <c r="B4139" s="138">
        <f>'Acct Summary 7-8'!F19</f>
        <v>666727</v>
      </c>
      <c r="C4139" s="2" t="s">
        <v>594</v>
      </c>
      <c r="D4139" s="2" t="str">
        <f t="shared" si="63"/>
        <v>Error?</v>
      </c>
    </row>
    <row r="4140" spans="1:4" x14ac:dyDescent="0.2">
      <c r="A4140" s="5">
        <v>4079</v>
      </c>
      <c r="B4140" s="138">
        <f>'Acct Summary 7-8'!G19</f>
        <v>379873</v>
      </c>
      <c r="C4140" s="2" t="s">
        <v>594</v>
      </c>
      <c r="D4140" s="2" t="str">
        <f t="shared" si="63"/>
        <v>Error?</v>
      </c>
    </row>
    <row r="4141" spans="1:4" x14ac:dyDescent="0.2">
      <c r="A4141" s="5">
        <v>4080</v>
      </c>
      <c r="B4141" s="138">
        <f>'Acct Summary 7-8'!H19</f>
        <v>161302</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511150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3861000</v>
      </c>
      <c r="C4171" s="2" t="s">
        <v>594</v>
      </c>
      <c r="D4171" s="2" t="str">
        <f t="shared" si="64"/>
        <v>Error?</v>
      </c>
    </row>
    <row r="4172" spans="1:4" x14ac:dyDescent="0.2">
      <c r="A4172" s="5">
        <v>4111</v>
      </c>
      <c r="B4172" s="138">
        <f>'Short-Term Long-Term Debt 24'!J49</f>
        <v>3719641</v>
      </c>
      <c r="C4172" s="2" t="s">
        <v>594</v>
      </c>
      <c r="D4172" s="2" t="str">
        <f t="shared" si="64"/>
        <v>Error?</v>
      </c>
    </row>
    <row r="4173" spans="1:4" x14ac:dyDescent="0.2">
      <c r="A4173" s="5">
        <v>4112</v>
      </c>
      <c r="B4173" s="138">
        <f>'Short-Term Long-Term Debt 24'!H49</f>
        <v>913413</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2103.14</v>
      </c>
      <c r="C4265" s="2" t="s">
        <v>594</v>
      </c>
      <c r="D4265" s="2" t="str">
        <f t="shared" si="65"/>
        <v>Error?</v>
      </c>
      <c r="E4265" s="128"/>
    </row>
    <row r="4266" spans="1:5" x14ac:dyDescent="0.2">
      <c r="A4266" s="12">
        <v>4205</v>
      </c>
      <c r="B4266" s="138">
        <f>('FP Info 3'!F10)*100000</f>
        <v>488.23</v>
      </c>
      <c r="C4266" s="2" t="s">
        <v>594</v>
      </c>
      <c r="D4266" s="2" t="str">
        <f t="shared" si="65"/>
        <v>Error?</v>
      </c>
      <c r="E4266" s="128"/>
    </row>
    <row r="4267" spans="1:5" x14ac:dyDescent="0.2">
      <c r="A4267" s="12">
        <v>4206</v>
      </c>
      <c r="B4267" s="138">
        <f>('FP Info 3'!H10)*100000</f>
        <v>204.36999999999998</v>
      </c>
      <c r="C4267" s="2" t="s">
        <v>594</v>
      </c>
      <c r="D4267" s="2" t="str">
        <f t="shared" si="65"/>
        <v>Error?</v>
      </c>
      <c r="E4267" s="128"/>
    </row>
    <row r="4268" spans="1:5" x14ac:dyDescent="0.2">
      <c r="A4268" s="12">
        <v>4207</v>
      </c>
      <c r="B4268" s="138">
        <f>('FP Info 3'!J10)*100000</f>
        <v>2796</v>
      </c>
      <c r="C4268" s="2" t="s">
        <v>594</v>
      </c>
      <c r="D4268" s="2" t="str">
        <f t="shared" si="65"/>
        <v>Error?</v>
      </c>
    </row>
    <row r="4269" spans="1:5" x14ac:dyDescent="0.2">
      <c r="A4269" s="12">
        <v>4208</v>
      </c>
      <c r="B4269" s="138">
        <f>'FP Info 3'!J16</f>
        <v>7886468</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7748</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14100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41730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2082</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46841</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3.4400000000000004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1979</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156159725</v>
      </c>
      <c r="D4995" s="2" t="str">
        <f t="shared" si="77"/>
        <v>Error?</v>
      </c>
    </row>
    <row r="4996" spans="1:4" x14ac:dyDescent="0.2">
      <c r="A4996" s="12">
        <v>4935</v>
      </c>
      <c r="B4996" s="138">
        <f>'FP Info 3'!H31</f>
        <v>21550042.050000001</v>
      </c>
      <c r="D4996" s="2" t="str">
        <f t="shared" si="77"/>
        <v>Error?</v>
      </c>
    </row>
    <row r="4997" spans="1:4" x14ac:dyDescent="0.2">
      <c r="A4997" s="12">
        <v>4936</v>
      </c>
      <c r="B4997" s="138">
        <f>'FP Info 3'!H37</f>
        <v>3861000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3007946</v>
      </c>
      <c r="D5061" s="2" t="str">
        <f t="shared" si="78"/>
        <v>Error?</v>
      </c>
    </row>
    <row r="5062" spans="1:4" x14ac:dyDescent="0.2">
      <c r="A5062" s="10">
        <v>5001</v>
      </c>
      <c r="D5062" s="2" t="str">
        <f t="shared" si="78"/>
        <v>OK</v>
      </c>
    </row>
    <row r="5063" spans="1:4" x14ac:dyDescent="0.2">
      <c r="A5063" s="5">
        <v>5002</v>
      </c>
      <c r="B5063" s="138">
        <f>'Revenues 9-14'!C7</f>
        <v>116840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3124786</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312286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312286</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20647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20647</v>
      </c>
      <c r="C5090" s="2" t="s">
        <v>594</v>
      </c>
      <c r="D5090" s="2" t="str">
        <f t="shared" si="78"/>
        <v>Error?</v>
      </c>
    </row>
    <row r="5091" spans="1:4" x14ac:dyDescent="0.2">
      <c r="A5091" s="5">
        <v>5030</v>
      </c>
      <c r="B5091" s="138">
        <f>'Revenues 9-14'!C70</f>
        <v>9501</v>
      </c>
      <c r="D5091" s="2" t="str">
        <f t="shared" si="78"/>
        <v>Error?</v>
      </c>
    </row>
    <row r="5092" spans="1:4" x14ac:dyDescent="0.2">
      <c r="A5092" s="5">
        <v>5031</v>
      </c>
      <c r="B5092" s="138">
        <f>'Revenues 9-14'!C71</f>
        <v>66493</v>
      </c>
      <c r="D5092" s="2" t="str">
        <f t="shared" si="78"/>
        <v>Error?</v>
      </c>
    </row>
    <row r="5093" spans="1:4" x14ac:dyDescent="0.2">
      <c r="A5093" s="5">
        <v>5032</v>
      </c>
      <c r="B5093" s="138">
        <f>'Revenues 9-14'!C72</f>
        <v>16822</v>
      </c>
      <c r="D5093" s="2" t="str">
        <f t="shared" si="78"/>
        <v>Error?</v>
      </c>
    </row>
    <row r="5094" spans="1:4" x14ac:dyDescent="0.2">
      <c r="A5094" s="5">
        <v>5033</v>
      </c>
      <c r="B5094" s="138">
        <f>'Revenues 9-14'!C73</f>
        <v>5649</v>
      </c>
      <c r="D5094" s="2" t="str">
        <f t="shared" si="78"/>
        <v>Error?</v>
      </c>
    </row>
    <row r="5095" spans="1:4" x14ac:dyDescent="0.2">
      <c r="A5095" s="5">
        <v>5034</v>
      </c>
      <c r="B5095" s="138">
        <f>'Revenues 9-14'!C74</f>
        <v>4579</v>
      </c>
      <c r="D5095" s="2" t="str">
        <f t="shared" si="78"/>
        <v>Error?</v>
      </c>
    </row>
    <row r="5096" spans="1:4" x14ac:dyDescent="0.2">
      <c r="A5096" s="5">
        <v>5035</v>
      </c>
      <c r="B5096" s="138">
        <f>'Revenues 9-14'!C75</f>
        <v>214919</v>
      </c>
      <c r="C5096" s="2" t="s">
        <v>594</v>
      </c>
      <c r="D5096" s="2" t="str">
        <f t="shared" si="78"/>
        <v>Error?</v>
      </c>
    </row>
    <row r="5097" spans="1:4" x14ac:dyDescent="0.2">
      <c r="A5097" s="5">
        <v>5036</v>
      </c>
      <c r="B5097" s="138">
        <f>'Revenues 9-14'!C77</f>
        <v>35283</v>
      </c>
      <c r="D5097" s="2" t="str">
        <f t="shared" si="78"/>
        <v>Error?</v>
      </c>
    </row>
    <row r="5098" spans="1:4" x14ac:dyDescent="0.2">
      <c r="A5098" s="5">
        <v>5037</v>
      </c>
      <c r="B5098" s="138">
        <f>'Revenues 9-14'!C78</f>
        <v>0</v>
      </c>
      <c r="D5098" s="2" t="str">
        <f t="shared" si="78"/>
        <v>Error?</v>
      </c>
    </row>
    <row r="5099" spans="1:4" x14ac:dyDescent="0.2">
      <c r="A5099" s="5">
        <v>5038</v>
      </c>
      <c r="B5099" s="138">
        <f>'Revenues 9-14'!C79</f>
        <v>83198</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1348</v>
      </c>
      <c r="D5101" s="2" t="str">
        <f t="shared" si="78"/>
        <v>Error?</v>
      </c>
    </row>
    <row r="5102" spans="1:4" x14ac:dyDescent="0.2">
      <c r="A5102" s="5">
        <v>5041</v>
      </c>
      <c r="B5102" s="138">
        <f>'Revenues 9-14'!C82</f>
        <v>119829</v>
      </c>
      <c r="C5102" s="2" t="s">
        <v>594</v>
      </c>
      <c r="D5102" s="2" t="str">
        <f t="shared" si="78"/>
        <v>Error?</v>
      </c>
    </row>
    <row r="5103" spans="1:4" x14ac:dyDescent="0.2">
      <c r="A5103" s="5">
        <v>5042</v>
      </c>
      <c r="B5103" s="138">
        <f>'Revenues 9-14'!C84</f>
        <v>95756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95756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8356</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11468</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5098</v>
      </c>
      <c r="D5119" s="2" t="str">
        <f t="shared" ref="D5119:D5182" si="79">IF(ISBLANK(B5119),"OK",IF(A5119-B5119=0,"OK","Error?"))</f>
        <v>Error?</v>
      </c>
    </row>
    <row r="5120" spans="1:4" x14ac:dyDescent="0.2">
      <c r="A5120" s="5">
        <v>5059</v>
      </c>
      <c r="B5120" s="138">
        <f>'Revenues 9-14'!C108</f>
        <v>36487</v>
      </c>
      <c r="C5120" s="2" t="s">
        <v>594</v>
      </c>
      <c r="D5120" s="2" t="str">
        <f t="shared" si="79"/>
        <v>Error?</v>
      </c>
    </row>
    <row r="5121" spans="1:4" x14ac:dyDescent="0.2">
      <c r="A5121" s="5">
        <v>5060</v>
      </c>
      <c r="B5121" s="138">
        <f>'Revenues 9-14'!C109</f>
        <v>3924710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4711320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4711320</v>
      </c>
      <c r="C5132" s="2" t="s">
        <v>594</v>
      </c>
      <c r="D5132" s="2" t="str">
        <f t="shared" si="79"/>
        <v>Error?</v>
      </c>
    </row>
    <row r="5133" spans="1:4" x14ac:dyDescent="0.2">
      <c r="A5133" s="5">
        <v>5072</v>
      </c>
      <c r="B5133" s="138">
        <f>'Revenues 9-14'!C124</f>
        <v>55660</v>
      </c>
      <c r="D5133" s="2" t="str">
        <f t="shared" si="79"/>
        <v>Error?</v>
      </c>
    </row>
    <row r="5134" spans="1:4" x14ac:dyDescent="0.2">
      <c r="A5134" s="5">
        <v>5073</v>
      </c>
      <c r="B5134" s="138">
        <f>'Revenues 9-14'!C125</f>
        <v>96232</v>
      </c>
      <c r="D5134" s="2" t="str">
        <f t="shared" si="79"/>
        <v>Error?</v>
      </c>
    </row>
    <row r="5135" spans="1:4" x14ac:dyDescent="0.2">
      <c r="A5135" s="5">
        <v>5074</v>
      </c>
      <c r="B5135" s="138">
        <f>'Revenues 9-14'!C126</f>
        <v>124084</v>
      </c>
      <c r="D5135" s="2" t="str">
        <f t="shared" si="79"/>
        <v>Error?</v>
      </c>
    </row>
    <row r="5136" spans="1:4" x14ac:dyDescent="0.2">
      <c r="A5136" s="10">
        <v>5075</v>
      </c>
      <c r="D5136" s="2" t="str">
        <f t="shared" si="79"/>
        <v>OK</v>
      </c>
    </row>
    <row r="5137" spans="1:4" x14ac:dyDescent="0.2">
      <c r="A5137" s="5">
        <v>5076</v>
      </c>
      <c r="B5137" s="138">
        <f>'Revenues 9-14'!C127</f>
        <v>35779</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843</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312598</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46492</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50291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4674</v>
      </c>
      <c r="D5167" s="2" t="str">
        <f t="shared" si="79"/>
        <v>Error?</v>
      </c>
    </row>
    <row r="5168" spans="1:4" x14ac:dyDescent="0.2">
      <c r="A5168" s="5">
        <v>5107</v>
      </c>
      <c r="B5168" s="138">
        <f>'Revenues 9-14'!C147</f>
        <v>19832</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149689</v>
      </c>
      <c r="D5194" s="2" t="str">
        <f t="shared" si="80"/>
        <v>Error?</v>
      </c>
    </row>
    <row r="5195" spans="1:4" x14ac:dyDescent="0.2">
      <c r="A5195" s="10">
        <v>5134</v>
      </c>
      <c r="D5195" s="2" t="str">
        <f t="shared" si="80"/>
        <v>OK</v>
      </c>
    </row>
    <row r="5196" spans="1:4" x14ac:dyDescent="0.2">
      <c r="A5196" s="5">
        <v>5135</v>
      </c>
      <c r="B5196" s="138">
        <f>'Revenues 9-14'!C158</f>
        <v>248000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787063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5498383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264057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67309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339114</v>
      </c>
      <c r="C5246" s="2" t="s">
        <v>594</v>
      </c>
      <c r="D5246" s="2" t="str">
        <f t="shared" si="80"/>
        <v>Error?</v>
      </c>
    </row>
    <row r="5247" spans="1:4" x14ac:dyDescent="0.2">
      <c r="A5247" s="5">
        <v>5186</v>
      </c>
      <c r="B5247" s="138">
        <f>'Revenues 9-14'!C203</f>
        <v>215986</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2082</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215986</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659853</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659853</v>
      </c>
      <c r="C5326" s="2" t="s">
        <v>594</v>
      </c>
      <c r="D5326" s="2" t="str">
        <f t="shared" si="82"/>
        <v>Error?</v>
      </c>
    </row>
    <row r="5327" spans="1:4" x14ac:dyDescent="0.2">
      <c r="A5327" s="5">
        <v>5266</v>
      </c>
      <c r="B5327" s="138">
        <f>'Revenues 9-14'!C275</f>
        <v>10082946</v>
      </c>
      <c r="C5327" s="2" t="s">
        <v>594</v>
      </c>
      <c r="D5327" s="2" t="str">
        <f t="shared" si="82"/>
        <v>Error?</v>
      </c>
    </row>
    <row r="5328" spans="1:4" x14ac:dyDescent="0.2">
      <c r="A5328" s="5">
        <v>5267</v>
      </c>
      <c r="B5328" s="138">
        <f>'Revenues 9-14'!D5</f>
        <v>747149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747149</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4996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4996</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8030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8030</v>
      </c>
      <c r="C5348" s="2" t="s">
        <v>594</v>
      </c>
      <c r="D5348" s="2" t="str">
        <f t="shared" si="82"/>
        <v>Error?</v>
      </c>
    </row>
    <row r="5349" spans="1:4" x14ac:dyDescent="0.2">
      <c r="A5349" s="5">
        <v>5288</v>
      </c>
      <c r="B5349" s="138">
        <f>'Revenues 9-14'!D95</f>
        <v>24022</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525</v>
      </c>
      <c r="D5354" s="2" t="str">
        <f t="shared" si="82"/>
        <v>Error?</v>
      </c>
    </row>
    <row r="5355" spans="1:4" x14ac:dyDescent="0.2">
      <c r="A5355" s="5">
        <v>5294</v>
      </c>
      <c r="B5355" s="138">
        <f>'Revenues 9-14'!D108</f>
        <v>24547</v>
      </c>
      <c r="C5355" s="2" t="s">
        <v>594</v>
      </c>
      <c r="D5355" s="2" t="str">
        <f t="shared" si="82"/>
        <v>Error?</v>
      </c>
    </row>
    <row r="5356" spans="1:4" x14ac:dyDescent="0.2">
      <c r="A5356" s="5">
        <v>5295</v>
      </c>
      <c r="B5356" s="138">
        <f>'Revenues 9-14'!D109</f>
        <v>784722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100000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100000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884722</v>
      </c>
      <c r="C5508" s="2" t="s">
        <v>594</v>
      </c>
      <c r="D5508" s="2" t="str">
        <f t="shared" si="85"/>
        <v>Error?</v>
      </c>
    </row>
    <row r="5509" spans="1:4" x14ac:dyDescent="0.2">
      <c r="A5509" s="5">
        <v>5448</v>
      </c>
      <c r="B5509" s="138">
        <f>'Revenues 9-14'!E5</f>
        <v>995835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995835</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2066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2066</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997901</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997901</v>
      </c>
      <c r="C5552" s="2" t="s">
        <v>594</v>
      </c>
      <c r="D5552" s="2" t="str">
        <f t="shared" si="85"/>
        <v>Error?</v>
      </c>
    </row>
    <row r="5553" spans="1:4" x14ac:dyDescent="0.2">
      <c r="A5553" s="5">
        <v>5492</v>
      </c>
      <c r="B5553" s="138">
        <f>'Revenues 9-14'!F5</f>
        <v>312860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312860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7010</v>
      </c>
      <c r="D5565" s="2" t="str">
        <f t="shared" si="85"/>
        <v>Error?</v>
      </c>
    </row>
    <row r="5566" spans="1:4" x14ac:dyDescent="0.2">
      <c r="A5566" s="5">
        <v>5505</v>
      </c>
      <c r="B5566" s="138">
        <f>'Revenues 9-14'!F45</f>
        <v>3597</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10607</v>
      </c>
      <c r="C5579" s="2" t="s">
        <v>594</v>
      </c>
      <c r="D5579" s="2" t="str">
        <f t="shared" si="86"/>
        <v>Error?</v>
      </c>
    </row>
    <row r="5580" spans="1:4" x14ac:dyDescent="0.2">
      <c r="A5580" s="5">
        <v>5519</v>
      </c>
      <c r="B5580" s="138">
        <f>'Revenues 9-14'!F65</f>
        <v>2559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2559</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224</v>
      </c>
      <c r="D5586" s="2" t="str">
        <f t="shared" si="86"/>
        <v>Error?</v>
      </c>
    </row>
    <row r="5587" spans="1:4" x14ac:dyDescent="0.2">
      <c r="A5587" s="5">
        <v>5526</v>
      </c>
      <c r="B5587" s="138">
        <f>'Revenues 9-14'!F108</f>
        <v>224</v>
      </c>
      <c r="C5587" s="2" t="s">
        <v>594</v>
      </c>
      <c r="D5587" s="2" t="str">
        <f t="shared" si="86"/>
        <v>Error?</v>
      </c>
    </row>
    <row r="5588" spans="1:4" x14ac:dyDescent="0.2">
      <c r="A5588" s="5">
        <v>5527</v>
      </c>
      <c r="B5588" s="138">
        <f>'Revenues 9-14'!F109</f>
        <v>326250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294000</v>
      </c>
      <c r="D5615" s="2" t="str">
        <f t="shared" si="86"/>
        <v>Error?</v>
      </c>
    </row>
    <row r="5616" spans="1:4" x14ac:dyDescent="0.2">
      <c r="A5616" s="10">
        <v>5555</v>
      </c>
      <c r="D5616" s="2" t="str">
        <f t="shared" si="86"/>
        <v>OK</v>
      </c>
    </row>
    <row r="5617" spans="1:4" x14ac:dyDescent="0.2">
      <c r="A5617" s="5">
        <v>5556</v>
      </c>
      <c r="B5617" s="138">
        <f>'Revenues 9-14'!F152</f>
        <v>126244</v>
      </c>
      <c r="D5617" s="2" t="str">
        <f t="shared" si="86"/>
        <v>Error?</v>
      </c>
    </row>
    <row r="5618" spans="1:4" x14ac:dyDescent="0.2">
      <c r="A5618" s="5">
        <v>5557</v>
      </c>
      <c r="B5618" s="138">
        <f>'Revenues 9-14'!F154</f>
        <v>420244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420244</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420244</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746494</v>
      </c>
      <c r="C5720" s="2" t="s">
        <v>594</v>
      </c>
      <c r="D5720" s="2" t="str">
        <f t="shared" si="88"/>
        <v>Error?</v>
      </c>
    </row>
    <row r="5721" spans="1:4" x14ac:dyDescent="0.2">
      <c r="A5721" s="5">
        <v>5660</v>
      </c>
      <c r="B5721" s="138">
        <f>'Revenues 9-14'!G5</f>
        <v>153530</v>
      </c>
      <c r="D5721" s="2" t="str">
        <f t="shared" si="88"/>
        <v>Error?</v>
      </c>
    </row>
    <row r="5722" spans="1:4" x14ac:dyDescent="0.2">
      <c r="A5722" s="5">
        <v>5661</v>
      </c>
      <c r="B5722" s="138">
        <f>'Revenues 9-14'!G7</f>
        <v>0</v>
      </c>
      <c r="D5722" s="2" t="str">
        <f t="shared" si="88"/>
        <v>Error?</v>
      </c>
    </row>
    <row r="5723" spans="1:4" x14ac:dyDescent="0.2">
      <c r="A5723" s="5">
        <v>5662</v>
      </c>
      <c r="B5723" s="138">
        <f>'Revenues 9-14'!G8</f>
        <v>210512</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364042</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35000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35000</v>
      </c>
      <c r="C5730" s="2" t="s">
        <v>594</v>
      </c>
      <c r="D5730" s="2" t="str">
        <f t="shared" si="88"/>
        <v>Error?</v>
      </c>
    </row>
    <row r="5731" spans="1:4" x14ac:dyDescent="0.2">
      <c r="A5731" s="5">
        <v>5670</v>
      </c>
      <c r="B5731" s="138">
        <f>'Revenues 9-14'!G65</f>
        <v>1006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1006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400048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1957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1957</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421040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422997</v>
      </c>
      <c r="C5915" s="2" t="s">
        <v>594</v>
      </c>
      <c r="D5915" s="2" t="str">
        <f t="shared" si="91"/>
        <v>Error?</v>
      </c>
    </row>
    <row r="5916" spans="1:4" x14ac:dyDescent="0.2">
      <c r="A5916" s="5">
        <v>5855</v>
      </c>
      <c r="B5916" s="138">
        <f>'Revenues 9-14'!I5</f>
        <v>5315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5315</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26101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26101</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31416</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19307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19307</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2815</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2815</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22122</v>
      </c>
      <c r="C6023" s="2" t="s">
        <v>594</v>
      </c>
      <c r="D6023" s="2" t="str">
        <f t="shared" si="93"/>
        <v>Error?</v>
      </c>
    </row>
    <row r="6024" spans="1:5" x14ac:dyDescent="0.2">
      <c r="A6024" s="5">
        <v>5963</v>
      </c>
      <c r="B6024" s="138">
        <f>'Revenues 9-14'!G109</f>
        <v>400048</v>
      </c>
      <c r="C6024" s="2" t="s">
        <v>594</v>
      </c>
      <c r="D6024" s="2" t="str">
        <f t="shared" si="93"/>
        <v>Error?</v>
      </c>
    </row>
    <row r="6025" spans="1:5" x14ac:dyDescent="0.2">
      <c r="A6025" s="5">
        <v>5964</v>
      </c>
      <c r="B6025" s="138">
        <f>'Revenues 9-14'!H109</f>
        <v>422997</v>
      </c>
      <c r="C6025" s="2" t="s">
        <v>594</v>
      </c>
      <c r="D6025" s="2" t="str">
        <f t="shared" si="93"/>
        <v>Error?</v>
      </c>
    </row>
    <row r="6026" spans="1:5" x14ac:dyDescent="0.2">
      <c r="A6026" s="5">
        <v>5965</v>
      </c>
      <c r="B6026" s="138">
        <f>'Revenues 9-14'!I109</f>
        <v>31416</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22122</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111875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42435</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1323</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1103354</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96</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15220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1103354</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1103354</v>
      </c>
      <c r="D6216" s="2" t="str">
        <f t="shared" si="96"/>
        <v>Error?</v>
      </c>
      <c r="E6216" s="2" t="s">
        <v>199</v>
      </c>
    </row>
    <row r="6217" spans="1:5" x14ac:dyDescent="0.2">
      <c r="A6217">
        <v>6156</v>
      </c>
      <c r="B6217" s="138">
        <f>'Assets-Liab 5-6'!J4</f>
        <v>103044</v>
      </c>
      <c r="D6217" s="2" t="str">
        <f t="shared" si="96"/>
        <v>Error?</v>
      </c>
      <c r="E6217" s="2" t="s">
        <v>199</v>
      </c>
    </row>
    <row r="6218" spans="1:5" x14ac:dyDescent="0.2">
      <c r="A6218">
        <v>6157</v>
      </c>
      <c r="B6218" s="138">
        <f>'Assets-Liab 5-6'!J5</f>
        <v>1000310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252166</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252166</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252166</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249668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249668</v>
      </c>
      <c r="D6229" s="2" t="str">
        <f t="shared" si="96"/>
        <v>Error?</v>
      </c>
      <c r="E6229" s="2" t="s">
        <v>199</v>
      </c>
    </row>
    <row r="6230" spans="1:5" x14ac:dyDescent="0.2">
      <c r="A6230">
        <v>6169</v>
      </c>
      <c r="B6230" s="138">
        <f>'Acct Summary 7-8'!J20</f>
        <v>2498</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1000000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1000000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26300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1000000</v>
      </c>
      <c r="D6262" s="2" t="str">
        <f t="shared" si="96"/>
        <v>Error?</v>
      </c>
      <c r="E6262" s="2" t="s">
        <v>199</v>
      </c>
    </row>
    <row r="6263" spans="1:5" x14ac:dyDescent="0.2">
      <c r="A6263">
        <v>6202</v>
      </c>
      <c r="B6263" s="138">
        <f>'Acct Summary 7-8'!J78</f>
        <v>1002498</v>
      </c>
      <c r="D6263" s="2" t="str">
        <f t="shared" si="96"/>
        <v>Error?</v>
      </c>
      <c r="E6263" s="2" t="s">
        <v>199</v>
      </c>
    </row>
    <row r="6264" spans="1:5" x14ac:dyDescent="0.2">
      <c r="A6264">
        <v>6203</v>
      </c>
      <c r="B6264" s="138">
        <f>'Acct Summary 7-8'!J79</f>
        <v>100856</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1103354</v>
      </c>
      <c r="D6266" s="2" t="str">
        <f t="shared" si="96"/>
        <v>Error?</v>
      </c>
      <c r="E6266" s="2" t="s">
        <v>199</v>
      </c>
    </row>
    <row r="6267" spans="1:5" x14ac:dyDescent="0.2">
      <c r="A6267">
        <v>6206</v>
      </c>
      <c r="B6267" s="138">
        <f>'Acct Summary 7-8'!C82</f>
        <v>937489</v>
      </c>
      <c r="D6267" s="2" t="str">
        <f t="shared" si="96"/>
        <v>Error?</v>
      </c>
      <c r="E6267" s="2" t="s">
        <v>199</v>
      </c>
    </row>
    <row r="6268" spans="1:5" x14ac:dyDescent="0.2">
      <c r="A6268">
        <v>6207</v>
      </c>
      <c r="B6268" s="138">
        <f>'Acct Summary 7-8'!D82</f>
        <v>-15730</v>
      </c>
      <c r="D6268" s="2" t="str">
        <f t="shared" si="96"/>
        <v>Error?</v>
      </c>
      <c r="E6268" s="2" t="s">
        <v>199</v>
      </c>
    </row>
    <row r="6269" spans="1:5" x14ac:dyDescent="0.2">
      <c r="A6269">
        <v>6208</v>
      </c>
      <c r="B6269" s="138">
        <f>'Acct Summary 7-8'!E82</f>
        <v>-4469</v>
      </c>
      <c r="D6269" s="2" t="str">
        <f t="shared" si="96"/>
        <v>Error?</v>
      </c>
      <c r="E6269" s="2" t="s">
        <v>199</v>
      </c>
    </row>
    <row r="6270" spans="1:5" x14ac:dyDescent="0.2">
      <c r="A6270">
        <v>6209</v>
      </c>
      <c r="B6270" s="138">
        <f>'Acct Summary 7-8'!F82</f>
        <v>79767</v>
      </c>
      <c r="D6270" s="2" t="str">
        <f t="shared" si="96"/>
        <v>Error?</v>
      </c>
      <c r="E6270" s="2" t="s">
        <v>199</v>
      </c>
    </row>
    <row r="6271" spans="1:5" x14ac:dyDescent="0.2">
      <c r="A6271">
        <v>6210</v>
      </c>
      <c r="B6271" s="138">
        <f>'Acct Summary 7-8'!G82</f>
        <v>20175</v>
      </c>
      <c r="D6271" s="2" t="str">
        <f t="shared" ref="D6271:D6334" si="97">IF(ISBLANK(B6271),"OK",IF(A6271-B6271=0,"OK","Error?"))</f>
        <v>Error?</v>
      </c>
      <c r="E6271" s="2" t="s">
        <v>199</v>
      </c>
    </row>
    <row r="6272" spans="1:5" x14ac:dyDescent="0.2">
      <c r="A6272">
        <v>6211</v>
      </c>
      <c r="B6272" s="138">
        <f>'Acct Summary 7-8'!H82</f>
        <v>261695</v>
      </c>
      <c r="D6272" s="2" t="str">
        <f t="shared" si="97"/>
        <v>Error?</v>
      </c>
      <c r="E6272" s="2" t="s">
        <v>199</v>
      </c>
    </row>
    <row r="6273" spans="1:5" x14ac:dyDescent="0.2">
      <c r="A6273">
        <v>6212</v>
      </c>
      <c r="B6273" s="138">
        <f>'Acct Summary 7-8'!I82</f>
        <v>895116</v>
      </c>
      <c r="D6273" s="2" t="str">
        <f t="shared" si="97"/>
        <v>Error?</v>
      </c>
      <c r="E6273" s="2" t="s">
        <v>199</v>
      </c>
    </row>
    <row r="6274" spans="1:5" x14ac:dyDescent="0.2">
      <c r="A6274">
        <v>6213</v>
      </c>
      <c r="B6274" s="138">
        <f>'Acct Summary 7-8'!J82</f>
        <v>1002498</v>
      </c>
      <c r="D6274" s="2" t="str">
        <f t="shared" si="97"/>
        <v>Error?</v>
      </c>
      <c r="E6274" s="2" t="s">
        <v>199</v>
      </c>
    </row>
    <row r="6275" spans="1:5" x14ac:dyDescent="0.2">
      <c r="A6275">
        <v>6214</v>
      </c>
      <c r="B6275" s="138">
        <f>'Acct Summary 7-8'!K82</f>
        <v>-489028</v>
      </c>
      <c r="D6275" s="2" t="str">
        <f t="shared" si="97"/>
        <v>Error?</v>
      </c>
      <c r="E6275" s="2" t="s">
        <v>199</v>
      </c>
    </row>
    <row r="6276" spans="1:5" x14ac:dyDescent="0.2">
      <c r="A6276">
        <v>6215</v>
      </c>
      <c r="B6276" s="138">
        <f>'Acct Summary 7-8'!C83</f>
        <v>0.29125012232648667</v>
      </c>
      <c r="D6276" s="2" t="str">
        <f t="shared" si="97"/>
        <v>Error?</v>
      </c>
      <c r="E6276" s="2" t="s">
        <v>199</v>
      </c>
    </row>
    <row r="6277" spans="1:5" x14ac:dyDescent="0.2">
      <c r="A6277">
        <v>6216</v>
      </c>
      <c r="B6277" s="138">
        <f>'Acct Summary 7-8'!D83</f>
        <v>-4.0112406540387814E-2</v>
      </c>
      <c r="D6277" s="2" t="str">
        <f t="shared" si="97"/>
        <v>Error?</v>
      </c>
      <c r="E6277" s="2" t="s">
        <v>199</v>
      </c>
    </row>
    <row r="6278" spans="1:5" x14ac:dyDescent="0.2">
      <c r="A6278">
        <v>6217</v>
      </c>
      <c r="B6278" s="138">
        <f>'Acct Summary 7-8'!E83</f>
        <v>-3.1614541698795268E-2</v>
      </c>
      <c r="D6278" s="2" t="str">
        <f t="shared" si="97"/>
        <v>Error?</v>
      </c>
      <c r="E6278" s="2" t="s">
        <v>199</v>
      </c>
    </row>
    <row r="6279" spans="1:5" x14ac:dyDescent="0.2">
      <c r="A6279">
        <v>6218</v>
      </c>
      <c r="B6279" s="138">
        <f>'Acct Summary 7-8'!F83</f>
        <v>0.21064542792180185</v>
      </c>
      <c r="D6279" s="2" t="str">
        <f t="shared" si="97"/>
        <v>Error?</v>
      </c>
      <c r="E6279" s="2" t="s">
        <v>199</v>
      </c>
    </row>
    <row r="6280" spans="1:5" x14ac:dyDescent="0.2">
      <c r="A6280">
        <v>6219</v>
      </c>
      <c r="B6280" s="138">
        <f>'Acct Summary 7-8'!G83</f>
        <v>0.18826811993169157</v>
      </c>
      <c r="D6280" s="2" t="str">
        <f t="shared" si="97"/>
        <v>Error?</v>
      </c>
      <c r="E6280" s="2" t="s">
        <v>199</v>
      </c>
    </row>
    <row r="6281" spans="1:5" x14ac:dyDescent="0.2">
      <c r="A6281">
        <v>6220</v>
      </c>
      <c r="B6281" s="138">
        <f>'Acct Summary 7-8'!H83</f>
        <v>0.46328030675867538</v>
      </c>
      <c r="D6281" s="2" t="str">
        <f t="shared" si="97"/>
        <v>Error?</v>
      </c>
      <c r="E6281" s="2" t="s">
        <v>199</v>
      </c>
    </row>
    <row r="6282" spans="1:5" x14ac:dyDescent="0.2">
      <c r="A6282">
        <v>6221</v>
      </c>
      <c r="B6282" s="138">
        <f>'Acct Summary 7-8'!I83</f>
        <v>0.22970563509098244</v>
      </c>
      <c r="D6282" s="2" t="str">
        <f t="shared" si="97"/>
        <v>Error?</v>
      </c>
      <c r="E6282" s="2" t="s">
        <v>199</v>
      </c>
    </row>
    <row r="6283" spans="1:5" x14ac:dyDescent="0.2">
      <c r="A6283">
        <v>6222</v>
      </c>
      <c r="B6283" s="138">
        <f>'Acct Summary 7-8'!J83</f>
        <v>0.908591440281179</v>
      </c>
      <c r="D6283" s="2" t="str">
        <f t="shared" si="97"/>
        <v>Error?</v>
      </c>
      <c r="E6283" s="2" t="s">
        <v>199</v>
      </c>
    </row>
    <row r="6284" spans="1:5" x14ac:dyDescent="0.2">
      <c r="A6284">
        <v>6223</v>
      </c>
      <c r="B6284" s="138">
        <f>'Acct Summary 7-8'!K83</f>
        <v>-2.0673957800484479</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251063</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251063</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1103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1103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9750</v>
      </c>
      <c r="D6339" s="2" t="str">
        <f t="shared" si="98"/>
        <v>Error?</v>
      </c>
      <c r="E6339" s="2" t="s">
        <v>199</v>
      </c>
    </row>
    <row r="6340" spans="1:5" x14ac:dyDescent="0.2">
      <c r="A6340">
        <v>6279</v>
      </c>
      <c r="B6340" s="138">
        <f>'Revenues 9-14'!C102</f>
        <v>1815</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252166</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3799</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163087</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91499</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93181</v>
      </c>
      <c r="D6880" s="2" t="str">
        <f t="shared" si="106"/>
        <v>Error?</v>
      </c>
    </row>
    <row r="6881" spans="1:4" x14ac:dyDescent="0.2">
      <c r="A6881">
        <v>6820</v>
      </c>
      <c r="B6881" s="138">
        <f>'Expenditures 15-22'!K22</f>
        <v>93181</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975</v>
      </c>
      <c r="D6981" s="2" t="str">
        <f t="shared" si="108"/>
        <v>Error?</v>
      </c>
    </row>
    <row r="6982" spans="1:4" x14ac:dyDescent="0.2">
      <c r="A6982">
        <v>6921</v>
      </c>
      <c r="B6982" s="138">
        <f>'Expenditures 15-22'!K85</f>
        <v>975</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975</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6074</v>
      </c>
      <c r="D7006" s="2" t="str">
        <f t="shared" si="108"/>
        <v>Error?</v>
      </c>
    </row>
    <row r="7007" spans="1:4" x14ac:dyDescent="0.2">
      <c r="A7007">
        <v>6946</v>
      </c>
      <c r="B7007" s="138">
        <f>'Expenditures 15-22'!K98</f>
        <v>6074</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6074</v>
      </c>
      <c r="D7012" s="2" t="str">
        <f t="shared" si="108"/>
        <v>Error?</v>
      </c>
    </row>
    <row r="7013" spans="1:4" x14ac:dyDescent="0.2">
      <c r="A7013">
        <v>6952</v>
      </c>
      <c r="B7013" s="138">
        <f>'Expenditures 15-22'!K100</f>
        <v>6074</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249668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252166</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6285</v>
      </c>
      <c r="D7077" s="2" t="str">
        <f t="shared" si="109"/>
        <v>Error?</v>
      </c>
    </row>
    <row r="7078" spans="1:4" x14ac:dyDescent="0.2">
      <c r="A7078">
        <v>7017</v>
      </c>
      <c r="B7078" s="138">
        <f>'Expenditures 15-22'!K220</f>
        <v>6285</v>
      </c>
      <c r="D7078" s="2" t="str">
        <f t="shared" si="109"/>
        <v>Error?</v>
      </c>
    </row>
    <row r="7079" spans="1:4" x14ac:dyDescent="0.2">
      <c r="A7079">
        <v>7018</v>
      </c>
      <c r="B7079" s="138">
        <f>'Expenditures 15-22'!D226</f>
        <v>1107</v>
      </c>
      <c r="D7079" s="2" t="str">
        <f t="shared" si="109"/>
        <v>Error?</v>
      </c>
    </row>
    <row r="7080" spans="1:4" x14ac:dyDescent="0.2">
      <c r="A7080">
        <v>7019</v>
      </c>
      <c r="B7080" s="138">
        <f>'Expenditures 15-22'!K226</f>
        <v>1107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73736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73736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36775</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36775</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41276</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41276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23299</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23299</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249668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249668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249668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249668</v>
      </c>
      <c r="D7224" s="2" t="str">
        <f t="shared" si="111"/>
        <v>Error?</v>
      </c>
    </row>
    <row r="7225" spans="1:4" x14ac:dyDescent="0.2">
      <c r="A7225">
        <v>7164</v>
      </c>
      <c r="B7225" s="138">
        <f>'Expenditures 15-22'!K343</f>
        <v>2498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115636</v>
      </c>
      <c r="D7257" s="2" t="str">
        <f t="shared" si="112"/>
        <v>Error?</v>
      </c>
    </row>
    <row r="7258" spans="1:4" x14ac:dyDescent="0.2">
      <c r="A7258">
        <f t="shared" si="113"/>
        <v>7197</v>
      </c>
      <c r="B7258" s="138">
        <f>'Expenditures 15-22'!D11</f>
        <v>31043</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14316</v>
      </c>
      <c r="D7260" s="2" t="str">
        <f t="shared" si="112"/>
        <v>Error?</v>
      </c>
    </row>
    <row r="7261" spans="1:4" x14ac:dyDescent="0.2">
      <c r="A7261">
        <f t="shared" si="113"/>
        <v>7200</v>
      </c>
      <c r="B7261" s="138">
        <f>'Expenditures 15-22'!G11</f>
        <v>2092</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77090</v>
      </c>
      <c r="D7263" s="2" t="str">
        <f t="shared" si="112"/>
        <v>Error?</v>
      </c>
    </row>
    <row r="7264" spans="1:4" x14ac:dyDescent="0.2">
      <c r="A7264">
        <f t="shared" si="113"/>
        <v>7203</v>
      </c>
      <c r="B7264" s="138">
        <f>'Expenditures 15-22'!D17</f>
        <v>10655</v>
      </c>
      <c r="D7264" s="2" t="str">
        <f t="shared" si="112"/>
        <v>Error?</v>
      </c>
    </row>
    <row r="7265" spans="1:5" x14ac:dyDescent="0.2">
      <c r="A7265">
        <f t="shared" si="113"/>
        <v>7204</v>
      </c>
      <c r="B7265" s="138">
        <f>'Expenditures 15-22'!E17</f>
        <v>70</v>
      </c>
      <c r="D7265" s="2" t="str">
        <f t="shared" si="112"/>
        <v>Error?</v>
      </c>
    </row>
    <row r="7266" spans="1:5" x14ac:dyDescent="0.2">
      <c r="A7266">
        <f t="shared" si="113"/>
        <v>7205</v>
      </c>
      <c r="B7266" s="138">
        <f>'Expenditures 15-22'!F17</f>
        <v>3684</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402416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74582</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74582</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303179</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1957</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421040</v>
      </c>
      <c r="D7713" s="2" t="str">
        <f t="shared" si="126"/>
        <v>Error?</v>
      </c>
      <c r="E7713" s="2" t="s">
        <v>881</v>
      </c>
    </row>
    <row r="7714" spans="1:6" x14ac:dyDescent="0.2">
      <c r="A7714">
        <v>7653</v>
      </c>
      <c r="B7714" s="138">
        <f>'Rest Tax Levies-Tort Im 25'!K9</f>
        <v>19382</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422997</v>
      </c>
      <c r="D7718" s="2" t="str">
        <f t="shared" si="126"/>
        <v>Error?</v>
      </c>
      <c r="E7718" s="2" t="s">
        <v>881</v>
      </c>
    </row>
    <row r="7719" spans="1:6" x14ac:dyDescent="0.2">
      <c r="A7719">
        <v>7658</v>
      </c>
      <c r="B7719" s="138">
        <f>'Rest Tax Levies-Tort Im 25'!K12</f>
        <v>19382</v>
      </c>
      <c r="D7719" s="2" t="str">
        <f t="shared" si="126"/>
        <v>Error?</v>
      </c>
      <c r="E7719" s="2" t="s">
        <v>881</v>
      </c>
    </row>
    <row r="7720" spans="1:6" x14ac:dyDescent="0.2">
      <c r="A7720">
        <v>7659</v>
      </c>
      <c r="B7720" s="138">
        <f>'Rest Tax Levies-Tort Im 25'!H14</f>
        <v>116840</v>
      </c>
      <c r="D7720" s="2" t="str">
        <f t="shared" si="126"/>
        <v>Error?</v>
      </c>
      <c r="E7720" s="2" t="s">
        <v>881</v>
      </c>
    </row>
    <row r="7721" spans="1:6" x14ac:dyDescent="0.2">
      <c r="A7721">
        <v>7660</v>
      </c>
      <c r="B7721" s="138">
        <f>'Rest Tax Levies-Tort Im 25'!K14</f>
        <v>19382</v>
      </c>
      <c r="D7721" s="2" t="str">
        <f t="shared" si="126"/>
        <v>Error?</v>
      </c>
      <c r="E7721" s="2" t="s">
        <v>881</v>
      </c>
    </row>
    <row r="7722" spans="1:6" x14ac:dyDescent="0.2">
      <c r="A7722">
        <v>7661</v>
      </c>
      <c r="B7722" s="138">
        <f>'Rest Tax Levies-Tort Im 25'!J15</f>
        <v>161303</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161303</v>
      </c>
      <c r="D7730" s="2" t="str">
        <f t="shared" si="126"/>
        <v>Error?</v>
      </c>
      <c r="E7730" s="2" t="s">
        <v>881</v>
      </c>
    </row>
    <row r="7731" spans="1:6" x14ac:dyDescent="0.2">
      <c r="A7731">
        <v>7670</v>
      </c>
      <c r="B7731" s="138">
        <f>'Revenues 9-14'!H103</f>
        <v>421040</v>
      </c>
      <c r="D7731" s="2" t="str">
        <f t="shared" si="126"/>
        <v>Error?</v>
      </c>
      <c r="E7731" s="2" t="s">
        <v>881</v>
      </c>
    </row>
    <row r="7732" spans="1:6" x14ac:dyDescent="0.2">
      <c r="A7732">
        <v>7671</v>
      </c>
      <c r="B7732" s="138">
        <f>'Rest Tax Levies-Tort Im 25'!J24</f>
        <v>564873</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564873</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0</v>
      </c>
      <c r="D7797" s="2" t="str">
        <f t="shared" si="127"/>
        <v>Error?</v>
      </c>
      <c r="E7797" s="4" t="s">
        <v>2018</v>
      </c>
    </row>
    <row r="7798" spans="1:5" x14ac:dyDescent="0.2">
      <c r="A7798">
        <v>7737</v>
      </c>
      <c r="B7798" s="138">
        <f>'Contracts Paid in CY 29'!F141</f>
        <v>0</v>
      </c>
      <c r="D7798" s="2" t="str">
        <f t="shared" si="127"/>
        <v>Error?</v>
      </c>
      <c r="E7798" s="4" t="s">
        <v>2018</v>
      </c>
    </row>
    <row r="7799" spans="1:5" x14ac:dyDescent="0.2">
      <c r="A7799">
        <v>7738</v>
      </c>
      <c r="B7799" s="138">
        <f>'Contracts Paid in CY 29'!G141</f>
        <v>0</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13" zoomScale="110" zoomScaleNormal="110" workbookViewId="0">
      <selection activeCell="D45" sqref="D45"/>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7" t="s">
        <v>1253</v>
      </c>
      <c r="B2" s="2397"/>
      <c r="C2" s="2397"/>
      <c r="D2" s="2397"/>
      <c r="E2" s="2397"/>
      <c r="F2" s="2397"/>
      <c r="G2" s="2397"/>
      <c r="H2" s="2397"/>
      <c r="I2" s="2397"/>
      <c r="J2" s="2397"/>
      <c r="K2" s="2397"/>
      <c r="L2" s="2397"/>
    </row>
    <row r="3" spans="1:29" ht="13.5" customHeight="1" x14ac:dyDescent="0.2">
      <c r="A3" s="2428" t="s">
        <v>1252</v>
      </c>
      <c r="B3" s="2428"/>
      <c r="C3" s="2428"/>
      <c r="D3" s="2428"/>
      <c r="E3" s="2428"/>
      <c r="F3" s="2428"/>
      <c r="G3" s="2428"/>
      <c r="H3" s="2428"/>
      <c r="I3" s="2428"/>
      <c r="J3" s="2428"/>
      <c r="K3" s="2428"/>
      <c r="L3" s="2428"/>
    </row>
    <row r="4" spans="1:29" ht="13.5" customHeight="1" x14ac:dyDescent="0.2">
      <c r="A4" s="2397" t="s">
        <v>1799</v>
      </c>
      <c r="B4" s="2418"/>
      <c r="C4" s="2418"/>
      <c r="D4" s="2418"/>
      <c r="E4" s="2418"/>
      <c r="F4" s="2418"/>
      <c r="G4" s="2418"/>
      <c r="H4" s="2418"/>
      <c r="I4" s="2418"/>
      <c r="J4" s="2418"/>
      <c r="K4" s="2418"/>
      <c r="L4" s="241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19" t="str">
        <f>COVER!A17</f>
        <v>Carlinville CUSD 1</v>
      </c>
      <c r="B7" s="2420"/>
      <c r="C7" s="2420"/>
      <c r="D7" s="2421"/>
      <c r="E7" s="2422">
        <f>COVER!A13</f>
        <v>40056001026</v>
      </c>
      <c r="F7" s="2423"/>
      <c r="G7" s="2429" t="str">
        <f>COVER!T23</f>
        <v>060-003363</v>
      </c>
      <c r="H7" s="2430"/>
      <c r="I7" s="2430"/>
      <c r="J7" s="2430"/>
      <c r="K7" s="2430"/>
      <c r="L7" s="243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2"/>
      <c r="B9" s="2433"/>
      <c r="C9" s="2433"/>
      <c r="D9" s="2433"/>
      <c r="E9" s="2433"/>
      <c r="F9" s="2434"/>
      <c r="G9" s="2403" t="str">
        <f>COVER!T13</f>
        <v>LOY MILLER TALLEY, PC</v>
      </c>
      <c r="H9" s="2435"/>
      <c r="I9" s="2435"/>
      <c r="J9" s="2435"/>
      <c r="K9" s="2435"/>
      <c r="L9" s="2436"/>
    </row>
    <row r="10" spans="1:29" ht="13.5" customHeight="1" x14ac:dyDescent="0.2">
      <c r="A10" s="2409" t="str">
        <f>COVER!A38</f>
        <v>BECKY SCHUCHMAN</v>
      </c>
      <c r="B10" s="2410"/>
      <c r="C10" s="2410"/>
      <c r="D10" s="2410"/>
      <c r="E10" s="2410"/>
      <c r="F10" s="2411"/>
      <c r="G10" s="2403" t="str">
        <f>COVER!T17</f>
        <v>#2 CROSSROADS CT</v>
      </c>
      <c r="H10" s="2404"/>
      <c r="I10" s="2404"/>
      <c r="J10" s="2404"/>
      <c r="K10" s="2404"/>
      <c r="L10" s="2405"/>
    </row>
    <row r="11" spans="1:29" ht="13.5" customHeight="1" x14ac:dyDescent="0.2">
      <c r="A11" s="1185" t="s">
        <v>1599</v>
      </c>
      <c r="B11" s="1186"/>
      <c r="C11" s="1187"/>
      <c r="D11" s="1192"/>
      <c r="E11" s="1187"/>
      <c r="F11" s="1191"/>
      <c r="G11" s="2403" t="str">
        <f>COVER!T19</f>
        <v>ALTON</v>
      </c>
      <c r="H11" s="2404"/>
      <c r="I11" s="2404"/>
      <c r="J11" s="2404"/>
      <c r="K11" s="2404"/>
      <c r="L11" s="2405"/>
    </row>
    <row r="12" spans="1:29" ht="13.5" customHeight="1" x14ac:dyDescent="0.2">
      <c r="A12" s="2412" t="s">
        <v>1598</v>
      </c>
      <c r="B12" s="2413"/>
      <c r="C12" s="2413"/>
      <c r="D12" s="2413"/>
      <c r="E12" s="2413"/>
      <c r="F12" s="2414"/>
      <c r="G12" s="2406"/>
      <c r="H12" s="2407"/>
      <c r="I12" s="2407"/>
      <c r="J12" s="2407"/>
      <c r="K12" s="2407"/>
      <c r="L12" s="2408"/>
    </row>
    <row r="13" spans="1:29" ht="13.5" customHeight="1" x14ac:dyDescent="0.2">
      <c r="A13" s="2403"/>
      <c r="B13" s="2404"/>
      <c r="C13" s="2404"/>
      <c r="D13" s="2404"/>
      <c r="E13" s="2404"/>
      <c r="F13" s="2405"/>
      <c r="G13" s="2398" t="s">
        <v>1600</v>
      </c>
      <c r="H13" s="2399"/>
      <c r="I13" s="2415" t="str">
        <f>COVER!T25</f>
        <v>KEN@LMTCPAS.COM</v>
      </c>
      <c r="J13" s="2416"/>
      <c r="K13" s="2416"/>
      <c r="L13" s="2417"/>
    </row>
    <row r="14" spans="1:29" ht="13.5" customHeight="1" x14ac:dyDescent="0.2">
      <c r="A14" s="2403" t="str">
        <f>COVER!A19</f>
        <v>829 WEST MAIN STREET</v>
      </c>
      <c r="B14" s="2404"/>
      <c r="C14" s="2404"/>
      <c r="D14" s="2404"/>
      <c r="E14" s="2404"/>
      <c r="F14" s="2405"/>
      <c r="G14" s="1196" t="s">
        <v>1247</v>
      </c>
      <c r="H14" s="1194"/>
      <c r="I14" s="1194"/>
      <c r="J14" s="1194"/>
      <c r="K14" s="1194"/>
      <c r="L14" s="1195"/>
    </row>
    <row r="15" spans="1:29" ht="13.5" customHeight="1" x14ac:dyDescent="0.2">
      <c r="A15" s="2403" t="str">
        <f>COVER!A21</f>
        <v>CARLINVILLE</v>
      </c>
      <c r="B15" s="2404"/>
      <c r="C15" s="2404"/>
      <c r="D15" s="2404"/>
      <c r="E15" s="2404"/>
      <c r="F15" s="2405"/>
      <c r="G15" s="2400" t="str">
        <f>COVER!T15</f>
        <v>KENNETH E. LOY</v>
      </c>
      <c r="H15" s="2401"/>
      <c r="I15" s="2401"/>
      <c r="J15" s="2401"/>
      <c r="K15" s="2401"/>
      <c r="L15" s="2402"/>
    </row>
    <row r="16" spans="1:29" ht="12.2" customHeight="1" x14ac:dyDescent="0.2">
      <c r="A16" s="2425">
        <f>COVER!A25</f>
        <v>62626</v>
      </c>
      <c r="B16" s="2426"/>
      <c r="C16" s="2426"/>
      <c r="D16" s="2426"/>
      <c r="E16" s="2426"/>
      <c r="F16" s="2427"/>
      <c r="G16" s="2437"/>
      <c r="H16" s="2438"/>
      <c r="I16" s="2438"/>
      <c r="J16" s="2438"/>
      <c r="K16" s="2438"/>
      <c r="L16" s="2439"/>
    </row>
    <row r="17" spans="1:13" ht="12.2" customHeight="1" x14ac:dyDescent="0.2">
      <c r="A17" s="2440"/>
      <c r="B17" s="2426"/>
      <c r="C17" s="2426"/>
      <c r="D17" s="2426"/>
      <c r="E17" s="2426"/>
      <c r="F17" s="2427"/>
      <c r="G17" s="1196" t="s">
        <v>1246</v>
      </c>
      <c r="H17" s="1194"/>
      <c r="I17" s="1194"/>
      <c r="J17" s="1194"/>
      <c r="K17" s="1198" t="s">
        <v>1245</v>
      </c>
      <c r="L17" s="1191"/>
      <c r="M17" s="1184"/>
    </row>
    <row r="18" spans="1:13" ht="12.2" customHeight="1" x14ac:dyDescent="0.2">
      <c r="A18" s="2409"/>
      <c r="B18" s="2410"/>
      <c r="C18" s="2410"/>
      <c r="D18" s="2410"/>
      <c r="E18" s="2410"/>
      <c r="F18" s="2411"/>
      <c r="G18" s="2419" t="str">
        <f>COVER!T21</f>
        <v>618-465-1196</v>
      </c>
      <c r="H18" s="2420"/>
      <c r="I18" s="2420"/>
      <c r="J18" s="2420"/>
      <c r="K18" s="2419" t="str">
        <f>COVER!X21</f>
        <v>618-465-2900</v>
      </c>
      <c r="L18" s="242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t="s">
        <v>2080</v>
      </c>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t="s">
        <v>2080</v>
      </c>
      <c r="C26" s="1203" t="s">
        <v>1801</v>
      </c>
    </row>
    <row r="27" spans="1:13" s="1199" customFormat="1" ht="9" customHeight="1" x14ac:dyDescent="0.2">
      <c r="B27" s="1204"/>
      <c r="C27" s="1203"/>
    </row>
    <row r="28" spans="1:13" s="1199" customFormat="1" ht="12.2" customHeight="1" x14ac:dyDescent="0.2">
      <c r="A28" s="1206"/>
      <c r="B28" s="1202" t="s">
        <v>2080</v>
      </c>
      <c r="C28" s="1203" t="s">
        <v>1802</v>
      </c>
    </row>
    <row r="29" spans="1:13" s="1199" customFormat="1" ht="9" customHeight="1" x14ac:dyDescent="0.2">
      <c r="A29" s="1206"/>
      <c r="B29" s="1204"/>
      <c r="C29" s="1203"/>
    </row>
    <row r="30" spans="1:13" s="1199" customFormat="1" ht="12.2" customHeight="1" x14ac:dyDescent="0.2">
      <c r="B30" s="1202" t="s">
        <v>2080</v>
      </c>
      <c r="C30" s="1203" t="s">
        <v>1643</v>
      </c>
      <c r="D30" s="1197"/>
      <c r="E30" s="1197"/>
    </row>
    <row r="31" spans="1:13" s="1199" customFormat="1" ht="9" customHeight="1" x14ac:dyDescent="0.2">
      <c r="B31" s="1204"/>
      <c r="C31" s="1203"/>
      <c r="D31" s="1197"/>
      <c r="E31" s="1197"/>
    </row>
    <row r="32" spans="1:13" s="1199" customFormat="1" ht="12.2" customHeight="1" x14ac:dyDescent="0.2">
      <c r="B32" s="1202" t="s">
        <v>2080</v>
      </c>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t="s">
        <v>2080</v>
      </c>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t="s">
        <v>2080</v>
      </c>
      <c r="C38" s="1203" t="s">
        <v>1647</v>
      </c>
    </row>
    <row r="39" spans="1:8" ht="9" customHeight="1" x14ac:dyDescent="0.2">
      <c r="B39" s="1204"/>
      <c r="C39" s="1207"/>
    </row>
    <row r="40" spans="1:8" s="1199" customFormat="1" ht="13.5" customHeight="1" x14ac:dyDescent="0.2">
      <c r="B40" s="1202" t="s">
        <v>2080</v>
      </c>
      <c r="C40" s="1203" t="s">
        <v>1648</v>
      </c>
    </row>
    <row r="41" spans="1:8" ht="9" customHeight="1" x14ac:dyDescent="0.2">
      <c r="A41" s="1208"/>
      <c r="B41" s="1204"/>
      <c r="C41" s="1207"/>
    </row>
    <row r="42" spans="1:8" s="1199" customFormat="1" ht="13.5" customHeight="1" x14ac:dyDescent="0.2">
      <c r="B42" s="1202" t="s">
        <v>2080</v>
      </c>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t="s">
        <v>2080</v>
      </c>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Carlinville CUSD 1</v>
      </c>
      <c r="B1" s="2418"/>
      <c r="C1" s="2418"/>
      <c r="D1" s="2418"/>
    </row>
    <row r="2" spans="1:11" s="1215" customFormat="1" ht="12.75" x14ac:dyDescent="0.2">
      <c r="A2" s="2442">
        <f>'Single Audit Cover'!E7</f>
        <v>40056001026</v>
      </c>
      <c r="B2" s="2443"/>
      <c r="C2" s="2443"/>
      <c r="D2" s="2443"/>
    </row>
    <row r="3" spans="1:11" s="1215" customFormat="1" ht="12.75" x14ac:dyDescent="0.2">
      <c r="A3" s="2441" t="s">
        <v>1593</v>
      </c>
      <c r="B3" s="2418"/>
      <c r="C3" s="2418"/>
      <c r="D3" s="241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F25" sqref="F25"/>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Carlinville CUSD 1</v>
      </c>
      <c r="B1" s="2445"/>
      <c r="C1" s="2445"/>
      <c r="D1" s="2445"/>
      <c r="E1" s="2445"/>
    </row>
    <row r="2" spans="1:5" x14ac:dyDescent="0.2">
      <c r="A2" s="2446">
        <f>'Single Audit Cover'!E7</f>
        <v>40056001026</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659853</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42435</v>
      </c>
    </row>
    <row r="15" spans="1:5" x14ac:dyDescent="0.2">
      <c r="A15" s="1261"/>
      <c r="B15" s="1262"/>
      <c r="C15" s="1262"/>
    </row>
    <row r="16" spans="1:5" x14ac:dyDescent="0.2">
      <c r="A16" s="1261" t="s">
        <v>1954</v>
      </c>
      <c r="B16" s="1262"/>
      <c r="C16" s="1262"/>
    </row>
    <row r="17" spans="1:4" x14ac:dyDescent="0.2">
      <c r="A17" s="1261" t="s">
        <v>1601</v>
      </c>
      <c r="B17" s="1262" t="s">
        <v>1298</v>
      </c>
      <c r="C17" s="1262"/>
      <c r="D17" s="1264">
        <f>-SUM('Revenues 9-14'!C271:D271,'Revenues 9-14'!F271:G271)</f>
        <v>-41730</v>
      </c>
    </row>
    <row r="19" spans="1:4" ht="13.5" thickBot="1" x14ac:dyDescent="0.25">
      <c r="A19" s="1265" t="s">
        <v>1297</v>
      </c>
      <c r="D19" s="1266">
        <f>SUM(D10:D17)</f>
        <v>660558</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660558</v>
      </c>
    </row>
    <row r="33" spans="1:4" x14ac:dyDescent="0.2">
      <c r="D33" s="1269"/>
    </row>
    <row r="34" spans="1:4" x14ac:dyDescent="0.2">
      <c r="A34" s="317" t="s">
        <v>1294</v>
      </c>
    </row>
    <row r="35" spans="1:4" x14ac:dyDescent="0.2">
      <c r="A35" s="317" t="s">
        <v>1293</v>
      </c>
      <c r="B35" s="1258" t="s">
        <v>1292</v>
      </c>
      <c r="D35" s="1270">
        <f>+' SEFA (4)'!F27</f>
        <v>660558</v>
      </c>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660558</v>
      </c>
    </row>
    <row r="49" spans="2:4" x14ac:dyDescent="0.2">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22" zoomScale="120" zoomScaleNormal="120" workbookViewId="0">
      <selection activeCell="I32" sqref="I32"/>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8" t="str">
        <f>'Single Audit Cover'!A7</f>
        <v>Carlinville CUSD 1</v>
      </c>
      <c r="B1" s="2458"/>
      <c r="C1" s="2458"/>
      <c r="D1" s="2458"/>
      <c r="E1" s="2458"/>
      <c r="F1" s="2458"/>
    </row>
    <row r="2" spans="1:7" ht="13.5" customHeight="1" x14ac:dyDescent="0.2">
      <c r="A2" s="2459">
        <f>'Single Audit Cover'!E7</f>
        <v>40056001026</v>
      </c>
      <c r="B2" s="2459"/>
      <c r="C2" s="2459"/>
      <c r="D2" s="2459"/>
      <c r="E2" s="2459"/>
      <c r="F2" s="2459"/>
      <c r="G2" s="1275"/>
    </row>
    <row r="3" spans="1:7" ht="15.75" customHeight="1" x14ac:dyDescent="0.2">
      <c r="A3" s="2460" t="s">
        <v>1333</v>
      </c>
      <c r="B3" s="2460"/>
      <c r="C3" s="2460"/>
      <c r="D3" s="2460"/>
      <c r="E3" s="2460"/>
      <c r="F3" s="2460"/>
    </row>
    <row r="4" spans="1:7" ht="13.5" customHeight="1" x14ac:dyDescent="0.2">
      <c r="A4" s="2461" t="str">
        <f>'Single Audit Cover'!A4</f>
        <v>Year Ending June 30, 2018</v>
      </c>
      <c r="B4" s="2461"/>
      <c r="C4" s="2461"/>
      <c r="D4" s="2461"/>
      <c r="E4" s="2461"/>
      <c r="F4" s="2461"/>
    </row>
    <row r="5" spans="1:7" ht="8.25" customHeight="1" x14ac:dyDescent="0.2">
      <c r="C5" s="317"/>
      <c r="D5" s="317"/>
    </row>
    <row r="6" spans="1:7" ht="13.5" customHeight="1" x14ac:dyDescent="0.2">
      <c r="A6" s="1276" t="s">
        <v>1831</v>
      </c>
      <c r="C6" s="317"/>
      <c r="D6" s="317"/>
    </row>
    <row r="7" spans="1:7" ht="60.95" customHeight="1" x14ac:dyDescent="0.2">
      <c r="A7" s="2457" t="s">
        <v>2146</v>
      </c>
      <c r="B7" s="2457"/>
      <c r="C7" s="2457"/>
      <c r="D7" s="2457"/>
      <c r="E7" s="2457"/>
      <c r="F7" s="2457"/>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2080</v>
      </c>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7" t="s">
        <v>1833</v>
      </c>
      <c r="B13" s="2457"/>
      <c r="C13" s="2457"/>
      <c r="D13" s="2457"/>
      <c r="E13" s="2457"/>
      <c r="F13" s="2457"/>
    </row>
    <row r="14" spans="1:7" ht="9.75" customHeight="1" x14ac:dyDescent="0.2">
      <c r="C14" s="1260"/>
      <c r="D14" s="1260"/>
    </row>
    <row r="15" spans="1:7" ht="13.5" customHeight="1" x14ac:dyDescent="0.2">
      <c r="C15" s="1871" t="s">
        <v>1332</v>
      </c>
      <c r="D15" s="2455" t="s">
        <v>1331</v>
      </c>
      <c r="E15" s="2455"/>
      <c r="F15" s="2455"/>
    </row>
    <row r="16" spans="1:7" ht="13.5" customHeight="1" x14ac:dyDescent="0.2">
      <c r="A16" s="1282"/>
      <c r="B16" s="1276" t="s">
        <v>1330</v>
      </c>
      <c r="C16" s="1871" t="s">
        <v>1329</v>
      </c>
      <c r="D16" s="2456" t="s">
        <v>1670</v>
      </c>
      <c r="E16" s="2456"/>
      <c r="F16" s="2456"/>
    </row>
    <row r="17" spans="1:6" ht="20.45" customHeight="1" x14ac:dyDescent="0.2">
      <c r="A17" s="1283"/>
      <c r="B17" s="1284" t="s">
        <v>2145</v>
      </c>
      <c r="C17" s="1285"/>
      <c r="D17" s="2450"/>
      <c r="E17" s="2450"/>
      <c r="F17" s="2450"/>
    </row>
    <row r="18" spans="1:6" ht="20.65" customHeight="1" x14ac:dyDescent="0.2">
      <c r="A18" s="1283"/>
      <c r="B18" s="1284"/>
      <c r="C18" s="1285"/>
      <c r="D18" s="2450"/>
      <c r="E18" s="2450"/>
      <c r="F18" s="2450"/>
    </row>
    <row r="19" spans="1:6" ht="20.65" customHeight="1" x14ac:dyDescent="0.2">
      <c r="A19" s="1283"/>
      <c r="B19" s="1284"/>
      <c r="C19" s="1285"/>
      <c r="D19" s="2450"/>
      <c r="E19" s="2450"/>
      <c r="F19" s="2450"/>
    </row>
    <row r="20" spans="1:6" ht="20.65" customHeight="1" x14ac:dyDescent="0.2">
      <c r="A20" s="1283"/>
      <c r="B20" s="1284"/>
      <c r="C20" s="1285"/>
      <c r="D20" s="2450"/>
      <c r="E20" s="2450"/>
      <c r="F20" s="2450"/>
    </row>
    <row r="21" spans="1:6" ht="20.65" customHeight="1" x14ac:dyDescent="0.2">
      <c r="A21" s="1283"/>
      <c r="B21" s="1284"/>
      <c r="C21" s="1285"/>
      <c r="D21" s="2450"/>
      <c r="E21" s="2450"/>
      <c r="F21" s="2450"/>
    </row>
    <row r="22" spans="1:6" ht="20.65" customHeight="1" x14ac:dyDescent="0.2">
      <c r="A22" s="1283"/>
      <c r="B22" s="1284"/>
      <c r="C22" s="1285"/>
      <c r="D22" s="2450"/>
      <c r="E22" s="2450"/>
      <c r="F22" s="2450"/>
    </row>
    <row r="23" spans="1:6" ht="20.65" customHeight="1" x14ac:dyDescent="0.2">
      <c r="A23" s="1283"/>
      <c r="B23" s="1284"/>
      <c r="C23" s="1285"/>
      <c r="D23" s="2450"/>
      <c r="E23" s="2450"/>
      <c r="F23" s="2450"/>
    </row>
    <row r="24" spans="1:6" ht="20.65" customHeight="1" x14ac:dyDescent="0.2">
      <c r="A24" s="1283"/>
      <c r="B24" s="1284"/>
      <c r="C24" s="1285"/>
      <c r="D24" s="2450"/>
      <c r="E24" s="2450"/>
      <c r="F24" s="2450"/>
    </row>
    <row r="25" spans="1:6" ht="20.65" customHeight="1" x14ac:dyDescent="0.2">
      <c r="A25" s="1283"/>
      <c r="B25" s="1284"/>
      <c r="C25" s="1285"/>
      <c r="D25" s="2450"/>
      <c r="E25" s="2450"/>
      <c r="F25" s="2450"/>
    </row>
    <row r="26" spans="1:6" ht="20.65" customHeight="1" x14ac:dyDescent="0.2">
      <c r="A26" s="1283"/>
      <c r="B26" s="1284"/>
      <c r="C26" s="1285"/>
      <c r="D26" s="2450"/>
      <c r="E26" s="2450"/>
      <c r="F26" s="2450"/>
    </row>
    <row r="27" spans="1:6" ht="20.65" customHeight="1" x14ac:dyDescent="0.2">
      <c r="A27" s="1283"/>
      <c r="B27" s="1284"/>
      <c r="C27" s="1285"/>
      <c r="D27" s="2450"/>
      <c r="E27" s="2450"/>
      <c r="F27" s="2450"/>
    </row>
    <row r="28" spans="1:6" ht="20.65" customHeight="1" x14ac:dyDescent="0.2">
      <c r="A28" s="1283"/>
      <c r="B28" s="1284"/>
      <c r="C28" s="1285"/>
      <c r="D28" s="2450"/>
      <c r="E28" s="2450"/>
      <c r="F28" s="2450"/>
    </row>
    <row r="29" spans="1:6" ht="20.65" customHeight="1" x14ac:dyDescent="0.2">
      <c r="A29" s="1283"/>
      <c r="B29" s="1284"/>
      <c r="C29" s="1285"/>
      <c r="D29" s="2450"/>
      <c r="E29" s="2450"/>
      <c r="F29" s="2450"/>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1" t="s">
        <v>2147</v>
      </c>
      <c r="B32" s="2451"/>
      <c r="C32" s="2451"/>
      <c r="D32" s="2451"/>
      <c r="E32" s="2451"/>
      <c r="F32" s="2451"/>
    </row>
    <row r="33" spans="1:6" ht="13.5" customHeight="1" x14ac:dyDescent="0.2">
      <c r="A33" s="328" t="s">
        <v>1509</v>
      </c>
      <c r="B33" s="328"/>
      <c r="C33" s="1288">
        <v>42435</v>
      </c>
      <c r="D33" s="1928"/>
      <c r="E33" s="1286"/>
    </row>
    <row r="34" spans="1:6" ht="13.5" customHeight="1" x14ac:dyDescent="0.2">
      <c r="A34" s="328" t="s">
        <v>1947</v>
      </c>
      <c r="B34" s="328"/>
      <c r="C34" s="1289">
        <v>0</v>
      </c>
      <c r="D34" s="1928" t="s">
        <v>1671</v>
      </c>
      <c r="E34" s="2452">
        <f>+C33+C34</f>
        <v>42435</v>
      </c>
      <c r="F34" s="2453"/>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4" t="s">
        <v>1672</v>
      </c>
      <c r="C49" s="2454"/>
      <c r="D49" s="2454"/>
      <c r="E49" s="1399"/>
    </row>
    <row r="50" spans="1:5" s="1300" customFormat="1" ht="3.75" customHeight="1" x14ac:dyDescent="0.2">
      <c r="A50" s="1299"/>
      <c r="B50" s="1870"/>
      <c r="C50" s="1870"/>
      <c r="D50" s="1870"/>
      <c r="E50" s="1399"/>
    </row>
    <row r="51" spans="1:5" s="1300" customFormat="1" ht="20.25" customHeight="1" x14ac:dyDescent="0.2">
      <c r="A51" s="1301">
        <v>6</v>
      </c>
      <c r="B51" s="2449" t="s">
        <v>1632</v>
      </c>
      <c r="C51" s="2449"/>
      <c r="D51" s="2449"/>
    </row>
    <row r="52" spans="1:5" ht="14.25" customHeight="1" x14ac:dyDescent="0.2">
      <c r="A52" s="1301"/>
      <c r="B52" s="2449"/>
      <c r="C52" s="2449"/>
      <c r="D52" s="2449"/>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I15" sqref="I15"/>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Carlinville CUSD 1</v>
      </c>
      <c r="C1" s="2462"/>
      <c r="D1" s="2462"/>
      <c r="E1" s="2462"/>
      <c r="F1" s="2462"/>
      <c r="G1" s="2462"/>
      <c r="H1" s="2462"/>
      <c r="I1" s="2462"/>
      <c r="J1" s="2462"/>
      <c r="K1" s="2462"/>
      <c r="L1" s="2462"/>
      <c r="M1" s="2462"/>
    </row>
    <row r="2" spans="2:14" ht="15" x14ac:dyDescent="0.2">
      <c r="B2" s="2459">
        <f>'Single Audit Cover'!E7</f>
        <v>40056001026</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2111</v>
      </c>
      <c r="C11" s="1338"/>
      <c r="D11" s="1339"/>
      <c r="E11" s="1340"/>
      <c r="F11" s="1340"/>
      <c r="G11" s="1340"/>
      <c r="H11" s="1340"/>
      <c r="I11" s="1340"/>
      <c r="J11" s="1340"/>
      <c r="K11" s="1340"/>
      <c r="L11" s="1340">
        <f>+G11+I11+K11</f>
        <v>0</v>
      </c>
      <c r="M11" s="1340"/>
    </row>
    <row r="12" spans="2:14" ht="20.100000000000001" customHeight="1" x14ac:dyDescent="0.2">
      <c r="B12" s="1337" t="s">
        <v>2112</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2113</v>
      </c>
      <c r="C14" s="1341">
        <v>10.555</v>
      </c>
      <c r="D14" s="1342" t="s">
        <v>2119</v>
      </c>
      <c r="E14" s="1343"/>
      <c r="F14" s="1343">
        <v>200660</v>
      </c>
      <c r="G14" s="1343"/>
      <c r="H14" s="1343"/>
      <c r="I14" s="1343">
        <v>200660</v>
      </c>
      <c r="J14" s="1343"/>
      <c r="K14" s="1343"/>
      <c r="L14" s="1340">
        <f t="shared" si="0"/>
        <v>200660</v>
      </c>
      <c r="M14" s="1343"/>
    </row>
    <row r="15" spans="2:14" ht="20.100000000000001" customHeight="1" x14ac:dyDescent="0.2">
      <c r="B15" s="1337" t="s">
        <v>2114</v>
      </c>
      <c r="C15" s="1341">
        <v>10.555</v>
      </c>
      <c r="D15" s="1342" t="s">
        <v>2120</v>
      </c>
      <c r="E15" s="1343">
        <v>193175</v>
      </c>
      <c r="F15" s="1343">
        <v>63398</v>
      </c>
      <c r="G15" s="1343">
        <v>193175</v>
      </c>
      <c r="H15" s="1343"/>
      <c r="I15" s="1343">
        <v>63398</v>
      </c>
      <c r="J15" s="1343"/>
      <c r="K15" s="1343"/>
      <c r="L15" s="1340">
        <f t="shared" si="0"/>
        <v>256573</v>
      </c>
      <c r="M15" s="1343"/>
    </row>
    <row r="16" spans="2:14" ht="20.100000000000001" customHeight="1" x14ac:dyDescent="0.2">
      <c r="B16" s="1337" t="s">
        <v>2115</v>
      </c>
      <c r="C16" s="1341">
        <v>10.553000000000001</v>
      </c>
      <c r="D16" s="1342" t="s">
        <v>2121</v>
      </c>
      <c r="E16" s="1343"/>
      <c r="F16" s="1343">
        <v>50460</v>
      </c>
      <c r="G16" s="1343"/>
      <c r="H16" s="1343"/>
      <c r="I16" s="1343">
        <v>50460</v>
      </c>
      <c r="J16" s="1343"/>
      <c r="K16" s="1343"/>
      <c r="L16" s="1340">
        <f t="shared" si="0"/>
        <v>50460</v>
      </c>
      <c r="M16" s="1343"/>
    </row>
    <row r="17" spans="2:14" ht="20.100000000000001" customHeight="1" x14ac:dyDescent="0.2">
      <c r="B17" s="1337" t="s">
        <v>2116</v>
      </c>
      <c r="C17" s="1341">
        <v>10.553000000000001</v>
      </c>
      <c r="D17" s="1342" t="s">
        <v>2122</v>
      </c>
      <c r="E17" s="1343">
        <v>46867</v>
      </c>
      <c r="F17" s="1343">
        <v>16848</v>
      </c>
      <c r="G17" s="1343">
        <v>46867</v>
      </c>
      <c r="H17" s="1343"/>
      <c r="I17" s="1343">
        <v>16848</v>
      </c>
      <c r="J17" s="1343"/>
      <c r="K17" s="1343"/>
      <c r="L17" s="1340">
        <f t="shared" si="0"/>
        <v>63715</v>
      </c>
      <c r="M17" s="1343"/>
    </row>
    <row r="18" spans="2:14" ht="20.100000000000001" customHeight="1" x14ac:dyDescent="0.2">
      <c r="B18" s="1337" t="s">
        <v>2117</v>
      </c>
      <c r="C18" s="1341">
        <v>10.565</v>
      </c>
      <c r="D18" s="1342" t="s">
        <v>2123</v>
      </c>
      <c r="E18" s="1343"/>
      <c r="F18" s="1343">
        <v>22682</v>
      </c>
      <c r="G18" s="1343"/>
      <c r="H18" s="1343"/>
      <c r="I18" s="1343">
        <v>22682</v>
      </c>
      <c r="J18" s="1343"/>
      <c r="K18" s="1343"/>
      <c r="L18" s="1340">
        <f>+G18+I18+K18</f>
        <v>22682</v>
      </c>
      <c r="M18" s="1343"/>
    </row>
    <row r="19" spans="2:14" ht="20.100000000000001" customHeight="1" x14ac:dyDescent="0.2">
      <c r="B19" s="1337" t="s">
        <v>2118</v>
      </c>
      <c r="C19" s="1341">
        <v>10.565</v>
      </c>
      <c r="D19" s="1342" t="s">
        <v>2123</v>
      </c>
      <c r="E19" s="1343"/>
      <c r="F19" s="1343">
        <v>19753</v>
      </c>
      <c r="G19" s="1343"/>
      <c r="H19" s="1343"/>
      <c r="I19" s="1343">
        <v>19753</v>
      </c>
      <c r="J19" s="1343"/>
      <c r="K19" s="1343"/>
      <c r="L19" s="1340">
        <f t="shared" si="0"/>
        <v>19753</v>
      </c>
      <c r="M19" s="1343"/>
    </row>
    <row r="20" spans="2:14" ht="20.100000000000001" customHeight="1" x14ac:dyDescent="0.2">
      <c r="B20" s="1337" t="s">
        <v>2140</v>
      </c>
      <c r="C20" s="1341">
        <v>10.579000000000001</v>
      </c>
      <c r="D20" s="1342" t="s">
        <v>2141</v>
      </c>
      <c r="E20" s="1343"/>
      <c r="F20" s="1343">
        <v>7748</v>
      </c>
      <c r="G20" s="1343"/>
      <c r="H20" s="1343"/>
      <c r="I20" s="1343">
        <v>7748</v>
      </c>
      <c r="J20" s="1343"/>
      <c r="K20" s="1343"/>
      <c r="L20" s="1340">
        <f t="shared" si="0"/>
        <v>7748</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2124</v>
      </c>
      <c r="C27" s="1341"/>
      <c r="D27" s="1342"/>
      <c r="E27" s="1343">
        <f t="shared" ref="E27:K27" si="1">SUM(E13:E26)</f>
        <v>240042</v>
      </c>
      <c r="F27" s="1343">
        <f t="shared" si="1"/>
        <v>381549</v>
      </c>
      <c r="G27" s="1343">
        <f t="shared" si="1"/>
        <v>240042</v>
      </c>
      <c r="H27" s="1343">
        <f t="shared" si="1"/>
        <v>0</v>
      </c>
      <c r="I27" s="1343">
        <f t="shared" si="1"/>
        <v>381549</v>
      </c>
      <c r="J27" s="1343">
        <f t="shared" si="1"/>
        <v>0</v>
      </c>
      <c r="K27" s="1343">
        <f t="shared" si="1"/>
        <v>0</v>
      </c>
      <c r="L27" s="1340">
        <f t="shared" si="0"/>
        <v>621591</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election activeCell="C9" sqref="C9"/>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2080</v>
      </c>
      <c r="C53" s="179">
        <v>22</v>
      </c>
      <c r="D53" s="247" t="s">
        <v>1537</v>
      </c>
      <c r="E53" s="248"/>
      <c r="F53" s="249"/>
      <c r="G53" s="249" t="s">
        <v>1536</v>
      </c>
      <c r="H53" s="250">
        <v>35374</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2019</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2081</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2020</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J21" sqref="J2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Carlinville CUSD 1</v>
      </c>
      <c r="C1" s="2462"/>
      <c r="D1" s="2462"/>
      <c r="E1" s="2462"/>
      <c r="F1" s="2462"/>
      <c r="G1" s="2462"/>
      <c r="H1" s="2462"/>
      <c r="I1" s="2462"/>
      <c r="J1" s="2462"/>
      <c r="K1" s="2462"/>
      <c r="L1" s="2462"/>
      <c r="M1" s="2462"/>
    </row>
    <row r="2" spans="2:14" ht="15" x14ac:dyDescent="0.2">
      <c r="B2" s="2459">
        <f>'Single Audit Cover'!E7</f>
        <v>40056001026</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2125</v>
      </c>
      <c r="C11" s="1338"/>
      <c r="D11" s="1339"/>
      <c r="E11" s="1340"/>
      <c r="F11" s="1340"/>
      <c r="G11" s="1340"/>
      <c r="H11" s="1340"/>
      <c r="I11" s="1340"/>
      <c r="J11" s="1340"/>
      <c r="K11" s="1340"/>
      <c r="L11" s="1340">
        <f>+G11+I11+K11</f>
        <v>0</v>
      </c>
      <c r="M11" s="1340"/>
    </row>
    <row r="12" spans="2:14" ht="20.100000000000001" customHeight="1" x14ac:dyDescent="0.2">
      <c r="B12" s="1337" t="s">
        <v>2126</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2127</v>
      </c>
      <c r="C14" s="1341">
        <v>84.01</v>
      </c>
      <c r="D14" s="1342" t="s">
        <v>2130</v>
      </c>
      <c r="E14" s="1343"/>
      <c r="F14" s="1343">
        <v>176750</v>
      </c>
      <c r="G14" s="1343"/>
      <c r="H14" s="1343"/>
      <c r="I14" s="1343">
        <v>287579</v>
      </c>
      <c r="J14" s="1343"/>
      <c r="K14" s="1343">
        <v>22249</v>
      </c>
      <c r="L14" s="1340">
        <f t="shared" si="0"/>
        <v>309828</v>
      </c>
      <c r="M14" s="1343"/>
    </row>
    <row r="15" spans="2:14" ht="20.100000000000001" customHeight="1" x14ac:dyDescent="0.2">
      <c r="B15" s="1337" t="s">
        <v>2128</v>
      </c>
      <c r="C15" s="1341">
        <v>84.01</v>
      </c>
      <c r="D15" s="1342" t="s">
        <v>2131</v>
      </c>
      <c r="E15" s="1343">
        <v>215937</v>
      </c>
      <c r="F15" s="1343">
        <v>39236</v>
      </c>
      <c r="G15" s="1343">
        <v>236011</v>
      </c>
      <c r="H15" s="1343"/>
      <c r="I15" s="1343">
        <v>19162</v>
      </c>
      <c r="J15" s="1343"/>
      <c r="K15" s="1343"/>
      <c r="L15" s="1340">
        <f t="shared" si="0"/>
        <v>255173</v>
      </c>
      <c r="M15" s="1343"/>
    </row>
    <row r="16" spans="2:14" ht="20.100000000000001" customHeight="1" x14ac:dyDescent="0.2">
      <c r="B16" s="1337" t="s">
        <v>2129</v>
      </c>
      <c r="C16" s="1341">
        <v>84.367000000000004</v>
      </c>
      <c r="D16" s="1342" t="s">
        <v>2132</v>
      </c>
      <c r="E16" s="1343"/>
      <c r="F16" s="1343">
        <v>33081</v>
      </c>
      <c r="G16" s="1343"/>
      <c r="H16" s="1343"/>
      <c r="I16" s="1343">
        <v>47456</v>
      </c>
      <c r="J16" s="1343"/>
      <c r="K16" s="1343">
        <v>5831</v>
      </c>
      <c r="L16" s="1340">
        <f t="shared" si="0"/>
        <v>53287</v>
      </c>
      <c r="M16" s="1343"/>
    </row>
    <row r="17" spans="2:14" ht="20.100000000000001" customHeight="1" x14ac:dyDescent="0.2">
      <c r="B17" s="1337" t="s">
        <v>2129</v>
      </c>
      <c r="C17" s="1341">
        <v>84.367000000000004</v>
      </c>
      <c r="D17" s="1342" t="s">
        <v>2133</v>
      </c>
      <c r="E17" s="1343">
        <v>61495</v>
      </c>
      <c r="F17" s="1343">
        <v>13760</v>
      </c>
      <c r="G17" s="1343">
        <v>67429</v>
      </c>
      <c r="H17" s="1343"/>
      <c r="I17" s="1343">
        <v>7826</v>
      </c>
      <c r="J17" s="1343"/>
      <c r="K17" s="1343"/>
      <c r="L17" s="1340">
        <f t="shared" si="0"/>
        <v>75255</v>
      </c>
      <c r="M17" s="1343"/>
    </row>
    <row r="18" spans="2:14" ht="20.100000000000001" customHeight="1" x14ac:dyDescent="0.2">
      <c r="B18" s="1337" t="s">
        <v>2134</v>
      </c>
      <c r="C18" s="1341">
        <v>84.424000000000007</v>
      </c>
      <c r="D18" s="1342" t="s">
        <v>2139</v>
      </c>
      <c r="E18" s="1343"/>
      <c r="F18" s="1343">
        <v>2082</v>
      </c>
      <c r="G18" s="1343"/>
      <c r="H18" s="1343"/>
      <c r="I18" s="1343">
        <v>7221</v>
      </c>
      <c r="J18" s="1343"/>
      <c r="K18" s="1343"/>
      <c r="L18" s="1340">
        <f>+G18+I18+K18</f>
        <v>7221</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2124</v>
      </c>
      <c r="C27" s="1341"/>
      <c r="D27" s="1342"/>
      <c r="E27" s="1343">
        <f t="shared" ref="E27:K27" si="1">SUM(E13:E26)</f>
        <v>277432</v>
      </c>
      <c r="F27" s="1343">
        <f t="shared" si="1"/>
        <v>264909</v>
      </c>
      <c r="G27" s="1343">
        <f t="shared" si="1"/>
        <v>303440</v>
      </c>
      <c r="H27" s="1343">
        <f t="shared" si="1"/>
        <v>0</v>
      </c>
      <c r="I27" s="1343">
        <f t="shared" si="1"/>
        <v>369244</v>
      </c>
      <c r="J27" s="1343">
        <f t="shared" si="1"/>
        <v>0</v>
      </c>
      <c r="K27" s="1343">
        <f t="shared" si="1"/>
        <v>28080</v>
      </c>
      <c r="L27" s="1340">
        <f t="shared" si="0"/>
        <v>700764</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I15" sqref="I15"/>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Carlinville CUSD 1</v>
      </c>
      <c r="C1" s="2462"/>
      <c r="D1" s="2462"/>
      <c r="E1" s="2462"/>
      <c r="F1" s="2462"/>
      <c r="G1" s="2462"/>
      <c r="H1" s="2462"/>
      <c r="I1" s="2462"/>
      <c r="J1" s="2462"/>
      <c r="K1" s="2462"/>
      <c r="L1" s="2462"/>
      <c r="M1" s="2462"/>
    </row>
    <row r="2" spans="2:14" ht="15" x14ac:dyDescent="0.2">
      <c r="B2" s="2459">
        <f>'Single Audit Cover'!E7</f>
        <v>40056001026</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2135</v>
      </c>
      <c r="C11" s="1338"/>
      <c r="D11" s="1339"/>
      <c r="E11" s="1340"/>
      <c r="F11" s="1340"/>
      <c r="G11" s="1340"/>
      <c r="H11" s="1340"/>
      <c r="I11" s="1340"/>
      <c r="J11" s="1340"/>
      <c r="K11" s="1340"/>
      <c r="L11" s="1340">
        <f>+G11+I11+K11</f>
        <v>0</v>
      </c>
      <c r="M11" s="1340"/>
    </row>
    <row r="12" spans="2:14" ht="20.100000000000001" customHeight="1" x14ac:dyDescent="0.2">
      <c r="B12" s="1337" t="s">
        <v>2136</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2137</v>
      </c>
      <c r="C14" s="1341">
        <v>93.778000000000006</v>
      </c>
      <c r="D14" s="1342" t="s">
        <v>2138</v>
      </c>
      <c r="E14" s="1343"/>
      <c r="F14" s="1343">
        <v>14100</v>
      </c>
      <c r="G14" s="1343"/>
      <c r="H14" s="1343"/>
      <c r="I14" s="1343">
        <v>14100</v>
      </c>
      <c r="J14" s="1343"/>
      <c r="K14" s="1343"/>
      <c r="L14" s="1340">
        <f t="shared" si="0"/>
        <v>14100</v>
      </c>
      <c r="M14" s="1343"/>
    </row>
    <row r="15" spans="2:14" ht="20.100000000000001" customHeight="1" x14ac:dyDescent="0.2">
      <c r="B15" s="1337"/>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+G18+I18+K18</f>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2124</v>
      </c>
      <c r="C27" s="1341"/>
      <c r="D27" s="1342"/>
      <c r="E27" s="1343">
        <f t="shared" ref="E27:K27" si="1">SUM(E13:E26)</f>
        <v>0</v>
      </c>
      <c r="F27" s="1343">
        <f t="shared" si="1"/>
        <v>14100</v>
      </c>
      <c r="G27" s="1343">
        <f t="shared" si="1"/>
        <v>0</v>
      </c>
      <c r="H27" s="1343">
        <f t="shared" si="1"/>
        <v>0</v>
      </c>
      <c r="I27" s="1343">
        <f t="shared" si="1"/>
        <v>14100</v>
      </c>
      <c r="J27" s="1343">
        <f t="shared" si="1"/>
        <v>0</v>
      </c>
      <c r="K27" s="1343">
        <f t="shared" si="1"/>
        <v>0</v>
      </c>
      <c r="L27" s="1340">
        <f t="shared" si="0"/>
        <v>14100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J21" sqref="J2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Carlinville CUSD 1</v>
      </c>
      <c r="C1" s="2462"/>
      <c r="D1" s="2462"/>
      <c r="E1" s="2462"/>
      <c r="F1" s="2462"/>
      <c r="G1" s="2462"/>
      <c r="H1" s="2462"/>
      <c r="I1" s="2462"/>
      <c r="J1" s="2462"/>
      <c r="K1" s="2462"/>
      <c r="L1" s="2462"/>
      <c r="M1" s="2462"/>
    </row>
    <row r="2" spans="2:14" ht="15" x14ac:dyDescent="0.2">
      <c r="B2" s="2459">
        <f>'Single Audit Cover'!E7</f>
        <v>40056001026</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2142</v>
      </c>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t="s">
        <v>2143</v>
      </c>
      <c r="C13" s="1341"/>
      <c r="D13" s="1342"/>
      <c r="E13" s="1343">
        <f>+' SEFA'!E27+' SEFA (2)'!E27</f>
        <v>517474</v>
      </c>
      <c r="F13" s="1343">
        <f>+' SEFA'!F27+' SEFA (2)'!F27</f>
        <v>646458</v>
      </c>
      <c r="G13" s="1343">
        <f>+' SEFA'!G27+' SEFA (2)'!G27</f>
        <v>543482</v>
      </c>
      <c r="H13" s="1343">
        <f>+' SEFA'!H27+' SEFA (2)'!H27</f>
        <v>0</v>
      </c>
      <c r="I13" s="1343">
        <f>+' SEFA'!I27+' SEFA (2)'!I27</f>
        <v>750793</v>
      </c>
      <c r="J13" s="1343">
        <f>+' SEFA'!J27+' SEFA (2)'!J27</f>
        <v>0</v>
      </c>
      <c r="K13" s="1343">
        <f>+' SEFA'!K27+' SEFA (2)'!K27</f>
        <v>28080</v>
      </c>
      <c r="L13" s="1340">
        <f t="shared" si="0"/>
        <v>1322355</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2144</v>
      </c>
      <c r="C15" s="1341"/>
      <c r="D15" s="1342"/>
      <c r="E15" s="1343">
        <f>+' SEFA (3)'!E27</f>
        <v>0</v>
      </c>
      <c r="F15" s="1343">
        <f>+' SEFA (3)'!F27</f>
        <v>14100</v>
      </c>
      <c r="G15" s="1343">
        <f>+' SEFA (3)'!G27</f>
        <v>0</v>
      </c>
      <c r="H15" s="1343">
        <f>+' SEFA (3)'!H27</f>
        <v>0</v>
      </c>
      <c r="I15" s="1343">
        <f>+' SEFA (3)'!I27</f>
        <v>14100</v>
      </c>
      <c r="J15" s="1343">
        <f>+' SEFA (3)'!J27</f>
        <v>0</v>
      </c>
      <c r="K15" s="1343">
        <f>+' SEFA (3)'!K27</f>
        <v>0</v>
      </c>
      <c r="L15" s="1340">
        <f t="shared" si="0"/>
        <v>14100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+G18+I18+K18</f>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2124</v>
      </c>
      <c r="C27" s="1341"/>
      <c r="D27" s="1342"/>
      <c r="E27" s="1343">
        <f t="shared" ref="E27:K27" si="1">SUM(E13:E26)</f>
        <v>517474</v>
      </c>
      <c r="F27" s="1343">
        <f t="shared" si="1"/>
        <v>660558</v>
      </c>
      <c r="G27" s="1343">
        <f t="shared" si="1"/>
        <v>543482</v>
      </c>
      <c r="H27" s="1343">
        <f t="shared" si="1"/>
        <v>0</v>
      </c>
      <c r="I27" s="1343">
        <f t="shared" si="1"/>
        <v>764893</v>
      </c>
      <c r="J27" s="1343">
        <f t="shared" si="1"/>
        <v>0</v>
      </c>
      <c r="K27" s="1343">
        <f t="shared" si="1"/>
        <v>28080</v>
      </c>
      <c r="L27" s="1340">
        <f t="shared" si="0"/>
        <v>1336455</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5" zoomScale="110" zoomScaleNormal="110" workbookViewId="0">
      <selection activeCell="K51" sqref="K51"/>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6" t="str">
        <f>'Single Audit Cover'!A7</f>
        <v>Carlinville CUSD 1</v>
      </c>
      <c r="C1" s="2477"/>
      <c r="D1" s="2477"/>
      <c r="E1" s="2477"/>
      <c r="F1" s="2477"/>
      <c r="G1" s="2477"/>
      <c r="H1" s="2477"/>
      <c r="I1" s="2477"/>
      <c r="J1" s="1422"/>
    </row>
    <row r="2" spans="2:10" s="317" customFormat="1" ht="12.75" customHeight="1" x14ac:dyDescent="0.2">
      <c r="B2" s="2478">
        <f>'Single Audit Cover'!E7</f>
        <v>40056001026</v>
      </c>
      <c r="C2" s="2479"/>
      <c r="D2" s="2479"/>
      <c r="E2" s="2479"/>
      <c r="F2" s="2479"/>
      <c r="G2" s="2479"/>
      <c r="H2" s="2479"/>
      <c r="I2" s="2479"/>
      <c r="J2" s="1422"/>
    </row>
    <row r="3" spans="2:10" s="317" customFormat="1" ht="12.75" customHeight="1" x14ac:dyDescent="0.2">
      <c r="B3" s="2480" t="s">
        <v>1347</v>
      </c>
      <c r="C3" s="2481"/>
      <c r="D3" s="2481"/>
      <c r="E3" s="2481"/>
      <c r="F3" s="2481"/>
      <c r="G3" s="2481"/>
      <c r="H3" s="2481"/>
      <c r="I3" s="2481"/>
      <c r="J3" s="1423"/>
    </row>
    <row r="4" spans="2:10" s="317" customFormat="1" ht="12.75" customHeight="1" x14ac:dyDescent="0.2">
      <c r="B4" s="2480" t="str">
        <f>'Single Audit Cover'!A4</f>
        <v>Year Ending June 30, 2018</v>
      </c>
      <c r="C4" s="2481"/>
      <c r="D4" s="2481"/>
      <c r="E4" s="2481"/>
      <c r="F4" s="2481"/>
      <c r="G4" s="2481"/>
      <c r="H4" s="2481"/>
      <c r="I4" s="2481"/>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0" t="s">
        <v>1346</v>
      </c>
      <c r="C7" s="2481"/>
      <c r="D7" s="2481"/>
      <c r="E7" s="2481"/>
      <c r="F7" s="2481"/>
      <c r="G7" s="2481"/>
      <c r="H7" s="2481"/>
      <c r="I7" s="2481"/>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2" t="s">
        <v>2148</v>
      </c>
      <c r="D11" s="2482"/>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2080</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2080</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2080</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2080</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2080</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3" t="s">
        <v>2149</v>
      </c>
      <c r="E29" s="2483"/>
      <c r="F29" s="2483"/>
      <c r="G29" s="2483"/>
      <c r="H29" s="2483"/>
      <c r="I29" s="2483"/>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2080</v>
      </c>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4" t="s">
        <v>1852</v>
      </c>
      <c r="D37" s="2485"/>
      <c r="E37" s="2485"/>
      <c r="F37" s="2486"/>
      <c r="G37" s="2484" t="s">
        <v>1674</v>
      </c>
      <c r="H37" s="2485"/>
      <c r="I37" s="2486"/>
    </row>
    <row r="38" spans="2:9" ht="16.5" customHeight="1" x14ac:dyDescent="0.2">
      <c r="B38" s="1444">
        <v>10.555</v>
      </c>
      <c r="C38" s="2472" t="s">
        <v>2150</v>
      </c>
      <c r="D38" s="2473"/>
      <c r="E38" s="2473"/>
      <c r="F38" s="2474"/>
      <c r="G38" s="2487">
        <v>264057</v>
      </c>
      <c r="H38" s="2488"/>
      <c r="I38" s="2489"/>
    </row>
    <row r="39" spans="2:9" ht="16.5" customHeight="1" x14ac:dyDescent="0.2">
      <c r="B39" s="1444">
        <v>10.553000000000001</v>
      </c>
      <c r="C39" s="2472" t="s">
        <v>2151</v>
      </c>
      <c r="D39" s="2473"/>
      <c r="E39" s="2473"/>
      <c r="F39" s="2474"/>
      <c r="G39" s="2475">
        <v>67309</v>
      </c>
      <c r="H39" s="2475"/>
      <c r="I39" s="2475"/>
    </row>
    <row r="40" spans="2:9" ht="16.5" customHeight="1" x14ac:dyDescent="0.2">
      <c r="B40" s="1444">
        <v>84.01</v>
      </c>
      <c r="C40" s="2472" t="s">
        <v>2152</v>
      </c>
      <c r="D40" s="2473"/>
      <c r="E40" s="2473"/>
      <c r="F40" s="2474"/>
      <c r="G40" s="2475">
        <v>306741</v>
      </c>
      <c r="H40" s="2475"/>
      <c r="I40" s="2475"/>
    </row>
    <row r="41" spans="2:9" ht="16.5" customHeight="1" x14ac:dyDescent="0.2">
      <c r="B41" s="1444"/>
      <c r="C41" s="2472"/>
      <c r="D41" s="2473"/>
      <c r="E41" s="2473"/>
      <c r="F41" s="2474"/>
      <c r="G41" s="2475"/>
      <c r="H41" s="2475"/>
      <c r="I41" s="2475"/>
    </row>
    <row r="42" spans="2:9" ht="16.5" customHeight="1" x14ac:dyDescent="0.2">
      <c r="B42" s="1444"/>
      <c r="C42" s="2472"/>
      <c r="D42" s="2473"/>
      <c r="E42" s="2473"/>
      <c r="F42" s="2474"/>
      <c r="G42" s="2475"/>
      <c r="H42" s="2475"/>
      <c r="I42" s="2475"/>
    </row>
    <row r="43" spans="2:9" ht="16.5" customHeight="1" x14ac:dyDescent="0.2">
      <c r="B43" s="1444"/>
      <c r="C43" s="2465" t="s">
        <v>1675</v>
      </c>
      <c r="D43" s="2466"/>
      <c r="E43" s="2466"/>
      <c r="F43" s="2467"/>
      <c r="G43" s="2468">
        <f>SUM(G38:I42)</f>
        <v>638107</v>
      </c>
      <c r="H43" s="2468"/>
      <c r="I43" s="2468"/>
    </row>
    <row r="44" spans="2:9" ht="12.75" customHeight="1" x14ac:dyDescent="0.2"/>
    <row r="45" spans="2:9" ht="12.75" customHeight="1" x14ac:dyDescent="0.2">
      <c r="B45" s="1435" t="s">
        <v>1950</v>
      </c>
      <c r="D45" s="2469">
        <f>+' SEFA (4)'!I27</f>
        <v>764893</v>
      </c>
      <c r="E45" s="2470"/>
    </row>
    <row r="46" spans="2:9" ht="5.25" customHeight="1" x14ac:dyDescent="0.2">
      <c r="B46" s="1445"/>
      <c r="D46" s="1446"/>
      <c r="E46" s="1447"/>
    </row>
    <row r="47" spans="2:9" ht="12.75" customHeight="1" x14ac:dyDescent="0.2">
      <c r="B47" s="1300" t="s">
        <v>1676</v>
      </c>
      <c r="C47" s="1300"/>
      <c r="D47" s="1448">
        <f>+G43/D45</f>
        <v>0.8342434824217243</v>
      </c>
      <c r="E47" s="1449"/>
      <c r="F47" s="1450"/>
      <c r="I47" s="1451"/>
    </row>
    <row r="48" spans="2:9" ht="9.9499999999999993" customHeight="1" x14ac:dyDescent="0.2"/>
    <row r="49" spans="1:9" x14ac:dyDescent="0.2">
      <c r="B49" s="1368" t="s">
        <v>1335</v>
      </c>
      <c r="C49" s="1282"/>
      <c r="D49" s="1282"/>
      <c r="E49" s="2471">
        <v>750000</v>
      </c>
      <c r="F49" s="2471"/>
      <c r="G49" s="2471"/>
      <c r="H49" s="322"/>
    </row>
    <row r="51" spans="1:9" ht="13.5" customHeight="1" x14ac:dyDescent="0.2">
      <c r="B51" s="1368" t="s">
        <v>1334</v>
      </c>
      <c r="C51" s="1282"/>
      <c r="E51" s="1438"/>
      <c r="F51" s="1300" t="s">
        <v>940</v>
      </c>
      <c r="G51" s="1438" t="s">
        <v>2080</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7" sqref="B17:K17"/>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6" t="str">
        <f>'Single Audit Cover'!A7</f>
        <v>Carlinville CUSD 1</v>
      </c>
      <c r="C1" s="2476"/>
      <c r="D1" s="2476"/>
      <c r="E1" s="2476"/>
      <c r="F1" s="2476"/>
      <c r="G1" s="2476"/>
      <c r="H1" s="2476"/>
      <c r="I1" s="2476"/>
      <c r="J1" s="2476"/>
      <c r="K1" s="2476"/>
      <c r="L1" s="1374"/>
      <c r="M1" s="1374"/>
    </row>
    <row r="2" spans="1:13" ht="12" customHeight="1" x14ac:dyDescent="0.2">
      <c r="B2" s="2478">
        <f>'Single Audit Cover'!E7</f>
        <v>40056001026</v>
      </c>
      <c r="C2" s="2478"/>
      <c r="D2" s="2478"/>
      <c r="E2" s="2478"/>
      <c r="F2" s="2478"/>
      <c r="G2" s="2478"/>
      <c r="H2" s="2478"/>
      <c r="I2" s="2478"/>
      <c r="J2" s="2478"/>
      <c r="K2" s="2478"/>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1951</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t="s">
        <v>2153</v>
      </c>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1847</v>
      </c>
      <c r="C38" s="1420"/>
    </row>
    <row r="39" spans="1:13" ht="9.6" customHeight="1" x14ac:dyDescent="0.2">
      <c r="B39" s="1300" t="s">
        <v>1348</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1" sqref="B2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9" t="str">
        <f>'Single Audit Cover'!A7</f>
        <v>Carlinville CUSD 1</v>
      </c>
      <c r="C1" s="2499"/>
      <c r="D1" s="2499"/>
      <c r="E1" s="2499"/>
      <c r="F1" s="2499"/>
      <c r="G1" s="2499"/>
      <c r="H1" s="2499"/>
      <c r="I1" s="2499"/>
      <c r="J1" s="2499"/>
      <c r="K1" s="2499"/>
      <c r="L1" s="1465"/>
    </row>
    <row r="2" spans="1:12" ht="12.75" customHeight="1" x14ac:dyDescent="0.2">
      <c r="B2" s="2500">
        <f>'Single Audit Cover'!E7</f>
        <v>40056001026</v>
      </c>
      <c r="C2" s="2500"/>
      <c r="D2" s="2500"/>
      <c r="E2" s="2500"/>
      <c r="F2" s="2500"/>
      <c r="G2" s="2500"/>
      <c r="H2" s="2500"/>
      <c r="I2" s="2500"/>
      <c r="J2" s="2500"/>
      <c r="K2" s="2500"/>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501" t="s">
        <v>1375</v>
      </c>
      <c r="C6" s="2501"/>
      <c r="D6" s="2501"/>
      <c r="E6" s="2501"/>
      <c r="F6" s="2501"/>
      <c r="G6" s="2501"/>
      <c r="H6" s="2501"/>
      <c r="I6" s="2501"/>
      <c r="J6" s="2501"/>
      <c r="K6" s="2501"/>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1951</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3"/>
      <c r="G12" s="2483"/>
      <c r="H12" s="2483"/>
      <c r="I12" s="2483"/>
      <c r="J12" s="2483"/>
      <c r="K12" s="2483"/>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6"/>
      <c r="E14" s="2496"/>
      <c r="F14" s="2496"/>
      <c r="H14" s="1475" t="s">
        <v>1370</v>
      </c>
      <c r="I14" s="2497"/>
      <c r="J14" s="2497"/>
      <c r="K14" s="2497"/>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7"/>
      <c r="E16" s="2497"/>
      <c r="F16" s="2497"/>
      <c r="G16" s="2497"/>
      <c r="H16" s="2497"/>
      <c r="I16" s="2497"/>
      <c r="J16" s="2497"/>
      <c r="K16" s="2497"/>
      <c r="L16" s="322"/>
    </row>
    <row r="17" spans="2:12" ht="13.5" customHeight="1" x14ac:dyDescent="0.2">
      <c r="B17" s="1387" t="s">
        <v>1368</v>
      </c>
      <c r="C17" s="1387"/>
      <c r="D17" s="2498"/>
      <c r="E17" s="2498"/>
      <c r="F17" s="2498"/>
      <c r="G17" s="2498"/>
      <c r="H17" s="2498"/>
      <c r="I17" s="2498"/>
      <c r="J17" s="2498"/>
      <c r="K17" s="2498"/>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t="s">
        <v>2153</v>
      </c>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7" sqref="C1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6" t="str">
        <f>'Single Audit Cover'!A7</f>
        <v>Carlinville CUSD 1</v>
      </c>
      <c r="C1" s="2476"/>
      <c r="D1" s="2476"/>
      <c r="E1" s="1491"/>
    </row>
    <row r="2" spans="2:5" s="1282" customFormat="1" ht="12.75" customHeight="1" x14ac:dyDescent="0.2">
      <c r="B2" s="2478">
        <f>'Single Audit Cover'!E7</f>
        <v>40056001026</v>
      </c>
      <c r="C2" s="2478"/>
      <c r="D2" s="2478"/>
      <c r="E2" s="1492"/>
    </row>
    <row r="3" spans="2:5" ht="12.75" customHeight="1" x14ac:dyDescent="0.2">
      <c r="B3" s="2492" t="s">
        <v>1867</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1868</v>
      </c>
      <c r="C5" s="328"/>
      <c r="D5" s="328"/>
      <c r="E5" s="328"/>
    </row>
    <row r="6" spans="2:5" s="1282" customFormat="1" ht="13.5" customHeight="1" x14ac:dyDescent="0.2">
      <c r="B6" s="1495" t="s">
        <v>1382</v>
      </c>
      <c r="C6" s="1495" t="s">
        <v>1381</v>
      </c>
      <c r="D6" s="1495" t="s">
        <v>1869</v>
      </c>
    </row>
    <row r="7" spans="2:5" ht="13.5" customHeight="1" x14ac:dyDescent="0.2">
      <c r="B7" s="1496"/>
      <c r="C7" s="324"/>
      <c r="D7" s="324"/>
      <c r="E7" s="324"/>
    </row>
    <row r="8" spans="2:5" ht="13.5" customHeight="1" x14ac:dyDescent="0.2">
      <c r="B8" s="1496" t="s">
        <v>2154</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1870</v>
      </c>
    </row>
    <row r="46" spans="2:5" ht="12.2" customHeight="1" x14ac:dyDescent="0.2">
      <c r="B46" s="1505" t="s">
        <v>1871</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C9" sqref="C9"/>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156159725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2.1031399999999999E-2</v>
      </c>
      <c r="E10" s="356" t="s">
        <v>1062</v>
      </c>
      <c r="F10" s="355">
        <v>4.8823E-3</v>
      </c>
      <c r="G10" s="356" t="s">
        <v>1062</v>
      </c>
      <c r="H10" s="355">
        <v>2.0436999999999999E-3</v>
      </c>
      <c r="I10" s="356" t="s">
        <v>1063</v>
      </c>
      <c r="J10" s="1754">
        <f>ROUND(D10+F10+H10,5)</f>
        <v>2.7959999999999999E-2</v>
      </c>
      <c r="K10" s="222"/>
      <c r="L10" s="355">
        <v>3.4400000000000003E-5</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11745578</v>
      </c>
      <c r="E16" s="356"/>
      <c r="F16" s="1755">
        <f>SUM('Acct Summary 7-8'!C17,'Acct Summary 7-8'!D17,'Acct Summary 7-8'!F17)</f>
        <v>11212636</v>
      </c>
      <c r="G16" s="356"/>
      <c r="H16" s="1755">
        <f>SUM(D16-F16)</f>
        <v>532942</v>
      </c>
      <c r="I16" s="222"/>
      <c r="J16" s="1755">
        <f>SUM('Acct Summary 7-8'!C81,'Acct Summary 7-8'!D81,'Acct Summary 7-8'!F81,'Acct Summary 7-8'!I81)</f>
        <v>7886468</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21550042.050000001</v>
      </c>
      <c r="I31" s="368"/>
      <c r="J31" s="222"/>
      <c r="K31" s="222"/>
      <c r="L31" s="222"/>
      <c r="M31" s="222"/>
    </row>
    <row r="32" spans="1:13" ht="13.35" customHeight="1" x14ac:dyDescent="0.2">
      <c r="B32" s="369" t="s">
        <v>2080</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3861000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7" zoomScale="110" zoomScaleNormal="110" workbookViewId="0">
      <selection activeCell="C9" sqref="C9"/>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Carlinville CUSD 1</v>
      </c>
      <c r="E7" s="391"/>
      <c r="G7" s="252"/>
      <c r="H7" s="387"/>
      <c r="I7" s="387"/>
      <c r="J7" s="387"/>
      <c r="K7" s="387"/>
      <c r="L7" s="329"/>
      <c r="M7" s="329"/>
      <c r="N7" s="329"/>
      <c r="O7" s="329"/>
      <c r="P7" s="329"/>
    </row>
    <row r="8" spans="1:18" ht="12.75" x14ac:dyDescent="0.2">
      <c r="A8" s="329"/>
      <c r="B8" s="329"/>
      <c r="C8" s="389" t="s">
        <v>1187</v>
      </c>
      <c r="D8" s="392">
        <f>COVER!A13</f>
        <v>40056001026</v>
      </c>
      <c r="E8" s="393"/>
      <c r="G8" s="329"/>
      <c r="H8" s="329"/>
      <c r="I8" s="329"/>
      <c r="J8" s="329"/>
      <c r="K8" s="329"/>
      <c r="L8" s="329"/>
      <c r="M8" s="329"/>
      <c r="N8" s="329"/>
      <c r="O8" s="329"/>
      <c r="P8" s="329"/>
    </row>
    <row r="9" spans="1:18" ht="12.75" x14ac:dyDescent="0.2">
      <c r="A9" s="329"/>
      <c r="B9" s="329"/>
      <c r="C9" s="389" t="s">
        <v>737</v>
      </c>
      <c r="D9" s="394" t="str">
        <f>COVER!A15</f>
        <v>MACOUPIN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7886468</v>
      </c>
      <c r="I12" s="404"/>
      <c r="J12" s="404"/>
      <c r="K12" s="405">
        <f>TRUNC((H12/H13*100000),5)/100000</f>
        <v>0.67144145650000009</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11745578</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11212636</v>
      </c>
      <c r="I17" s="404"/>
      <c r="J17" s="416"/>
      <c r="K17" s="405">
        <f>TRUNC((H17/H18*100000),5)/100000</f>
        <v>0.95462615799999995</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11745578</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7987978</v>
      </c>
      <c r="I24" s="422"/>
      <c r="J24" s="422"/>
      <c r="K24" s="423">
        <f>TRUNC(((H24/H25*100000)/100000),2)</f>
        <v>256.45999999999998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31146.21111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3711292.0243500001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3861000</v>
      </c>
      <c r="I32" s="420"/>
      <c r="J32" s="420"/>
      <c r="K32" s="423">
        <f>TRUNC(100-((((H32/H33*100))*100)/100),2)</f>
        <v>82.08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21550042.050000001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C9" sqref="C9"/>
      <selection pane="bottomLeft" activeCell="C9" sqref="C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f>35651+1064519+199592+12000</f>
        <v>1311762</v>
      </c>
      <c r="D4" s="466">
        <f>9759+19107</f>
        <v>28866</v>
      </c>
      <c r="E4" s="466">
        <f>4807+136552</f>
        <v>141359</v>
      </c>
      <c r="F4" s="466">
        <f>11003+219761</f>
        <v>230764</v>
      </c>
      <c r="G4" s="466">
        <f>11231+95930</f>
        <v>107161</v>
      </c>
      <c r="H4" s="466">
        <f>3697+561176+1</f>
        <v>564874</v>
      </c>
      <c r="I4" s="466">
        <f>2452+50444</f>
        <v>52896</v>
      </c>
      <c r="J4" s="467">
        <f>55883+47161</f>
        <v>103044</v>
      </c>
      <c r="K4" s="466">
        <f>10553+81852</f>
        <v>92405</v>
      </c>
      <c r="L4" s="466">
        <v>247726</v>
      </c>
      <c r="M4" s="468"/>
      <c r="N4" s="469"/>
    </row>
    <row r="5" spans="1:14" x14ac:dyDescent="0.2">
      <c r="A5" s="463" t="s">
        <v>1049</v>
      </c>
      <c r="B5" s="470">
        <v>120</v>
      </c>
      <c r="C5" s="465">
        <v>2008593</v>
      </c>
      <c r="D5" s="466">
        <v>363282</v>
      </c>
      <c r="E5" s="466"/>
      <c r="F5" s="466">
        <v>147915</v>
      </c>
      <c r="G5" s="466"/>
      <c r="H5" s="466"/>
      <c r="I5" s="466">
        <f>456683+2023275+1363942</f>
        <v>3843900</v>
      </c>
      <c r="J5" s="467">
        <f>120+1000190</f>
        <v>1000310</v>
      </c>
      <c r="K5" s="471">
        <v>144138</v>
      </c>
      <c r="L5" s="472">
        <v>746157</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3320355</v>
      </c>
      <c r="D13" s="1759">
        <f t="shared" ref="D13:L13" si="0">SUM(D4:D12)</f>
        <v>392148</v>
      </c>
      <c r="E13" s="1759">
        <f t="shared" si="0"/>
        <v>141359</v>
      </c>
      <c r="F13" s="1759">
        <f t="shared" si="0"/>
        <v>378679</v>
      </c>
      <c r="G13" s="1759">
        <f t="shared" si="0"/>
        <v>107161</v>
      </c>
      <c r="H13" s="1759">
        <f t="shared" si="0"/>
        <v>564874</v>
      </c>
      <c r="I13" s="1759">
        <f t="shared" si="0"/>
        <v>3896796</v>
      </c>
      <c r="J13" s="1759">
        <f t="shared" si="0"/>
        <v>1103354</v>
      </c>
      <c r="K13" s="1759">
        <f t="shared" si="0"/>
        <v>236543</v>
      </c>
      <c r="L13" s="1759">
        <f t="shared" si="0"/>
        <v>993883</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170329</v>
      </c>
      <c r="N16" s="484"/>
    </row>
    <row r="17" spans="1:14" s="485" customFormat="1" ht="12.75" customHeight="1" x14ac:dyDescent="0.2">
      <c r="A17" s="482" t="s">
        <v>1470</v>
      </c>
      <c r="B17" s="483">
        <v>230</v>
      </c>
      <c r="C17" s="477"/>
      <c r="D17" s="477"/>
      <c r="E17" s="477"/>
      <c r="F17" s="477"/>
      <c r="G17" s="477"/>
      <c r="H17" s="477"/>
      <c r="I17" s="477"/>
      <c r="J17" s="477"/>
      <c r="K17" s="477"/>
      <c r="L17" s="477"/>
      <c r="M17" s="467">
        <f>181682+25843044</f>
        <v>26024726</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f>4125627+2751768</f>
        <v>6877395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141359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3719641</v>
      </c>
    </row>
    <row r="23" spans="1:14" ht="13.5" customHeight="1" thickBot="1" x14ac:dyDescent="0.25">
      <c r="A23" s="1758" t="s">
        <v>664</v>
      </c>
      <c r="B23" s="1763"/>
      <c r="C23" s="468"/>
      <c r="D23" s="468"/>
      <c r="E23" s="468"/>
      <c r="F23" s="468"/>
      <c r="G23" s="468"/>
      <c r="H23" s="468"/>
      <c r="I23" s="468"/>
      <c r="J23" s="468"/>
      <c r="K23" s="468"/>
      <c r="L23" s="468"/>
      <c r="M23" s="1710">
        <f>SUM(M15:M22)</f>
        <v>33072450</v>
      </c>
      <c r="N23" s="1710">
        <f>SUM(N21:N22)</f>
        <v>3861000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v>96</v>
      </c>
      <c r="D26" s="467"/>
      <c r="E26" s="467"/>
      <c r="F26" s="467"/>
      <c r="G26" s="467"/>
      <c r="H26" s="467"/>
      <c r="I26" s="467"/>
      <c r="J26" s="474"/>
      <c r="K26" s="467"/>
      <c r="L26" s="468"/>
      <c r="M26" s="468"/>
      <c r="N26" s="468"/>
    </row>
    <row r="27" spans="1:14" ht="13.5" customHeight="1" x14ac:dyDescent="0.2">
      <c r="A27" s="473" t="s">
        <v>668</v>
      </c>
      <c r="B27" s="470">
        <v>430</v>
      </c>
      <c r="C27" s="467">
        <f>13568+1652</f>
        <v>15220</v>
      </c>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f>21329+3+64863-1</f>
        <v>86194</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993883</v>
      </c>
      <c r="M33" s="468"/>
      <c r="N33" s="469"/>
    </row>
    <row r="34" spans="1:14" ht="13.5" customHeight="1" thickBot="1" x14ac:dyDescent="0.25">
      <c r="A34" s="1760" t="s">
        <v>675</v>
      </c>
      <c r="B34" s="1761"/>
      <c r="C34" s="1762">
        <f>SUM(C25:C33)</f>
        <v>101510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993883</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3861000</v>
      </c>
    </row>
    <row r="37" spans="1:14" ht="13.5" thickBot="1" x14ac:dyDescent="0.25">
      <c r="A37" s="1758" t="s">
        <v>674</v>
      </c>
      <c r="B37" s="1763"/>
      <c r="C37" s="477"/>
      <c r="D37" s="477"/>
      <c r="E37" s="477"/>
      <c r="F37" s="477"/>
      <c r="G37" s="477"/>
      <c r="H37" s="477"/>
      <c r="I37" s="477"/>
      <c r="J37" s="477"/>
      <c r="K37" s="477"/>
      <c r="L37" s="480"/>
      <c r="M37" s="468"/>
      <c r="N37" s="1710">
        <f>SUM(N36:N36)</f>
        <v>3861000</v>
      </c>
    </row>
    <row r="38" spans="1:14" s="329" customFormat="1" ht="13.5" customHeight="1" thickTop="1" x14ac:dyDescent="0.2">
      <c r="A38" s="496" t="s">
        <v>440</v>
      </c>
      <c r="B38" s="483">
        <v>714</v>
      </c>
      <c r="C38" s="466"/>
      <c r="D38" s="466"/>
      <c r="E38" s="466">
        <v>141359</v>
      </c>
      <c r="F38" s="466"/>
      <c r="G38" s="466">
        <v>107161</v>
      </c>
      <c r="H38" s="466">
        <v>564874</v>
      </c>
      <c r="I38" s="466"/>
      <c r="J38" s="467">
        <v>1103354</v>
      </c>
      <c r="K38" s="466">
        <v>236543</v>
      </c>
      <c r="L38" s="481"/>
      <c r="M38" s="497"/>
      <c r="N38" s="497"/>
    </row>
    <row r="39" spans="1:14" s="329" customFormat="1" ht="13.5" customHeight="1" x14ac:dyDescent="0.2">
      <c r="A39" s="496" t="s">
        <v>360</v>
      </c>
      <c r="B39" s="483">
        <v>730</v>
      </c>
      <c r="C39" s="466">
        <v>3218845</v>
      </c>
      <c r="D39" s="466">
        <v>392148</v>
      </c>
      <c r="E39" s="466"/>
      <c r="F39" s="466">
        <v>378679</v>
      </c>
      <c r="G39" s="466"/>
      <c r="H39" s="466"/>
      <c r="I39" s="466">
        <v>3896796</v>
      </c>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33072450</v>
      </c>
      <c r="N40" s="497"/>
    </row>
    <row r="41" spans="1:14" ht="13.5" customHeight="1" thickBot="1" x14ac:dyDescent="0.25">
      <c r="A41" s="1758" t="s">
        <v>676</v>
      </c>
      <c r="B41" s="1728"/>
      <c r="C41" s="1710">
        <f>(SUM(C34,C37,C38,C39))</f>
        <v>3320355</v>
      </c>
      <c r="D41" s="1710">
        <f t="shared" ref="D41:L41" si="2">SUM(D34,D37,D38:D39)</f>
        <v>392148</v>
      </c>
      <c r="E41" s="1710">
        <f t="shared" si="2"/>
        <v>141359</v>
      </c>
      <c r="F41" s="1710">
        <f t="shared" si="2"/>
        <v>378679</v>
      </c>
      <c r="G41" s="1710">
        <f t="shared" si="2"/>
        <v>107161</v>
      </c>
      <c r="H41" s="1710">
        <f t="shared" si="2"/>
        <v>564874</v>
      </c>
      <c r="I41" s="1710">
        <f t="shared" si="2"/>
        <v>3896796</v>
      </c>
      <c r="J41" s="1710">
        <f t="shared" si="2"/>
        <v>1103354</v>
      </c>
      <c r="K41" s="1710">
        <f t="shared" si="2"/>
        <v>236543</v>
      </c>
      <c r="L41" s="1710">
        <f t="shared" si="2"/>
        <v>993883</v>
      </c>
      <c r="M41" s="1710">
        <f>SUM(M40)</f>
        <v>33072450</v>
      </c>
      <c r="N41" s="1710">
        <f>SUM(N37)</f>
        <v>3861000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C9" sqref="C9"/>
      <selection pane="bottomLeft" activeCell="C9" sqref="C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3924710</v>
      </c>
      <c r="D4" s="1764">
        <f>'Revenues 9-14'!D109</f>
        <v>784722</v>
      </c>
      <c r="E4" s="1764">
        <f>'Revenues 9-14'!E109</f>
        <v>997901</v>
      </c>
      <c r="F4" s="1764">
        <f>'Revenues 9-14'!F109</f>
        <v>326250</v>
      </c>
      <c r="G4" s="1764">
        <f>'Revenues 9-14'!G109</f>
        <v>400048</v>
      </c>
      <c r="H4" s="1764">
        <f>'Revenues 9-14'!H109</f>
        <v>422997</v>
      </c>
      <c r="I4" s="1764">
        <f>'Revenues 9-14'!I109</f>
        <v>31416</v>
      </c>
      <c r="J4" s="1764">
        <f>'Revenues 9-14'!J109</f>
        <v>252166</v>
      </c>
      <c r="K4" s="1764">
        <f>'Revenues 9-14'!K109</f>
        <v>22122</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5498383</v>
      </c>
      <c r="D6" s="1765">
        <f>'Revenues 9-14'!D173</f>
        <v>100000</v>
      </c>
      <c r="E6" s="1765">
        <f>'Revenues 9-14'!E173</f>
        <v>0</v>
      </c>
      <c r="F6" s="1765">
        <f>'Revenues 9-14'!F173</f>
        <v>420244</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659853</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10082946</v>
      </c>
      <c r="D8" s="1710">
        <f t="shared" ref="D8:K8" si="0">SUM(D4:D7)</f>
        <v>884722</v>
      </c>
      <c r="E8" s="1710">
        <f t="shared" si="0"/>
        <v>997901</v>
      </c>
      <c r="F8" s="1710">
        <f t="shared" si="0"/>
        <v>746494</v>
      </c>
      <c r="G8" s="1710">
        <f t="shared" si="0"/>
        <v>400048</v>
      </c>
      <c r="H8" s="1710">
        <f t="shared" si="0"/>
        <v>422997</v>
      </c>
      <c r="I8" s="1710">
        <f t="shared" si="0"/>
        <v>31416</v>
      </c>
      <c r="J8" s="1710">
        <f t="shared" si="0"/>
        <v>252166</v>
      </c>
      <c r="K8" s="1710">
        <f t="shared" si="0"/>
        <v>22122</v>
      </c>
      <c r="L8" s="347"/>
    </row>
    <row r="9" spans="1:13" ht="15.75" thickTop="1" x14ac:dyDescent="0.2">
      <c r="A9" s="514" t="s">
        <v>1752</v>
      </c>
      <c r="B9" s="515">
        <v>3998</v>
      </c>
      <c r="C9" s="481">
        <v>3938038</v>
      </c>
      <c r="D9" s="516"/>
      <c r="E9" s="481"/>
      <c r="F9" s="481"/>
      <c r="G9" s="517"/>
      <c r="H9" s="481"/>
      <c r="I9" s="509" t="s">
        <v>1231</v>
      </c>
      <c r="J9" s="478"/>
      <c r="K9" s="481"/>
      <c r="L9" s="347"/>
    </row>
    <row r="10" spans="1:13" s="519" customFormat="1" ht="13.5" thickBot="1" x14ac:dyDescent="0.25">
      <c r="A10" s="1758" t="s">
        <v>1235</v>
      </c>
      <c r="B10" s="1731"/>
      <c r="C10" s="1710">
        <f>SUM(C8:C9)</f>
        <v>14020984</v>
      </c>
      <c r="D10" s="1710">
        <f t="shared" ref="D10:K10" si="1">SUM(D8:D9)</f>
        <v>884722</v>
      </c>
      <c r="E10" s="1710">
        <f t="shared" si="1"/>
        <v>997901</v>
      </c>
      <c r="F10" s="1710">
        <f t="shared" si="1"/>
        <v>746494</v>
      </c>
      <c r="G10" s="1710">
        <f t="shared" si="1"/>
        <v>400048</v>
      </c>
      <c r="H10" s="1710">
        <f t="shared" si="1"/>
        <v>422997</v>
      </c>
      <c r="I10" s="1710">
        <f t="shared" si="1"/>
        <v>31416</v>
      </c>
      <c r="J10" s="1710">
        <f t="shared" si="1"/>
        <v>252166</v>
      </c>
      <c r="K10" s="1710">
        <f t="shared" si="1"/>
        <v>22122</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5653955</v>
      </c>
      <c r="D12" s="520" t="s">
        <v>1231</v>
      </c>
      <c r="E12" s="468" t="s">
        <v>1231</v>
      </c>
      <c r="F12" s="468" t="s">
        <v>1231</v>
      </c>
      <c r="G12" s="1764">
        <f>'Expenditures 15-22'!K229</f>
        <v>94330</v>
      </c>
      <c r="H12" s="521"/>
      <c r="I12" s="468" t="s">
        <v>1231</v>
      </c>
      <c r="J12" s="468" t="s">
        <v>1231</v>
      </c>
      <c r="K12" s="521" t="s">
        <v>1231</v>
      </c>
      <c r="L12" s="347"/>
    </row>
    <row r="13" spans="1:13" ht="15.75" customHeight="1" x14ac:dyDescent="0.2">
      <c r="A13" s="1598" t="s">
        <v>477</v>
      </c>
      <c r="B13" s="1600">
        <v>2000</v>
      </c>
      <c r="C13" s="1765">
        <f>'Expenditures 15-22'!K74</f>
        <v>2529918</v>
      </c>
      <c r="D13" s="1765">
        <f>'Expenditures 15-22'!K129</f>
        <v>900452</v>
      </c>
      <c r="E13" s="469" t="s">
        <v>1231</v>
      </c>
      <c r="F13" s="1765">
        <f>'Expenditures 15-22'!K184</f>
        <v>666727</v>
      </c>
      <c r="G13" s="1765">
        <f>'Expenditures 15-22'!K279</f>
        <v>285508</v>
      </c>
      <c r="H13" s="1765">
        <f>'Expenditures 15-22'!K303</f>
        <v>161302</v>
      </c>
      <c r="I13" s="468" t="s">
        <v>1231</v>
      </c>
      <c r="J13" s="1765">
        <f>'Expenditures 15-22'!K330</f>
        <v>249668</v>
      </c>
      <c r="K13" s="1769">
        <f>'Expenditures 15-22'!K352</f>
        <v>511150</v>
      </c>
      <c r="L13" s="347"/>
    </row>
    <row r="14" spans="1:13" ht="15.75" customHeight="1" x14ac:dyDescent="0.2">
      <c r="A14" s="1598" t="s">
        <v>469</v>
      </c>
      <c r="B14" s="1600">
        <v>3000</v>
      </c>
      <c r="C14" s="1765">
        <f>'Expenditures 15-22'!K75</f>
        <v>3145</v>
      </c>
      <c r="D14" s="1765">
        <f>'Expenditures 15-22'!K130</f>
        <v>0</v>
      </c>
      <c r="E14" s="520" t="s">
        <v>1231</v>
      </c>
      <c r="F14" s="1765">
        <f>'Expenditures 15-22'!K185</f>
        <v>0</v>
      </c>
      <c r="G14" s="1765">
        <f>'Expenditures 15-22'!K280</f>
        <v>35</v>
      </c>
      <c r="H14" s="512"/>
      <c r="I14" s="468" t="s">
        <v>1231</v>
      </c>
      <c r="J14" s="468" t="s">
        <v>1231</v>
      </c>
      <c r="K14" s="512" t="s">
        <v>1231</v>
      </c>
      <c r="L14" s="347"/>
    </row>
    <row r="15" spans="1:13" ht="15.75" customHeight="1" x14ac:dyDescent="0.2">
      <c r="A15" s="1598" t="s">
        <v>109</v>
      </c>
      <c r="B15" s="1600">
        <v>4000</v>
      </c>
      <c r="C15" s="1765">
        <f>'Expenditures 15-22'!K102</f>
        <v>1458439</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1002370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9645457</v>
      </c>
      <c r="D17" s="1710">
        <f t="shared" si="2"/>
        <v>900452</v>
      </c>
      <c r="E17" s="1710">
        <f t="shared" si="2"/>
        <v>1002370</v>
      </c>
      <c r="F17" s="1710">
        <f t="shared" si="2"/>
        <v>666727</v>
      </c>
      <c r="G17" s="1710">
        <f t="shared" si="2"/>
        <v>379873</v>
      </c>
      <c r="H17" s="1710">
        <f t="shared" si="2"/>
        <v>161302</v>
      </c>
      <c r="I17" s="468"/>
      <c r="J17" s="1710">
        <f>SUM(J12:J16)</f>
        <v>249668</v>
      </c>
      <c r="K17" s="1710">
        <f>SUM(K12:K16)</f>
        <v>511150</v>
      </c>
      <c r="L17" s="347"/>
    </row>
    <row r="18" spans="1:12" ht="15" customHeight="1" thickTop="1" x14ac:dyDescent="0.2">
      <c r="A18" s="1766" t="s">
        <v>1753</v>
      </c>
      <c r="B18" s="1767">
        <v>4180</v>
      </c>
      <c r="C18" s="1764">
        <f t="shared" ref="C18:H18" si="3">C9</f>
        <v>3938038</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13583495</v>
      </c>
      <c r="D19" s="1710">
        <f t="shared" si="4"/>
        <v>900452</v>
      </c>
      <c r="E19" s="1710">
        <f t="shared" si="4"/>
        <v>1002370</v>
      </c>
      <c r="F19" s="1710">
        <f t="shared" si="4"/>
        <v>666727</v>
      </c>
      <c r="G19" s="1710">
        <f t="shared" si="4"/>
        <v>379873</v>
      </c>
      <c r="H19" s="1710">
        <f t="shared" si="4"/>
        <v>161302</v>
      </c>
      <c r="I19" s="468"/>
      <c r="J19" s="1710">
        <f>SUM(J17:J18)</f>
        <v>249668</v>
      </c>
      <c r="K19" s="1710">
        <f>SUM(K17:K18)</f>
        <v>511150</v>
      </c>
      <c r="L19" s="347"/>
    </row>
    <row r="20" spans="1:12" ht="16.5" thickTop="1" thickBot="1" x14ac:dyDescent="0.25">
      <c r="A20" s="2142" t="s">
        <v>1754</v>
      </c>
      <c r="B20" s="2143"/>
      <c r="C20" s="1768">
        <f>C8-C17</f>
        <v>437489</v>
      </c>
      <c r="D20" s="1768">
        <f t="shared" ref="D20:K20" si="5">D8-D17</f>
        <v>-15730</v>
      </c>
      <c r="E20" s="1768">
        <f t="shared" si="5"/>
        <v>-4469</v>
      </c>
      <c r="F20" s="1768">
        <f t="shared" si="5"/>
        <v>79767</v>
      </c>
      <c r="G20" s="1768">
        <f t="shared" si="5"/>
        <v>20175</v>
      </c>
      <c r="H20" s="1768">
        <f t="shared" si="5"/>
        <v>261695</v>
      </c>
      <c r="I20" s="1768">
        <f t="shared" si="5"/>
        <v>31416</v>
      </c>
      <c r="J20" s="1768">
        <f t="shared" si="5"/>
        <v>2498</v>
      </c>
      <c r="K20" s="1768">
        <f t="shared" si="5"/>
        <v>-489028</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v>500000</v>
      </c>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f>1363700+26300</f>
        <v>1390000</v>
      </c>
      <c r="J33" s="467">
        <v>1000000</v>
      </c>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500000</v>
      </c>
      <c r="D44" s="1725">
        <f t="shared" ref="D44:K44" si="6">SUM(D24:D43)</f>
        <v>0</v>
      </c>
      <c r="E44" s="1725">
        <f t="shared" si="6"/>
        <v>0</v>
      </c>
      <c r="F44" s="1725">
        <f t="shared" si="6"/>
        <v>0</v>
      </c>
      <c r="G44" s="1725">
        <f t="shared" si="6"/>
        <v>0</v>
      </c>
      <c r="H44" s="1725">
        <f t="shared" si="6"/>
        <v>0</v>
      </c>
      <c r="I44" s="1725">
        <f t="shared" si="6"/>
        <v>1390000</v>
      </c>
      <c r="J44" s="1725">
        <f t="shared" si="6"/>
        <v>1000000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500000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v>26300</v>
      </c>
      <c r="J75" s="530"/>
      <c r="K75" s="532"/>
      <c r="L75" s="524"/>
    </row>
    <row r="76" spans="1:12" s="485" customFormat="1" ht="14.25" thickTop="1" thickBot="1" x14ac:dyDescent="0.25">
      <c r="A76" s="2132" t="s">
        <v>460</v>
      </c>
      <c r="B76" s="2133"/>
      <c r="C76" s="1725">
        <f t="shared" ref="C76:K76" si="7">SUM(C47:C75)</f>
        <v>0</v>
      </c>
      <c r="D76" s="1725">
        <f t="shared" si="7"/>
        <v>0</v>
      </c>
      <c r="E76" s="1725">
        <f t="shared" si="7"/>
        <v>0</v>
      </c>
      <c r="F76" s="1725">
        <f t="shared" si="7"/>
        <v>0</v>
      </c>
      <c r="G76" s="1725">
        <f t="shared" si="7"/>
        <v>0</v>
      </c>
      <c r="H76" s="1725">
        <f t="shared" si="7"/>
        <v>0</v>
      </c>
      <c r="I76" s="1725">
        <f t="shared" si="7"/>
        <v>526300</v>
      </c>
      <c r="J76" s="1725">
        <f t="shared" si="7"/>
        <v>0</v>
      </c>
      <c r="K76" s="1725">
        <f t="shared" si="7"/>
        <v>0</v>
      </c>
      <c r="L76" s="524"/>
    </row>
    <row r="77" spans="1:12" ht="14.25" thickTop="1" thickBot="1" x14ac:dyDescent="0.25">
      <c r="A77" s="2134" t="s">
        <v>1239</v>
      </c>
      <c r="B77" s="2135"/>
      <c r="C77" s="1725">
        <f t="shared" ref="C77:K77" si="8">C44-C76</f>
        <v>500000</v>
      </c>
      <c r="D77" s="1725">
        <f t="shared" si="8"/>
        <v>0</v>
      </c>
      <c r="E77" s="1725">
        <f t="shared" si="8"/>
        <v>0</v>
      </c>
      <c r="F77" s="1725">
        <f t="shared" si="8"/>
        <v>0</v>
      </c>
      <c r="G77" s="1725">
        <f t="shared" si="8"/>
        <v>0</v>
      </c>
      <c r="H77" s="1725">
        <f t="shared" si="8"/>
        <v>0</v>
      </c>
      <c r="I77" s="1725">
        <f t="shared" si="8"/>
        <v>863700</v>
      </c>
      <c r="J77" s="1725">
        <f t="shared" si="8"/>
        <v>1000000</v>
      </c>
      <c r="K77" s="1725">
        <f t="shared" si="8"/>
        <v>0</v>
      </c>
      <c r="L77" s="347"/>
    </row>
    <row r="78" spans="1:12" ht="21.75" customHeight="1" thickTop="1" thickBot="1" x14ac:dyDescent="0.25">
      <c r="A78" s="2138" t="s">
        <v>618</v>
      </c>
      <c r="B78" s="2139"/>
      <c r="C78" s="1724">
        <f t="shared" ref="C78:K78" si="9">C20+C77</f>
        <v>937489</v>
      </c>
      <c r="D78" s="1724">
        <f t="shared" si="9"/>
        <v>-15730</v>
      </c>
      <c r="E78" s="1724">
        <f t="shared" si="9"/>
        <v>-4469</v>
      </c>
      <c r="F78" s="1724">
        <f t="shared" si="9"/>
        <v>79767</v>
      </c>
      <c r="G78" s="1724">
        <f t="shared" si="9"/>
        <v>20175</v>
      </c>
      <c r="H78" s="1724">
        <f t="shared" si="9"/>
        <v>261695</v>
      </c>
      <c r="I78" s="1724">
        <f t="shared" si="9"/>
        <v>895116</v>
      </c>
      <c r="J78" s="1724">
        <f t="shared" si="9"/>
        <v>1002498</v>
      </c>
      <c r="K78" s="1724">
        <f t="shared" si="9"/>
        <v>-489028</v>
      </c>
      <c r="L78" s="533"/>
    </row>
    <row r="79" spans="1:12" ht="13.5" thickTop="1" x14ac:dyDescent="0.2">
      <c r="A79" s="1516" t="s">
        <v>2071</v>
      </c>
      <c r="B79" s="534"/>
      <c r="C79" s="478">
        <v>2281356</v>
      </c>
      <c r="D79" s="535">
        <v>407878</v>
      </c>
      <c r="E79" s="535">
        <v>145828</v>
      </c>
      <c r="F79" s="535">
        <v>298912</v>
      </c>
      <c r="G79" s="535">
        <v>86986</v>
      </c>
      <c r="H79" s="535">
        <v>303179</v>
      </c>
      <c r="I79" s="535">
        <v>3001680</v>
      </c>
      <c r="J79" s="535">
        <v>100856</v>
      </c>
      <c r="K79" s="535">
        <v>725571</v>
      </c>
      <c r="L79" s="347"/>
    </row>
    <row r="80" spans="1:12" x14ac:dyDescent="0.2">
      <c r="A80" s="2144" t="s">
        <v>1896</v>
      </c>
      <c r="B80" s="2145"/>
      <c r="C80" s="467"/>
      <c r="D80" s="467"/>
      <c r="E80" s="467"/>
      <c r="F80" s="467"/>
      <c r="G80" s="467"/>
      <c r="H80" s="467"/>
      <c r="I80" s="467"/>
      <c r="J80" s="467"/>
      <c r="K80" s="467"/>
      <c r="L80" s="347"/>
    </row>
    <row r="81" spans="1:12" ht="13.5" thickBot="1" x14ac:dyDescent="0.25">
      <c r="A81" s="2136" t="s">
        <v>2072</v>
      </c>
      <c r="B81" s="2137"/>
      <c r="C81" s="1710">
        <f>(SUM(C78:C80))</f>
        <v>3218845</v>
      </c>
      <c r="D81" s="1710">
        <f>SUM(D78:D80)</f>
        <v>392148</v>
      </c>
      <c r="E81" s="1710">
        <f t="shared" ref="E81:K81" si="10">SUM(E78:E80)</f>
        <v>141359</v>
      </c>
      <c r="F81" s="1710">
        <f t="shared" si="10"/>
        <v>378679</v>
      </c>
      <c r="G81" s="1710">
        <f t="shared" si="10"/>
        <v>107161</v>
      </c>
      <c r="H81" s="1710">
        <f t="shared" si="10"/>
        <v>564874</v>
      </c>
      <c r="I81" s="1710">
        <f t="shared" si="10"/>
        <v>3896796</v>
      </c>
      <c r="J81" s="1710">
        <f t="shared" si="10"/>
        <v>1103354</v>
      </c>
      <c r="K81" s="1710">
        <f t="shared" si="10"/>
        <v>236543</v>
      </c>
      <c r="L81" s="347"/>
    </row>
    <row r="82" spans="1:12" ht="0.75" customHeight="1" thickTop="1" thickBot="1" x14ac:dyDescent="0.25">
      <c r="A82" s="536" t="s">
        <v>361</v>
      </c>
      <c r="B82" s="537"/>
      <c r="C82" s="538">
        <f>(C81-C79)</f>
        <v>937489</v>
      </c>
      <c r="D82" s="538">
        <f t="shared" ref="D82:K82" si="11">(D81-D79)</f>
        <v>-15730</v>
      </c>
      <c r="E82" s="538">
        <f t="shared" si="11"/>
        <v>-4469</v>
      </c>
      <c r="F82" s="538">
        <f t="shared" si="11"/>
        <v>79767</v>
      </c>
      <c r="G82" s="538">
        <f t="shared" si="11"/>
        <v>20175</v>
      </c>
      <c r="H82" s="538">
        <f t="shared" si="11"/>
        <v>261695</v>
      </c>
      <c r="I82" s="538">
        <f t="shared" si="11"/>
        <v>895116</v>
      </c>
      <c r="J82" s="538">
        <f t="shared" si="11"/>
        <v>1002498</v>
      </c>
      <c r="K82" s="538">
        <f t="shared" si="11"/>
        <v>-489028</v>
      </c>
    </row>
    <row r="83" spans="1:12" ht="14.25" hidden="1" thickTop="1" thickBot="1" x14ac:dyDescent="0.25">
      <c r="A83" s="539" t="s">
        <v>362</v>
      </c>
      <c r="B83" s="464"/>
      <c r="C83" s="540">
        <f>C82/C81</f>
        <v>0.29125012232648667</v>
      </c>
      <c r="D83" s="540">
        <f t="shared" ref="D83:K83" si="12">D82/D81</f>
        <v>-4.0112406540387814E-2</v>
      </c>
      <c r="E83" s="540">
        <f t="shared" si="12"/>
        <v>-3.1614541698795268E-2</v>
      </c>
      <c r="F83" s="540">
        <f t="shared" si="12"/>
        <v>0.21064542792180185</v>
      </c>
      <c r="G83" s="540">
        <f t="shared" si="12"/>
        <v>0.18826811993169157</v>
      </c>
      <c r="H83" s="540">
        <f t="shared" si="12"/>
        <v>0.46328030675867538</v>
      </c>
      <c r="I83" s="540">
        <f t="shared" si="12"/>
        <v>0.22970563509098244</v>
      </c>
      <c r="J83" s="540">
        <f t="shared" si="12"/>
        <v>0.908591440281179</v>
      </c>
      <c r="K83" s="540">
        <f t="shared" si="12"/>
        <v>-2.0673957800484479</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177" activePane="bottomLeft" state="frozen"/>
      <selection activeCell="C9" sqref="C9"/>
      <selection pane="bottomLeft" activeCell="C9" sqref="C9"/>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1903</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3007946</v>
      </c>
      <c r="D5" s="481">
        <v>747149</v>
      </c>
      <c r="E5" s="466">
        <v>995835</v>
      </c>
      <c r="F5" s="548">
        <v>312860</v>
      </c>
      <c r="G5" s="466">
        <v>153530</v>
      </c>
      <c r="H5" s="466"/>
      <c r="I5" s="466">
        <v>5315</v>
      </c>
      <c r="J5" s="467">
        <v>251063</v>
      </c>
      <c r="K5" s="466">
        <v>19307</v>
      </c>
    </row>
    <row r="6" spans="1:12" ht="15" x14ac:dyDescent="0.2">
      <c r="A6" s="463" t="s">
        <v>1761</v>
      </c>
      <c r="B6" s="470">
        <v>1130</v>
      </c>
      <c r="C6" s="466"/>
      <c r="D6" s="466"/>
      <c r="E6" s="475"/>
      <c r="F6" s="475"/>
      <c r="G6" s="468"/>
      <c r="H6" s="468"/>
      <c r="I6" s="468"/>
      <c r="J6" s="468"/>
      <c r="K6" s="468"/>
    </row>
    <row r="7" spans="1:12" x14ac:dyDescent="0.2">
      <c r="A7" s="463" t="s">
        <v>112</v>
      </c>
      <c r="B7" s="549">
        <v>1140</v>
      </c>
      <c r="C7" s="466">
        <v>116840</v>
      </c>
      <c r="D7" s="466"/>
      <c r="E7" s="468"/>
      <c r="F7" s="467"/>
      <c r="G7" s="467"/>
      <c r="H7" s="467"/>
      <c r="I7" s="468"/>
      <c r="J7" s="468"/>
      <c r="K7" s="468"/>
    </row>
    <row r="8" spans="1:12" x14ac:dyDescent="0.2">
      <c r="A8" s="463" t="s">
        <v>433</v>
      </c>
      <c r="B8" s="470">
        <v>1150</v>
      </c>
      <c r="C8" s="475"/>
      <c r="D8" s="475"/>
      <c r="E8" s="477"/>
      <c r="F8" s="477"/>
      <c r="G8" s="481">
        <v>210512</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3124786</v>
      </c>
      <c r="D12" s="1729">
        <f t="shared" si="0"/>
        <v>747149</v>
      </c>
      <c r="E12" s="1729">
        <f t="shared" si="0"/>
        <v>995835</v>
      </c>
      <c r="F12" s="1729">
        <f t="shared" si="0"/>
        <v>312860</v>
      </c>
      <c r="G12" s="1729">
        <f t="shared" si="0"/>
        <v>364042</v>
      </c>
      <c r="H12" s="1729">
        <f t="shared" si="0"/>
        <v>0</v>
      </c>
      <c r="I12" s="1729">
        <f t="shared" si="0"/>
        <v>5315</v>
      </c>
      <c r="J12" s="1729">
        <f t="shared" si="0"/>
        <v>251063</v>
      </c>
      <c r="K12" s="1710">
        <f t="shared" si="0"/>
        <v>19307</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312286</v>
      </c>
      <c r="D16" s="466"/>
      <c r="E16" s="466"/>
      <c r="F16" s="466"/>
      <c r="G16" s="466">
        <v>35000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312286</v>
      </c>
      <c r="D18" s="1732">
        <f t="shared" ref="D18:K18" si="1">SUM(D14:D17)</f>
        <v>0</v>
      </c>
      <c r="E18" s="1732">
        <f t="shared" si="1"/>
        <v>0</v>
      </c>
      <c r="F18" s="1732">
        <f t="shared" si="1"/>
        <v>0</v>
      </c>
      <c r="G18" s="1732">
        <f t="shared" si="1"/>
        <v>35000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v>7010</v>
      </c>
      <c r="G44" s="468"/>
      <c r="H44" s="468"/>
      <c r="I44" s="468"/>
      <c r="J44" s="468"/>
      <c r="K44" s="468"/>
    </row>
    <row r="45" spans="1:11" ht="12.75" customHeight="1" x14ac:dyDescent="0.2">
      <c r="A45" s="463" t="s">
        <v>258</v>
      </c>
      <c r="B45" s="470">
        <v>1415</v>
      </c>
      <c r="C45" s="468"/>
      <c r="D45" s="468"/>
      <c r="E45" s="468"/>
      <c r="F45" s="466">
        <v>3597</v>
      </c>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10607</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20647</v>
      </c>
      <c r="D65" s="466">
        <v>4996</v>
      </c>
      <c r="E65" s="466">
        <v>2066</v>
      </c>
      <c r="F65" s="467">
        <v>2559</v>
      </c>
      <c r="G65" s="466">
        <v>1006</v>
      </c>
      <c r="H65" s="466">
        <v>1957</v>
      </c>
      <c r="I65" s="466">
        <v>26101</v>
      </c>
      <c r="J65" s="467">
        <v>1103</v>
      </c>
      <c r="K65" s="466">
        <v>2815</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20647</v>
      </c>
      <c r="D67" s="1710">
        <f t="shared" ref="D67:K67" si="2">SUM(D65:D66)</f>
        <v>4996</v>
      </c>
      <c r="E67" s="1710">
        <f t="shared" si="2"/>
        <v>2066</v>
      </c>
      <c r="F67" s="1710">
        <f t="shared" si="2"/>
        <v>2559</v>
      </c>
      <c r="G67" s="1710">
        <f t="shared" si="2"/>
        <v>1006</v>
      </c>
      <c r="H67" s="1710">
        <f t="shared" si="2"/>
        <v>1957</v>
      </c>
      <c r="I67" s="1710">
        <f t="shared" si="2"/>
        <v>26101</v>
      </c>
      <c r="J67" s="1710">
        <f t="shared" si="2"/>
        <v>1103</v>
      </c>
      <c r="K67" s="1710">
        <f t="shared" si="2"/>
        <v>2815</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111875</v>
      </c>
      <c r="D69" s="468"/>
      <c r="E69" s="468"/>
      <c r="F69" s="468"/>
      <c r="G69" s="468"/>
      <c r="H69" s="468"/>
      <c r="I69" s="468"/>
      <c r="J69" s="468"/>
      <c r="K69" s="468"/>
    </row>
    <row r="70" spans="1:11" ht="12.75" customHeight="1" x14ac:dyDescent="0.2">
      <c r="A70" s="463" t="s">
        <v>1054</v>
      </c>
      <c r="B70" s="470">
        <v>1612</v>
      </c>
      <c r="C70" s="551">
        <v>9501</v>
      </c>
      <c r="D70" s="468"/>
      <c r="E70" s="468"/>
      <c r="F70" s="468"/>
      <c r="G70" s="468"/>
      <c r="H70" s="468"/>
      <c r="I70" s="468"/>
      <c r="J70" s="468"/>
      <c r="K70" s="468"/>
    </row>
    <row r="71" spans="1:11" ht="12.75" customHeight="1" x14ac:dyDescent="0.2">
      <c r="A71" s="463" t="s">
        <v>291</v>
      </c>
      <c r="B71" s="470">
        <v>1613</v>
      </c>
      <c r="C71" s="551">
        <v>66493</v>
      </c>
      <c r="D71" s="468"/>
      <c r="E71" s="468"/>
      <c r="F71" s="468"/>
      <c r="G71" s="468"/>
      <c r="H71" s="468"/>
      <c r="I71" s="468"/>
      <c r="J71" s="468"/>
      <c r="K71" s="468"/>
    </row>
    <row r="72" spans="1:11" ht="12.75" customHeight="1" x14ac:dyDescent="0.2">
      <c r="A72" s="463" t="s">
        <v>24</v>
      </c>
      <c r="B72" s="470">
        <v>1614</v>
      </c>
      <c r="C72" s="551">
        <f>8456+8366</f>
        <v>16822</v>
      </c>
      <c r="D72" s="468"/>
      <c r="E72" s="468"/>
      <c r="F72" s="468"/>
      <c r="G72" s="468"/>
      <c r="H72" s="468"/>
      <c r="I72" s="468"/>
      <c r="J72" s="468"/>
      <c r="K72" s="468"/>
    </row>
    <row r="73" spans="1:11" ht="12.75" customHeight="1" x14ac:dyDescent="0.2">
      <c r="A73" s="463" t="s">
        <v>1055</v>
      </c>
      <c r="B73" s="470">
        <v>1620</v>
      </c>
      <c r="C73" s="551">
        <v>5649</v>
      </c>
      <c r="D73" s="468"/>
      <c r="E73" s="468"/>
      <c r="F73" s="468"/>
      <c r="G73" s="468"/>
      <c r="H73" s="468"/>
      <c r="I73" s="468"/>
      <c r="J73" s="468"/>
      <c r="K73" s="468"/>
    </row>
    <row r="74" spans="1:11" ht="12.75" customHeight="1" x14ac:dyDescent="0.2">
      <c r="A74" s="463" t="s">
        <v>25</v>
      </c>
      <c r="B74" s="470">
        <v>1690</v>
      </c>
      <c r="C74" s="551">
        <f>4389+183+7</f>
        <v>4579</v>
      </c>
      <c r="D74" s="468"/>
      <c r="E74" s="468"/>
      <c r="F74" s="468"/>
      <c r="G74" s="468"/>
      <c r="H74" s="468"/>
      <c r="I74" s="468"/>
      <c r="J74" s="468"/>
      <c r="K74" s="468"/>
    </row>
    <row r="75" spans="1:11" ht="12.75" customHeight="1" thickBot="1" x14ac:dyDescent="0.25">
      <c r="A75" s="1730" t="s">
        <v>569</v>
      </c>
      <c r="B75" s="1731"/>
      <c r="C75" s="1710">
        <f>SUM(C69:C74)</f>
        <v>214919</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35283</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f>6456+760+4+35016+33793+4763+928+1478</f>
        <v>83198</v>
      </c>
      <c r="D79" s="466">
        <v>8030</v>
      </c>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f>75+111+90+472+601-1</f>
        <v>1348</v>
      </c>
      <c r="D81" s="466"/>
      <c r="E81" s="468"/>
      <c r="F81" s="468"/>
      <c r="G81" s="468"/>
      <c r="H81" s="468"/>
      <c r="I81" s="468"/>
      <c r="J81" s="468"/>
      <c r="K81" s="468"/>
    </row>
    <row r="82" spans="1:11" ht="12.75" customHeight="1" thickBot="1" x14ac:dyDescent="0.25">
      <c r="A82" s="1730" t="s">
        <v>259</v>
      </c>
      <c r="B82" s="1731"/>
      <c r="C82" s="1729">
        <f>SUM(C77:C81)</f>
        <v>119829</v>
      </c>
      <c r="D82" s="1710">
        <f>SUM(D77:D81)</f>
        <v>8030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95756</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95756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24022</v>
      </c>
      <c r="E95" s="521"/>
      <c r="F95" s="521"/>
      <c r="G95" s="521"/>
      <c r="H95" s="521"/>
      <c r="I95" s="521"/>
      <c r="J95" s="521"/>
      <c r="K95" s="521"/>
    </row>
    <row r="96" spans="1:11" ht="12.75" customHeight="1" x14ac:dyDescent="0.2">
      <c r="A96" s="463" t="s">
        <v>409</v>
      </c>
      <c r="B96" s="470">
        <v>1920</v>
      </c>
      <c r="C96" s="551">
        <v>8356</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11468</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9750</v>
      </c>
      <c r="D101" s="526"/>
      <c r="E101" s="480"/>
      <c r="F101" s="526"/>
      <c r="G101" s="475"/>
      <c r="H101" s="526"/>
      <c r="I101" s="468"/>
      <c r="J101" s="475"/>
      <c r="K101" s="475"/>
    </row>
    <row r="102" spans="1:12" ht="12.75" customHeight="1" x14ac:dyDescent="0.2">
      <c r="A102" s="463" t="s">
        <v>265</v>
      </c>
      <c r="B102" s="470">
        <v>1980</v>
      </c>
      <c r="C102" s="489">
        <v>1815</v>
      </c>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421040</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5098</v>
      </c>
      <c r="D107" s="466">
        <v>525</v>
      </c>
      <c r="E107" s="466"/>
      <c r="F107" s="466">
        <f>225-1</f>
        <v>224</v>
      </c>
      <c r="G107" s="466"/>
      <c r="H107" s="466"/>
      <c r="I107" s="466"/>
      <c r="J107" s="467"/>
      <c r="K107" s="466"/>
    </row>
    <row r="108" spans="1:12" ht="12.75" customHeight="1" thickBot="1" x14ac:dyDescent="0.25">
      <c r="A108" s="1730" t="s">
        <v>508</v>
      </c>
      <c r="B108" s="1734"/>
      <c r="C108" s="1729">
        <f>SUM(C95:C107)</f>
        <v>36487</v>
      </c>
      <c r="D108" s="1729">
        <f t="shared" ref="D108:K108" si="3">SUM(D95:D107)</f>
        <v>24547</v>
      </c>
      <c r="E108" s="1729">
        <f t="shared" si="3"/>
        <v>0</v>
      </c>
      <c r="F108" s="1729">
        <f t="shared" si="3"/>
        <v>224</v>
      </c>
      <c r="G108" s="1729">
        <f t="shared" si="3"/>
        <v>0</v>
      </c>
      <c r="H108" s="1729">
        <f t="shared" si="3"/>
        <v>421040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3924710</v>
      </c>
      <c r="D109" s="1737">
        <f t="shared" si="4"/>
        <v>784722</v>
      </c>
      <c r="E109" s="1737">
        <f t="shared" si="4"/>
        <v>997901</v>
      </c>
      <c r="F109" s="1737">
        <f t="shared" si="4"/>
        <v>326250</v>
      </c>
      <c r="G109" s="1737">
        <f t="shared" si="4"/>
        <v>400048</v>
      </c>
      <c r="H109" s="1737">
        <f t="shared" si="4"/>
        <v>422997</v>
      </c>
      <c r="I109" s="1737">
        <f t="shared" si="4"/>
        <v>31416</v>
      </c>
      <c r="J109" s="1737">
        <f t="shared" si="4"/>
        <v>252166</v>
      </c>
      <c r="K109" s="1724">
        <f t="shared" si="4"/>
        <v>22122</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4711320</v>
      </c>
      <c r="D117" s="481">
        <v>100000</v>
      </c>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4711320</v>
      </c>
      <c r="D121" s="1729">
        <f t="shared" si="5"/>
        <v>100000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55660</v>
      </c>
      <c r="D124" s="561"/>
      <c r="E124" s="468"/>
      <c r="F124" s="548"/>
      <c r="G124" s="468"/>
      <c r="H124" s="468"/>
      <c r="I124" s="468"/>
      <c r="J124" s="468"/>
      <c r="K124" s="468"/>
    </row>
    <row r="125" spans="1:11" ht="12.75" customHeight="1" x14ac:dyDescent="0.2">
      <c r="A125" s="463" t="s">
        <v>1521</v>
      </c>
      <c r="B125" s="562">
        <v>3105</v>
      </c>
      <c r="C125" s="466">
        <v>96232</v>
      </c>
      <c r="D125" s="561"/>
      <c r="E125" s="468"/>
      <c r="F125" s="466"/>
      <c r="G125" s="468"/>
      <c r="H125" s="468"/>
      <c r="I125" s="468"/>
      <c r="J125" s="468"/>
      <c r="K125" s="468"/>
    </row>
    <row r="126" spans="1:11" ht="12.75" customHeight="1" x14ac:dyDescent="0.2">
      <c r="A126" s="463" t="s">
        <v>922</v>
      </c>
      <c r="B126" s="562">
        <v>3110</v>
      </c>
      <c r="C126" s="551">
        <v>124084</v>
      </c>
      <c r="D126" s="466"/>
      <c r="E126" s="468"/>
      <c r="F126" s="466"/>
      <c r="G126" s="468"/>
      <c r="H126" s="468"/>
      <c r="I126" s="468"/>
      <c r="J126" s="468"/>
      <c r="K126" s="468"/>
    </row>
    <row r="127" spans="1:11" ht="12.75" customHeight="1" x14ac:dyDescent="0.2">
      <c r="A127" s="463" t="s">
        <v>107</v>
      </c>
      <c r="B127" s="562">
        <v>3120</v>
      </c>
      <c r="C127" s="466">
        <v>35779</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843</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312598</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f>20449+26043</f>
        <v>46492</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f>1922+1877</f>
        <v>3799</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50291</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4674</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19832</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294000</v>
      </c>
      <c r="G151" s="467"/>
      <c r="H151" s="468"/>
      <c r="I151" s="468"/>
      <c r="J151" s="468"/>
      <c r="K151" s="468"/>
    </row>
    <row r="152" spans="1:11" ht="12.75" customHeight="1" x14ac:dyDescent="0.2">
      <c r="A152" s="463" t="s">
        <v>1117</v>
      </c>
      <c r="B152" s="562">
        <v>3510</v>
      </c>
      <c r="C152" s="551"/>
      <c r="D152" s="466"/>
      <c r="E152" s="561"/>
      <c r="F152" s="466">
        <v>126244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420244</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f>68040+81649</f>
        <v>149689</v>
      </c>
      <c r="D157" s="468"/>
      <c r="E157" s="561"/>
      <c r="F157" s="576"/>
      <c r="G157" s="576"/>
      <c r="H157" s="468"/>
      <c r="I157" s="468"/>
      <c r="J157" s="468"/>
      <c r="K157" s="468"/>
    </row>
    <row r="158" spans="1:11" ht="12.75" customHeight="1" thickTop="1" thickBot="1" x14ac:dyDescent="0.25">
      <c r="A158" s="1522" t="s">
        <v>1111</v>
      </c>
      <c r="B158" s="574">
        <v>3705</v>
      </c>
      <c r="C158" s="576">
        <f>177000+71000</f>
        <v>248000</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f>1073+906</f>
        <v>1979</v>
      </c>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787063</v>
      </c>
      <c r="D172" s="1744">
        <f t="shared" si="6"/>
        <v>0</v>
      </c>
      <c r="E172" s="1744">
        <f t="shared" si="6"/>
        <v>0</v>
      </c>
      <c r="F172" s="1744">
        <f t="shared" si="6"/>
        <v>420244</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5498383</v>
      </c>
      <c r="D173" s="1737">
        <f>SUM(D121,D172)</f>
        <v>100000</v>
      </c>
      <c r="E173" s="1737">
        <f>SUM(E121,E172)</f>
        <v>0</v>
      </c>
      <c r="F173" s="1737">
        <f t="shared" ref="F173:K173" si="7">SUM(F121,F172)</f>
        <v>420244</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1904</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264057</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67309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v>7748</v>
      </c>
      <c r="D200" s="468"/>
      <c r="E200" s="561"/>
      <c r="F200" s="468"/>
      <c r="G200" s="585"/>
      <c r="H200" s="468"/>
      <c r="I200" s="468"/>
      <c r="J200" s="468"/>
      <c r="K200" s="468"/>
    </row>
    <row r="201" spans="1:11" ht="12.75" customHeight="1" thickBot="1" x14ac:dyDescent="0.25">
      <c r="A201" s="1730" t="s">
        <v>569</v>
      </c>
      <c r="B201" s="1731"/>
      <c r="C201" s="1710">
        <f>SUM(C193:C200)</f>
        <v>339114</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f>176750+39236</f>
        <v>215986</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215986</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2082</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2082</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f>33081+13760</f>
        <v>46841</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f>16996-2896</f>
        <v>14100</v>
      </c>
      <c r="D270" s="576"/>
      <c r="E270" s="468"/>
      <c r="F270" s="576"/>
      <c r="G270" s="576"/>
      <c r="H270" s="468"/>
      <c r="I270" s="468"/>
      <c r="J270" s="468"/>
      <c r="K270" s="468"/>
    </row>
    <row r="271" spans="1:11" ht="12.75" customHeight="1" thickTop="1" thickBot="1" x14ac:dyDescent="0.25">
      <c r="A271" s="463" t="s">
        <v>395</v>
      </c>
      <c r="B271" s="470">
        <v>4992</v>
      </c>
      <c r="C271" s="575">
        <f>2896+38834</f>
        <v>41730</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659853</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659853</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10082946</v>
      </c>
      <c r="D275" s="1737">
        <f t="shared" si="12"/>
        <v>884722</v>
      </c>
      <c r="E275" s="1737">
        <f t="shared" si="12"/>
        <v>997901</v>
      </c>
      <c r="F275" s="1737">
        <f t="shared" si="12"/>
        <v>746494</v>
      </c>
      <c r="G275" s="1737">
        <f t="shared" si="12"/>
        <v>400048</v>
      </c>
      <c r="H275" s="1737">
        <f t="shared" si="12"/>
        <v>422997</v>
      </c>
      <c r="I275" s="1737">
        <f t="shared" si="12"/>
        <v>31416</v>
      </c>
      <c r="J275" s="1737">
        <f t="shared" si="12"/>
        <v>252166</v>
      </c>
      <c r="K275" s="1724">
        <f t="shared" si="12"/>
        <v>22122</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C9" sqref="C9"/>
      <selection pane="bottomLeft" activeCell="C9" sqref="C9"/>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f>29553+6600+1614405+50652+16190+7776+974245+10840+1136764+24228+18600+910+3-4</f>
        <v>3890762</v>
      </c>
      <c r="D5" s="466">
        <f>5366+12+1132+59249+169587+35454+95649+42532+110119</f>
        <v>519100</v>
      </c>
      <c r="E5" s="466">
        <f>295+70+3522+32+7394+32+3892+1561+178+13636</f>
        <v>30612</v>
      </c>
      <c r="F5" s="466">
        <f>1270+15655+378+33+7169+4862+3031+990+1574+2289+869+2004+427+2937+2640+6710+70+759</f>
        <v>53667</v>
      </c>
      <c r="G5" s="466">
        <f>5655-40</f>
        <v>5615</v>
      </c>
      <c r="H5" s="466">
        <f>375+742</f>
        <v>1117</v>
      </c>
      <c r="I5" s="467"/>
      <c r="J5" s="467"/>
      <c r="K5" s="1693">
        <f>SUM(C5:J5)</f>
        <v>4500873</v>
      </c>
      <c r="L5" s="466">
        <f>35958+6600+4972+15+1133+1790+23000+7000+1630000+55000+23000+11000+200+60000+170000+900+410+9900+1000+600+600+5600+7500+5000+150+7500+3200+1000+988000+100+18000+100+35500+102000+100+550+4200+1800+2600+4900+1800+1140000+25000+20000+1000+100+43000+112000+300+1600+1000+13700+1600+2400+450+3500+2700+7500+7000+1400+500+550</f>
        <v>4617978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f>12355+17710</f>
        <v>30065</v>
      </c>
      <c r="D8" s="466">
        <f>5+512</f>
        <v>517</v>
      </c>
      <c r="E8" s="466">
        <v>3150</v>
      </c>
      <c r="F8" s="466">
        <v>157</v>
      </c>
      <c r="G8" s="466"/>
      <c r="H8" s="466"/>
      <c r="I8" s="467"/>
      <c r="J8" s="467"/>
      <c r="K8" s="1693">
        <f t="shared" si="0"/>
        <v>33889</v>
      </c>
      <c r="L8" s="466">
        <f>500+15000+50+3500+22000+1000+250</f>
        <v>42300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f>86065+16564+48614+40+1785+1680+435</f>
        <v>155183</v>
      </c>
      <c r="D10" s="466">
        <f>16174+30356+2265+18</f>
        <v>48813</v>
      </c>
      <c r="E10" s="466">
        <v>5238</v>
      </c>
      <c r="F10" s="466">
        <f>63782+810</f>
        <v>64592</v>
      </c>
      <c r="G10" s="466"/>
      <c r="H10" s="466"/>
      <c r="I10" s="467"/>
      <c r="J10" s="467"/>
      <c r="K10" s="1693">
        <f t="shared" si="0"/>
        <v>273826</v>
      </c>
      <c r="L10" s="466">
        <f>103182+16564+47051+40+2100+2400+13963+33980+2265+10700+58835+1000+1000+100+150</f>
        <v>293330</v>
      </c>
    </row>
    <row r="11" spans="1:14" x14ac:dyDescent="0.2">
      <c r="A11" s="1526" t="s">
        <v>1192</v>
      </c>
      <c r="B11" s="615" t="s">
        <v>163</v>
      </c>
      <c r="C11" s="467">
        <f>70757+13717+26494+76+3032+1560</f>
        <v>115636</v>
      </c>
      <c r="D11" s="467">
        <f>3021+24910+3112</f>
        <v>31043</v>
      </c>
      <c r="E11" s="467"/>
      <c r="F11" s="467">
        <f>13704+612</f>
        <v>14316</v>
      </c>
      <c r="G11" s="467">
        <v>2092</v>
      </c>
      <c r="H11" s="467"/>
      <c r="I11" s="467"/>
      <c r="J11" s="467"/>
      <c r="K11" s="1693">
        <f t="shared" si="0"/>
        <v>163087</v>
      </c>
      <c r="L11" s="466">
        <f>84813+13718+26700+76+3240+1600+3027+27200+3113+15484+612+2200</f>
        <v>181783</v>
      </c>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f>188807+1760</f>
        <v>190567</v>
      </c>
      <c r="D13" s="466">
        <f>6704+20787</f>
        <v>27491</v>
      </c>
      <c r="E13" s="466"/>
      <c r="F13" s="466">
        <f>23081+5210+76+8618+84+1327+36+123+200+3164+98</f>
        <v>42017</v>
      </c>
      <c r="G13" s="466"/>
      <c r="H13" s="466"/>
      <c r="I13" s="467"/>
      <c r="J13" s="467"/>
      <c r="K13" s="1693">
        <f t="shared" si="0"/>
        <v>260075</v>
      </c>
      <c r="L13" s="466">
        <f>23411+5697+76+13622+192000+3000+7200+21500+75+110+200+80+1600+240+220+200+3400+180+160+250</f>
        <v>273221</v>
      </c>
    </row>
    <row r="14" spans="1:14" x14ac:dyDescent="0.2">
      <c r="A14" s="1526" t="s">
        <v>1020</v>
      </c>
      <c r="B14" s="615">
        <v>1500</v>
      </c>
      <c r="C14" s="466">
        <f>31910+7010+117475+31509-30</f>
        <v>187874</v>
      </c>
      <c r="D14" s="466">
        <f>1197+4610</f>
        <v>5807</v>
      </c>
      <c r="E14" s="466">
        <f>4185+15+14681+422</f>
        <v>19303</v>
      </c>
      <c r="F14" s="466">
        <f>49+2178+1060</f>
        <v>3287</v>
      </c>
      <c r="G14" s="466"/>
      <c r="H14" s="466">
        <f>2394+6383</f>
        <v>8777</v>
      </c>
      <c r="I14" s="467"/>
      <c r="J14" s="467"/>
      <c r="K14" s="1693">
        <f t="shared" si="0"/>
        <v>225048</v>
      </c>
      <c r="L14" s="466">
        <f>150+1800+150+32000+9500+1350+4200+200+800+100+100+2400+100+118000+31500+4800+17000+750+500+400+2200+500+1100+850+6800+225</f>
        <v>237475</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v>3</v>
      </c>
      <c r="E16" s="466"/>
      <c r="F16" s="466"/>
      <c r="G16" s="466"/>
      <c r="H16" s="466"/>
      <c r="I16" s="467"/>
      <c r="J16" s="467"/>
      <c r="K16" s="1693">
        <f t="shared" si="0"/>
        <v>3</v>
      </c>
      <c r="L16" s="466">
        <f>2200+75</f>
        <v>2275</v>
      </c>
    </row>
    <row r="17" spans="1:12" x14ac:dyDescent="0.2">
      <c r="A17" s="1526" t="s">
        <v>748</v>
      </c>
      <c r="B17" s="615" t="s">
        <v>164</v>
      </c>
      <c r="C17" s="467">
        <f>77050+40</f>
        <v>77090</v>
      </c>
      <c r="D17" s="467">
        <f>2729+7926</f>
        <v>10655</v>
      </c>
      <c r="E17" s="467">
        <v>70</v>
      </c>
      <c r="F17" s="467">
        <v>3684</v>
      </c>
      <c r="G17" s="467"/>
      <c r="H17" s="467"/>
      <c r="I17" s="467"/>
      <c r="J17" s="467"/>
      <c r="K17" s="1693">
        <f t="shared" si="0"/>
        <v>91499</v>
      </c>
      <c r="L17" s="466">
        <f>79000+600+2900+8100+100+3700</f>
        <v>94400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f>6750+5228</f>
        <v>11978</v>
      </c>
      <c r="D19" s="466">
        <v>236</v>
      </c>
      <c r="E19" s="466"/>
      <c r="F19" s="466">
        <v>260</v>
      </c>
      <c r="G19" s="466"/>
      <c r="H19" s="466"/>
      <c r="I19" s="467"/>
      <c r="J19" s="467"/>
      <c r="K19" s="1693">
        <f t="shared" si="0"/>
        <v>12474</v>
      </c>
      <c r="L19" s="466">
        <f>6600+5620+250+300</f>
        <v>12770</v>
      </c>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v>93181</v>
      </c>
      <c r="I22" s="617"/>
      <c r="J22" s="477"/>
      <c r="K22" s="1693">
        <f t="shared" si="0"/>
        <v>93181</v>
      </c>
      <c r="L22" s="471">
        <v>110000</v>
      </c>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4659155</v>
      </c>
      <c r="D33" s="1692">
        <f t="shared" ref="D33:L33" si="1">SUM(D5:D32)</f>
        <v>643665</v>
      </c>
      <c r="E33" s="1692">
        <f t="shared" si="1"/>
        <v>58373</v>
      </c>
      <c r="F33" s="1692">
        <f t="shared" si="1"/>
        <v>181980</v>
      </c>
      <c r="G33" s="1692">
        <f t="shared" si="1"/>
        <v>7707</v>
      </c>
      <c r="H33" s="1692">
        <f t="shared" si="1"/>
        <v>103075</v>
      </c>
      <c r="I33" s="1692">
        <f t="shared" si="1"/>
        <v>0</v>
      </c>
      <c r="J33" s="1692">
        <f t="shared" si="1"/>
        <v>0</v>
      </c>
      <c r="K33" s="1692">
        <f t="shared" si="1"/>
        <v>5653955</v>
      </c>
      <c r="L33" s="1692">
        <f t="shared" si="1"/>
        <v>5865532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f>46590+9243</f>
        <v>55833</v>
      </c>
      <c r="D36" s="481">
        <f>1973+4542+908</f>
        <v>7423</v>
      </c>
      <c r="E36" s="481">
        <v>303</v>
      </c>
      <c r="F36" s="481"/>
      <c r="G36" s="481"/>
      <c r="H36" s="481"/>
      <c r="I36" s="467"/>
      <c r="J36" s="467"/>
      <c r="K36" s="1693">
        <f t="shared" ref="K36:K41" si="2">SUM(C36:J36)</f>
        <v>63559</v>
      </c>
      <c r="L36" s="466">
        <f>55670+9244+2000+5452+909+250</f>
        <v>73525</v>
      </c>
    </row>
    <row r="37" spans="1:14" x14ac:dyDescent="0.2">
      <c r="A37" s="1526" t="s">
        <v>1151</v>
      </c>
      <c r="B37" s="615">
        <v>2120</v>
      </c>
      <c r="C37" s="466">
        <f>202049+16304+360</f>
        <v>218713</v>
      </c>
      <c r="D37" s="466">
        <f>7203+21724</f>
        <v>28927</v>
      </c>
      <c r="E37" s="466"/>
      <c r="F37" s="466">
        <f>208+9159</f>
        <v>9367</v>
      </c>
      <c r="G37" s="466"/>
      <c r="H37" s="466"/>
      <c r="I37" s="467"/>
      <c r="J37" s="467"/>
      <c r="K37" s="1693">
        <f t="shared" si="2"/>
        <v>257007</v>
      </c>
      <c r="L37" s="466">
        <f>100+112+205000+17000+2000+50+7225+22000+120+13500</f>
        <v>267107</v>
      </c>
    </row>
    <row r="38" spans="1:14" x14ac:dyDescent="0.2">
      <c r="A38" s="1526" t="s">
        <v>207</v>
      </c>
      <c r="B38" s="615">
        <v>2130</v>
      </c>
      <c r="C38" s="466">
        <f>131854+880</f>
        <v>132734</v>
      </c>
      <c r="D38" s="466">
        <f>4508+12457</f>
        <v>16965</v>
      </c>
      <c r="E38" s="466">
        <v>360</v>
      </c>
      <c r="F38" s="466">
        <v>2678</v>
      </c>
      <c r="G38" s="466">
        <v>478</v>
      </c>
      <c r="H38" s="466"/>
      <c r="I38" s="467"/>
      <c r="J38" s="467"/>
      <c r="K38" s="1693">
        <f t="shared" si="2"/>
        <v>153215</v>
      </c>
      <c r="L38" s="466">
        <f>135000+2400+5300+12500+450+2700+600</f>
        <v>158950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v>4737</v>
      </c>
      <c r="D41" s="466"/>
      <c r="E41" s="466">
        <v>2248</v>
      </c>
      <c r="F41" s="466"/>
      <c r="G41" s="466"/>
      <c r="H41" s="466"/>
      <c r="I41" s="467"/>
      <c r="J41" s="467"/>
      <c r="K41" s="1693">
        <f t="shared" si="2"/>
        <v>6985</v>
      </c>
      <c r="L41" s="466">
        <f>6000+2300</f>
        <v>8300</v>
      </c>
    </row>
    <row r="42" spans="1:14" ht="12.75" customHeight="1" thickBot="1" x14ac:dyDescent="0.25">
      <c r="A42" s="1690" t="s">
        <v>581</v>
      </c>
      <c r="B42" s="1691" t="s">
        <v>740</v>
      </c>
      <c r="C42" s="1692">
        <f>SUM(C36:C41)</f>
        <v>412017</v>
      </c>
      <c r="D42" s="1692">
        <f t="shared" ref="D42:L42" si="3">SUM(D36:D41)</f>
        <v>53315</v>
      </c>
      <c r="E42" s="1692">
        <f t="shared" si="3"/>
        <v>2911</v>
      </c>
      <c r="F42" s="1692">
        <f t="shared" si="3"/>
        <v>12045</v>
      </c>
      <c r="G42" s="1692">
        <f t="shared" si="3"/>
        <v>478</v>
      </c>
      <c r="H42" s="1692">
        <f t="shared" si="3"/>
        <v>0</v>
      </c>
      <c r="I42" s="1692">
        <f t="shared" si="3"/>
        <v>0</v>
      </c>
      <c r="J42" s="1692">
        <f t="shared" si="3"/>
        <v>0</v>
      </c>
      <c r="K42" s="1692">
        <f t="shared" si="3"/>
        <v>480766</v>
      </c>
      <c r="L42" s="1692">
        <f t="shared" si="3"/>
        <v>507882</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f>640+1760+1200+6600+1160+5120-234</f>
        <v>16246</v>
      </c>
      <c r="D44" s="481">
        <f>14+41+10+672+8+102+515+1</f>
        <v>1363</v>
      </c>
      <c r="E44" s="481">
        <f>56+608+11777+100+3931+6885+1946</f>
        <v>25303</v>
      </c>
      <c r="F44" s="481"/>
      <c r="G44" s="481"/>
      <c r="H44" s="481"/>
      <c r="I44" s="467"/>
      <c r="J44" s="467"/>
      <c r="K44" s="1694">
        <f>SUM(C44:J44)</f>
        <v>42912</v>
      </c>
      <c r="L44" s="481">
        <f>1800+1200+6160+560+5600+41+15+781+9+70+765+100+674+9432+100+3854+5394+500+3500+95+2000</f>
        <v>42650</v>
      </c>
    </row>
    <row r="45" spans="1:14" x14ac:dyDescent="0.2">
      <c r="A45" s="1526" t="s">
        <v>869</v>
      </c>
      <c r="B45" s="615">
        <v>2220</v>
      </c>
      <c r="C45" s="466">
        <f>73617+48609+760+700+395+122298+7483</f>
        <v>253862</v>
      </c>
      <c r="D45" s="466">
        <f>2625+13609+13587</f>
        <v>29821</v>
      </c>
      <c r="E45" s="466">
        <f>88+4774+425+8301</f>
        <v>13588</v>
      </c>
      <c r="F45" s="466">
        <f>1272+106197-1899+5000+59648+220+300</f>
        <v>170738</v>
      </c>
      <c r="G45" s="466">
        <v>38732</v>
      </c>
      <c r="H45" s="466">
        <v>95</v>
      </c>
      <c r="I45" s="467"/>
      <c r="J45" s="467"/>
      <c r="K45" s="1694">
        <f>SUM(C45:J45)</f>
        <v>506836</v>
      </c>
      <c r="L45" s="466">
        <f>1280+75000+50000+1000+1500+500+2700+14400+150+90+123000+10500+13900+8000+5000+1250+42500+115000+5000+92500+12500+41000+250+150+150+200+150+110+75+110+220+160+300</f>
        <v>618645</v>
      </c>
    </row>
    <row r="46" spans="1:14" x14ac:dyDescent="0.2">
      <c r="A46" s="1526" t="s">
        <v>870</v>
      </c>
      <c r="B46" s="615">
        <v>2230</v>
      </c>
      <c r="C46" s="466"/>
      <c r="D46" s="466"/>
      <c r="E46" s="466">
        <v>530</v>
      </c>
      <c r="F46" s="466">
        <v>537</v>
      </c>
      <c r="G46" s="466"/>
      <c r="H46" s="466"/>
      <c r="I46" s="467"/>
      <c r="J46" s="467"/>
      <c r="K46" s="1694">
        <f>SUM(C46:J46)</f>
        <v>1067</v>
      </c>
      <c r="L46" s="466">
        <f>1145+1000</f>
        <v>2145</v>
      </c>
    </row>
    <row r="47" spans="1:14" ht="12.75" customHeight="1" thickBot="1" x14ac:dyDescent="0.25">
      <c r="A47" s="1690" t="s">
        <v>582</v>
      </c>
      <c r="B47" s="1691" t="s">
        <v>32</v>
      </c>
      <c r="C47" s="1692">
        <f>SUM(C44:C46)</f>
        <v>270108</v>
      </c>
      <c r="D47" s="1692">
        <f t="shared" ref="D47:K47" si="4">SUM(D44:D46)</f>
        <v>31184</v>
      </c>
      <c r="E47" s="1692">
        <f t="shared" si="4"/>
        <v>39421</v>
      </c>
      <c r="F47" s="1692">
        <f t="shared" si="4"/>
        <v>171275</v>
      </c>
      <c r="G47" s="1692">
        <f t="shared" si="4"/>
        <v>38732</v>
      </c>
      <c r="H47" s="1692">
        <f t="shared" si="4"/>
        <v>95</v>
      </c>
      <c r="I47" s="1692">
        <f t="shared" si="4"/>
        <v>0</v>
      </c>
      <c r="J47" s="1692">
        <f t="shared" si="4"/>
        <v>0</v>
      </c>
      <c r="K47" s="1692">
        <f t="shared" si="4"/>
        <v>550815</v>
      </c>
      <c r="L47" s="1692">
        <f>SUM(L44:L46)</f>
        <v>663440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433</v>
      </c>
      <c r="D49" s="481">
        <v>900</v>
      </c>
      <c r="E49" s="481">
        <f>5175+19+7875+46239+3943+2603+1108+4047</f>
        <v>71009</v>
      </c>
      <c r="F49" s="481">
        <f>3489+837</f>
        <v>4326</v>
      </c>
      <c r="G49" s="481"/>
      <c r="H49" s="481">
        <v>13956</v>
      </c>
      <c r="I49" s="467"/>
      <c r="J49" s="467"/>
      <c r="K49" s="1694">
        <f>SUM(C49:J49)</f>
        <v>90624</v>
      </c>
      <c r="L49" s="481">
        <f>14980+20+2800+4000+8175+55000+6000+4500+1800+3500+15000+1000+4500+1300</f>
        <v>122575</v>
      </c>
    </row>
    <row r="50" spans="1:14" x14ac:dyDescent="0.2">
      <c r="A50" s="1526" t="s">
        <v>872</v>
      </c>
      <c r="B50" s="615">
        <v>2320</v>
      </c>
      <c r="C50" s="466">
        <f>110000+32643+1264</f>
        <v>143907</v>
      </c>
      <c r="D50" s="466">
        <f>8847+2805</f>
        <v>11652</v>
      </c>
      <c r="E50" s="466">
        <f>1120+1699</f>
        <v>2819</v>
      </c>
      <c r="F50" s="466">
        <f>6628+1022</f>
        <v>7650</v>
      </c>
      <c r="G50" s="466">
        <f>6578-1022</f>
        <v>5556</v>
      </c>
      <c r="H50" s="466">
        <v>1768</v>
      </c>
      <c r="I50" s="467"/>
      <c r="J50" s="467"/>
      <c r="K50" s="1694">
        <f>SUM(C50:J50)</f>
        <v>173352</v>
      </c>
      <c r="L50" s="466">
        <f>110100+34000+1500+9000+3000+4000+2000+7000+1000+7000+2500</f>
        <v>181100</v>
      </c>
    </row>
    <row r="51" spans="1:14" x14ac:dyDescent="0.2">
      <c r="A51" s="1526" t="s">
        <v>44</v>
      </c>
      <c r="B51" s="615">
        <v>2330</v>
      </c>
      <c r="C51" s="466">
        <f>4139+776</f>
        <v>4915</v>
      </c>
      <c r="D51" s="466">
        <v>2</v>
      </c>
      <c r="E51" s="466"/>
      <c r="F51" s="466">
        <f>568+40</f>
        <v>608</v>
      </c>
      <c r="G51" s="466"/>
      <c r="H51" s="466"/>
      <c r="I51" s="467"/>
      <c r="J51" s="467"/>
      <c r="K51" s="1694">
        <f>SUM(C51:J51)</f>
        <v>5525</v>
      </c>
      <c r="L51" s="466">
        <f>4200+776+5+600</f>
        <v>5581</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149255</v>
      </c>
      <c r="D53" s="1692">
        <f t="shared" ref="D53:L53" si="5">SUM(D49:D52)</f>
        <v>12554</v>
      </c>
      <c r="E53" s="1692">
        <f t="shared" si="5"/>
        <v>73828</v>
      </c>
      <c r="F53" s="1692">
        <f t="shared" si="5"/>
        <v>12584</v>
      </c>
      <c r="G53" s="1692">
        <f t="shared" si="5"/>
        <v>5556</v>
      </c>
      <c r="H53" s="1692">
        <f t="shared" si="5"/>
        <v>15724</v>
      </c>
      <c r="I53" s="1692">
        <f t="shared" si="5"/>
        <v>0</v>
      </c>
      <c r="J53" s="1692">
        <f t="shared" si="5"/>
        <v>0</v>
      </c>
      <c r="K53" s="1692">
        <f t="shared" si="5"/>
        <v>269501</v>
      </c>
      <c r="L53" s="1692">
        <f t="shared" si="5"/>
        <v>309256</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f>282207+183541+240+1516</f>
        <v>467504</v>
      </c>
      <c r="D55" s="481">
        <f>10253+62944</f>
        <v>73197</v>
      </c>
      <c r="E55" s="481">
        <f>1525+184</f>
        <v>1709</v>
      </c>
      <c r="F55" s="481"/>
      <c r="G55" s="481"/>
      <c r="H55" s="481">
        <v>815</v>
      </c>
      <c r="I55" s="467"/>
      <c r="J55" s="467"/>
      <c r="K55" s="1694">
        <f>SUM(C55:J55)</f>
        <v>543225</v>
      </c>
      <c r="L55" s="481">
        <f>285000+190000+1600+3000+10500+63500+1600+400+1200</f>
        <v>556800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467504</v>
      </c>
      <c r="D57" s="1696">
        <f t="shared" ref="D57:K57" si="6">SUM(D55:D56)</f>
        <v>73197</v>
      </c>
      <c r="E57" s="1696">
        <f t="shared" si="6"/>
        <v>1709</v>
      </c>
      <c r="F57" s="1696">
        <f t="shared" si="6"/>
        <v>0</v>
      </c>
      <c r="G57" s="1696">
        <f t="shared" si="6"/>
        <v>0</v>
      </c>
      <c r="H57" s="1696">
        <f t="shared" si="6"/>
        <v>815</v>
      </c>
      <c r="I57" s="1696">
        <f t="shared" si="6"/>
        <v>0</v>
      </c>
      <c r="J57" s="1696">
        <f t="shared" si="6"/>
        <v>0</v>
      </c>
      <c r="K57" s="1696">
        <f t="shared" si="6"/>
        <v>543225</v>
      </c>
      <c r="L57" s="1692">
        <f>SUM(L55:L56)</f>
        <v>556800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f>76500+34185+5</f>
        <v>110690</v>
      </c>
      <c r="D60" s="466">
        <v>19206</v>
      </c>
      <c r="E60" s="466">
        <f>26831+11245+1886</f>
        <v>39962</v>
      </c>
      <c r="F60" s="466">
        <v>80</v>
      </c>
      <c r="G60" s="466"/>
      <c r="H60" s="466">
        <v>885</v>
      </c>
      <c r="I60" s="467"/>
      <c r="J60" s="467"/>
      <c r="K60" s="1694">
        <f t="shared" si="7"/>
        <v>170823</v>
      </c>
      <c r="L60" s="466">
        <f>76600+34500+500+19400+29000+12000+100+3000+50+600+500+900</f>
        <v>177150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v>753</v>
      </c>
      <c r="F62" s="466"/>
      <c r="G62" s="466"/>
      <c r="H62" s="466"/>
      <c r="I62" s="467"/>
      <c r="J62" s="467"/>
      <c r="K62" s="1694">
        <f t="shared" si="7"/>
        <v>753</v>
      </c>
      <c r="L62" s="466">
        <v>753</v>
      </c>
      <c r="M62" s="610"/>
      <c r="N62" s="610"/>
    </row>
    <row r="63" spans="1:14" s="610" customFormat="1" x14ac:dyDescent="0.2">
      <c r="A63" s="1526" t="s">
        <v>102</v>
      </c>
      <c r="B63" s="615">
        <v>2560</v>
      </c>
      <c r="C63" s="466">
        <f>180506+2538+550</f>
        <v>183594</v>
      </c>
      <c r="D63" s="466">
        <v>33982</v>
      </c>
      <c r="E63" s="466">
        <f>681+3242+461</f>
        <v>4384</v>
      </c>
      <c r="F63" s="466">
        <f>2710+248710+8819</f>
        <v>260239</v>
      </c>
      <c r="G63" s="466">
        <f>7748+10040</f>
        <v>17788</v>
      </c>
      <c r="H63" s="466"/>
      <c r="I63" s="467"/>
      <c r="J63" s="467"/>
      <c r="K63" s="1694">
        <f t="shared" si="7"/>
        <v>499987</v>
      </c>
      <c r="L63" s="466">
        <f>9056+3076+195000+6000+2000+36000+2000+13000+800+275000+11500+2000+10500</f>
        <v>565932</v>
      </c>
    </row>
    <row r="64" spans="1:14" s="610" customFormat="1" x14ac:dyDescent="0.2">
      <c r="A64" s="1531" t="s">
        <v>103</v>
      </c>
      <c r="B64" s="631">
        <v>2570</v>
      </c>
      <c r="C64" s="481"/>
      <c r="D64" s="481"/>
      <c r="E64" s="481">
        <v>12056</v>
      </c>
      <c r="F64" s="481">
        <v>1992</v>
      </c>
      <c r="G64" s="481"/>
      <c r="H64" s="481"/>
      <c r="I64" s="467"/>
      <c r="J64" s="467"/>
      <c r="K64" s="1694">
        <f t="shared" si="7"/>
        <v>14048</v>
      </c>
      <c r="L64" s="481">
        <f>15800+2000</f>
        <v>17800</v>
      </c>
    </row>
    <row r="65" spans="1:14" s="343" customFormat="1" ht="12.75" customHeight="1" thickBot="1" x14ac:dyDescent="0.25">
      <c r="A65" s="1690" t="s">
        <v>743</v>
      </c>
      <c r="B65" s="1691" t="s">
        <v>35</v>
      </c>
      <c r="C65" s="1692">
        <f>SUM(C59:C64)</f>
        <v>294284</v>
      </c>
      <c r="D65" s="1692">
        <f t="shared" ref="D65:L65" si="8">SUM(D59:D64)</f>
        <v>53188</v>
      </c>
      <c r="E65" s="1692">
        <f t="shared" si="8"/>
        <v>57155</v>
      </c>
      <c r="F65" s="1692">
        <f t="shared" si="8"/>
        <v>262311</v>
      </c>
      <c r="G65" s="1692">
        <f t="shared" si="8"/>
        <v>17788</v>
      </c>
      <c r="H65" s="1692">
        <f t="shared" si="8"/>
        <v>885</v>
      </c>
      <c r="I65" s="1692">
        <f t="shared" si="8"/>
        <v>0</v>
      </c>
      <c r="J65" s="1692">
        <f t="shared" si="8"/>
        <v>0</v>
      </c>
      <c r="K65" s="1692">
        <f t="shared" si="8"/>
        <v>685611</v>
      </c>
      <c r="L65" s="1692">
        <f t="shared" si="8"/>
        <v>761635</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1593168</v>
      </c>
      <c r="D74" s="1699">
        <f t="shared" ref="D74:K74" si="10">SUM(D42,D47,D53,D57,D65,D72,D73)</f>
        <v>223438</v>
      </c>
      <c r="E74" s="1699">
        <f t="shared" si="10"/>
        <v>175024</v>
      </c>
      <c r="F74" s="1699">
        <f t="shared" si="10"/>
        <v>458215</v>
      </c>
      <c r="G74" s="1699">
        <f t="shared" si="10"/>
        <v>62554</v>
      </c>
      <c r="H74" s="1699">
        <f t="shared" si="10"/>
        <v>17519</v>
      </c>
      <c r="I74" s="1699">
        <f t="shared" si="10"/>
        <v>0</v>
      </c>
      <c r="J74" s="1699">
        <f t="shared" si="10"/>
        <v>0</v>
      </c>
      <c r="K74" s="1699">
        <f t="shared" si="10"/>
        <v>2529918</v>
      </c>
      <c r="L74" s="1699">
        <f>SUM(L42,L47,L53,L57,L65,L72,L73)</f>
        <v>2799013</v>
      </c>
    </row>
    <row r="75" spans="1:14" s="259" customFormat="1" ht="15.75" customHeight="1" thickTop="1" thickBot="1" x14ac:dyDescent="0.25">
      <c r="A75" s="1632" t="s">
        <v>49</v>
      </c>
      <c r="B75" s="1633" t="s">
        <v>596</v>
      </c>
      <c r="C75" s="573">
        <f>621+807</f>
        <v>1428</v>
      </c>
      <c r="D75" s="573">
        <v>46</v>
      </c>
      <c r="E75" s="573">
        <v>96</v>
      </c>
      <c r="F75" s="573">
        <f>300+1275</f>
        <v>1575</v>
      </c>
      <c r="G75" s="573"/>
      <c r="H75" s="573"/>
      <c r="I75" s="531"/>
      <c r="J75" s="531"/>
      <c r="K75" s="1692">
        <f>SUM(C75:J75)</f>
        <v>3145</v>
      </c>
      <c r="L75" s="576">
        <f>1318+55+396+331+1040</f>
        <v>3140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3920</v>
      </c>
      <c r="F78" s="617"/>
      <c r="G78" s="617"/>
      <c r="H78" s="635"/>
      <c r="I78" s="477"/>
      <c r="J78" s="477"/>
      <c r="K78" s="1693">
        <f t="shared" ref="K78:K83" si="11">SUM(C78:J78)</f>
        <v>3920</v>
      </c>
      <c r="L78" s="481">
        <v>3920</v>
      </c>
    </row>
    <row r="79" spans="1:14" x14ac:dyDescent="0.2">
      <c r="A79" s="1526" t="s">
        <v>322</v>
      </c>
      <c r="B79" s="615">
        <v>4120</v>
      </c>
      <c r="C79" s="617"/>
      <c r="D79" s="617"/>
      <c r="E79" s="466">
        <v>1447470</v>
      </c>
      <c r="F79" s="617"/>
      <c r="G79" s="617"/>
      <c r="H79" s="466"/>
      <c r="I79" s="477"/>
      <c r="J79" s="477"/>
      <c r="K79" s="1693">
        <f t="shared" si="11"/>
        <v>1447470</v>
      </c>
      <c r="L79" s="466">
        <v>1525000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1451390</v>
      </c>
      <c r="F84" s="617"/>
      <c r="G84" s="617"/>
      <c r="H84" s="1692">
        <f>SUM(H78:H83)</f>
        <v>0</v>
      </c>
      <c r="I84" s="477"/>
      <c r="J84" s="477"/>
      <c r="K84" s="1692">
        <f>SUM(K78:K83)</f>
        <v>1451390</v>
      </c>
      <c r="L84" s="1692">
        <f>SUM(L78:L83)</f>
        <v>1528920</v>
      </c>
    </row>
    <row r="85" spans="1:12" ht="12.75" customHeight="1" thickTop="1" thickBot="1" x14ac:dyDescent="0.25">
      <c r="A85" s="1533" t="s">
        <v>273</v>
      </c>
      <c r="B85" s="636">
        <v>4210</v>
      </c>
      <c r="C85" s="617"/>
      <c r="D85" s="617"/>
      <c r="E85" s="637"/>
      <c r="F85" s="617"/>
      <c r="G85" s="617"/>
      <c r="H85" s="535">
        <v>975</v>
      </c>
      <c r="I85" s="477"/>
      <c r="J85" s="477"/>
      <c r="K85" s="1699">
        <f>H85</f>
        <v>975</v>
      </c>
      <c r="L85" s="530">
        <v>10000</v>
      </c>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v>10000</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975</v>
      </c>
      <c r="I92" s="477"/>
      <c r="J92" s="477"/>
      <c r="K92" s="1699">
        <f t="shared" si="12"/>
        <v>975</v>
      </c>
      <c r="L92" s="1692">
        <f>SUM(L85:L91)</f>
        <v>20000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v>6074</v>
      </c>
      <c r="I98" s="477"/>
      <c r="J98" s="477"/>
      <c r="K98" s="1699">
        <f t="shared" si="12"/>
        <v>6074</v>
      </c>
      <c r="L98" s="530">
        <v>6074</v>
      </c>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6074</v>
      </c>
      <c r="I100" s="477"/>
      <c r="J100" s="477"/>
      <c r="K100" s="1699">
        <f>SUM(K93:K99)</f>
        <v>6074</v>
      </c>
      <c r="L100" s="1699">
        <f>SUM(L93:L99)</f>
        <v>6074</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1451390</v>
      </c>
      <c r="F102" s="617"/>
      <c r="G102" s="617"/>
      <c r="H102" s="1699">
        <f>SUM(H84,H92,H100,H101)</f>
        <v>7049</v>
      </c>
      <c r="I102" s="477"/>
      <c r="J102" s="477"/>
      <c r="K102" s="1699">
        <f>SUM(K84,K92,K100,K101)</f>
        <v>1458439</v>
      </c>
      <c r="L102" s="1699">
        <f>SUM(L84,L92,L100,L101)</f>
        <v>1554994</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6253751</v>
      </c>
      <c r="D114" s="1692">
        <f t="shared" ref="D114:K114" si="13">SUM(D33,D74,D75,D102,D112,D113)</f>
        <v>867149</v>
      </c>
      <c r="E114" s="1692">
        <f t="shared" si="13"/>
        <v>1684883</v>
      </c>
      <c r="F114" s="1692">
        <f t="shared" si="13"/>
        <v>641770</v>
      </c>
      <c r="G114" s="1692">
        <f t="shared" si="13"/>
        <v>70261</v>
      </c>
      <c r="H114" s="1692">
        <f>SUM(H33,H74,H75,H102,H112,H113)</f>
        <v>127643</v>
      </c>
      <c r="I114" s="1692">
        <f t="shared" si="13"/>
        <v>0</v>
      </c>
      <c r="J114" s="1692">
        <f t="shared" si="13"/>
        <v>0</v>
      </c>
      <c r="K114" s="1692">
        <f t="shared" si="13"/>
        <v>9645457</v>
      </c>
      <c r="L114" s="1692">
        <f>SUM(L33,L74,L75,L102,L112,L113)</f>
        <v>10222679</v>
      </c>
    </row>
    <row r="115" spans="1:14" ht="13.5" thickTop="1" x14ac:dyDescent="0.2">
      <c r="A115" s="2197" t="s">
        <v>1053</v>
      </c>
      <c r="B115" s="2198"/>
      <c r="C115" s="619"/>
      <c r="D115" s="619"/>
      <c r="E115" s="619"/>
      <c r="F115" s="619"/>
      <c r="G115" s="619"/>
      <c r="H115" s="619"/>
      <c r="I115" s="619"/>
      <c r="J115" s="619"/>
      <c r="K115" s="1706">
        <f>'Revenues 9-14'!C275-'Expenditures 15-22'!K114</f>
        <v>437489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f>299555+13640+14634</f>
        <v>327829</v>
      </c>
      <c r="D124" s="466">
        <v>56644</v>
      </c>
      <c r="E124" s="466">
        <f>24978+33728+58094+1363+1147+2542+3226+6656+13825+458+8235+12634+5615+4114-20+110+1486</f>
        <v>178191</v>
      </c>
      <c r="F124" s="466">
        <f>50008+22781+5804+11900+33462+4768+5122+26532+79682+86386+7811-1</f>
        <v>334255</v>
      </c>
      <c r="G124" s="466"/>
      <c r="H124" s="466"/>
      <c r="I124" s="467"/>
      <c r="J124" s="467"/>
      <c r="K124" s="1692">
        <f>SUM(C124:J124)</f>
        <v>896919</v>
      </c>
      <c r="L124" s="466">
        <f>1060350-6500</f>
        <v>1053850</v>
      </c>
    </row>
    <row r="125" spans="1:14" ht="14.25" thickTop="1" thickBot="1" x14ac:dyDescent="0.25">
      <c r="A125" s="1526" t="s">
        <v>1010</v>
      </c>
      <c r="B125" s="615">
        <v>2550</v>
      </c>
      <c r="C125" s="466"/>
      <c r="D125" s="466"/>
      <c r="E125" s="466"/>
      <c r="F125" s="466">
        <v>3533</v>
      </c>
      <c r="G125" s="466"/>
      <c r="H125" s="466"/>
      <c r="I125" s="467"/>
      <c r="J125" s="467"/>
      <c r="K125" s="1692">
        <f>SUM(C125:J125)</f>
        <v>3533</v>
      </c>
      <c r="L125" s="466">
        <f>4500+2000</f>
        <v>6500</v>
      </c>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327829</v>
      </c>
      <c r="D127" s="1692">
        <f t="shared" ref="D127:L127" si="14">SUM(D122:D126)</f>
        <v>56644</v>
      </c>
      <c r="E127" s="1692">
        <f t="shared" si="14"/>
        <v>178191</v>
      </c>
      <c r="F127" s="1692">
        <f t="shared" si="14"/>
        <v>337788</v>
      </c>
      <c r="G127" s="1692">
        <f t="shared" si="14"/>
        <v>0</v>
      </c>
      <c r="H127" s="1692">
        <f t="shared" si="14"/>
        <v>0</v>
      </c>
      <c r="I127" s="1692">
        <f t="shared" si="14"/>
        <v>0</v>
      </c>
      <c r="J127" s="1692">
        <f t="shared" si="14"/>
        <v>0</v>
      </c>
      <c r="K127" s="1692">
        <f t="shared" si="14"/>
        <v>900452</v>
      </c>
      <c r="L127" s="1692">
        <f t="shared" si="14"/>
        <v>1060350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327829</v>
      </c>
      <c r="D129" s="1699">
        <f t="shared" ref="D129:L129" si="15">SUM(D120,D127,D128)</f>
        <v>56644</v>
      </c>
      <c r="E129" s="1699">
        <f t="shared" si="15"/>
        <v>178191</v>
      </c>
      <c r="F129" s="1699">
        <f t="shared" si="15"/>
        <v>337788</v>
      </c>
      <c r="G129" s="1699">
        <f t="shared" si="15"/>
        <v>0</v>
      </c>
      <c r="H129" s="1699">
        <f t="shared" si="15"/>
        <v>0</v>
      </c>
      <c r="I129" s="1699">
        <f t="shared" si="15"/>
        <v>0</v>
      </c>
      <c r="J129" s="1699">
        <f t="shared" si="15"/>
        <v>0</v>
      </c>
      <c r="K129" s="1699">
        <f t="shared" si="15"/>
        <v>900452</v>
      </c>
      <c r="L129" s="1699">
        <f t="shared" si="15"/>
        <v>1060350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1955</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7" t="s">
        <v>641</v>
      </c>
      <c r="B151" s="2169"/>
      <c r="C151" s="1692">
        <f>SUM(C129,C130,C139,C149,C150)</f>
        <v>327829</v>
      </c>
      <c r="D151" s="1692">
        <f t="shared" ref="D151:K151" si="16">SUM(D129,D130,D139,D149,D150)</f>
        <v>56644</v>
      </c>
      <c r="E151" s="1692">
        <f t="shared" si="16"/>
        <v>178191</v>
      </c>
      <c r="F151" s="1692">
        <f t="shared" si="16"/>
        <v>337788</v>
      </c>
      <c r="G151" s="1692">
        <f t="shared" si="16"/>
        <v>0</v>
      </c>
      <c r="H151" s="1692">
        <f t="shared" si="16"/>
        <v>0</v>
      </c>
      <c r="I151" s="1692">
        <f t="shared" si="16"/>
        <v>0</v>
      </c>
      <c r="J151" s="1692">
        <f t="shared" si="16"/>
        <v>0</v>
      </c>
      <c r="K151" s="1692">
        <f t="shared" si="16"/>
        <v>900452</v>
      </c>
      <c r="L151" s="1692">
        <f>SUM(L129,L130,L139,L149,L150)</f>
        <v>1060350</v>
      </c>
    </row>
    <row r="152" spans="1:14" ht="12.75" customHeight="1" thickTop="1" x14ac:dyDescent="0.2">
      <c r="A152" s="2190" t="s">
        <v>1240</v>
      </c>
      <c r="B152" s="2191"/>
      <c r="C152" s="619"/>
      <c r="D152" s="619"/>
      <c r="E152" s="619"/>
      <c r="F152" s="619"/>
      <c r="G152" s="619"/>
      <c r="H152" s="619"/>
      <c r="I152" s="619"/>
      <c r="J152" s="617"/>
      <c r="K152" s="1706">
        <f>'Revenues 9-14'!D275-'Expenditures 15-22'!K151</f>
        <v>-15730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1956</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1955</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1957</v>
      </c>
      <c r="C158" s="617"/>
      <c r="D158" s="617"/>
      <c r="E158" s="617"/>
      <c r="F158" s="617"/>
      <c r="G158" s="617"/>
      <c r="H158" s="467"/>
      <c r="I158" s="617"/>
      <c r="J158" s="617"/>
      <c r="K158" s="1693">
        <f>H158</f>
        <v>0</v>
      </c>
      <c r="L158" s="467"/>
      <c r="M158" s="620"/>
      <c r="N158" s="620"/>
    </row>
    <row r="159" spans="1:14" s="621" customFormat="1" ht="12" x14ac:dyDescent="0.2">
      <c r="A159" s="1849" t="s">
        <v>1958</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1959</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f>88655+36+1</f>
        <v>88692</v>
      </c>
      <c r="I169" s="617"/>
      <c r="J169" s="617"/>
      <c r="K169" s="1693">
        <f>SUM(C169:H169)</f>
        <v>88692</v>
      </c>
      <c r="L169" s="657">
        <v>88700</v>
      </c>
    </row>
    <row r="170" spans="1:14" ht="33.75" customHeight="1" x14ac:dyDescent="0.2">
      <c r="A170" s="670" t="s">
        <v>1769</v>
      </c>
      <c r="B170" s="672" t="s">
        <v>31</v>
      </c>
      <c r="C170" s="617"/>
      <c r="D170" s="617"/>
      <c r="E170" s="617"/>
      <c r="F170" s="617"/>
      <c r="G170" s="617"/>
      <c r="H170" s="569">
        <f>909000+4449-36</f>
        <v>913413</v>
      </c>
      <c r="I170" s="617"/>
      <c r="J170" s="617"/>
      <c r="K170" s="1693">
        <f>SUM(C170:J170)</f>
        <v>913413</v>
      </c>
      <c r="L170" s="569">
        <f>909000+5000</f>
        <v>914000</v>
      </c>
    </row>
    <row r="171" spans="1:14" ht="15.75" customHeight="1" x14ac:dyDescent="0.2">
      <c r="A171" s="622" t="s">
        <v>790</v>
      </c>
      <c r="B171" s="673" t="s">
        <v>86</v>
      </c>
      <c r="C171" s="617"/>
      <c r="D171" s="617"/>
      <c r="E171" s="466"/>
      <c r="F171" s="617"/>
      <c r="G171" s="617"/>
      <c r="H171" s="569">
        <v>265</v>
      </c>
      <c r="I171" s="477"/>
      <c r="J171" s="617"/>
      <c r="K171" s="1693">
        <f>SUM(C171:J171)</f>
        <v>265</v>
      </c>
      <c r="L171" s="569">
        <v>1000</v>
      </c>
    </row>
    <row r="172" spans="1:14" ht="12.75" customHeight="1" thickBot="1" x14ac:dyDescent="0.25">
      <c r="A172" s="1690" t="s">
        <v>659</v>
      </c>
      <c r="B172" s="1691" t="s">
        <v>513</v>
      </c>
      <c r="C172" s="617"/>
      <c r="D172" s="617"/>
      <c r="E172" s="1699">
        <f>SUM(E168,E169,E170,E171)</f>
        <v>0</v>
      </c>
      <c r="F172" s="617"/>
      <c r="G172" s="617"/>
      <c r="H172" s="1699">
        <f>SUM(H168,H169,H170,H171)</f>
        <v>1002370</v>
      </c>
      <c r="I172" s="639"/>
      <c r="J172" s="617"/>
      <c r="K172" s="1699">
        <f>SUM(K168,K169,K170,K171)</f>
        <v>1002370</v>
      </c>
      <c r="L172" s="1699">
        <f>SUM(L168,L169,L170,L171)</f>
        <v>1003700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1002370</v>
      </c>
      <c r="I174" s="639"/>
      <c r="J174" s="617"/>
      <c r="K174" s="1699">
        <f>SUM(K160,K172,K173)</f>
        <v>1002370</v>
      </c>
      <c r="L174" s="1699">
        <f>SUM(L160,L172,L173)</f>
        <v>1003700</v>
      </c>
    </row>
    <row r="175" spans="1:14" ht="13.5" thickTop="1" x14ac:dyDescent="0.2">
      <c r="A175" s="2197" t="s">
        <v>1053</v>
      </c>
      <c r="B175" s="2198"/>
      <c r="C175" s="617"/>
      <c r="D175" s="617"/>
      <c r="E175" s="617"/>
      <c r="F175" s="617"/>
      <c r="G175" s="617"/>
      <c r="H175" s="619"/>
      <c r="I175" s="617"/>
      <c r="J175" s="617"/>
      <c r="K175" s="1706">
        <f>'Revenues 9-14'!E275-'Expenditures 15-22'!K174</f>
        <v>-4469</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f>3227+270054+23552+28500+13459+47821+34158-1</f>
        <v>420770</v>
      </c>
      <c r="D182" s="466">
        <f>6794+6794+2369</f>
        <v>15957</v>
      </c>
      <c r="E182" s="466">
        <f>5948+609+3705+403+7123+410</f>
        <v>18198</v>
      </c>
      <c r="F182" s="466">
        <f>2384+68945+43853+2986+7543+6995-2</f>
        <v>132704</v>
      </c>
      <c r="G182" s="466">
        <v>78934</v>
      </c>
      <c r="H182" s="466">
        <v>164</v>
      </c>
      <c r="I182" s="467"/>
      <c r="J182" s="467"/>
      <c r="K182" s="1693">
        <f>SUM(C182:J182)</f>
        <v>666727</v>
      </c>
      <c r="L182" s="466">
        <v>699195</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420770</v>
      </c>
      <c r="D184" s="1699">
        <f t="shared" ref="D184:J184" si="17">SUM(D180,D182,D183)</f>
        <v>15957</v>
      </c>
      <c r="E184" s="1699">
        <f t="shared" si="17"/>
        <v>18198</v>
      </c>
      <c r="F184" s="1699">
        <f t="shared" si="17"/>
        <v>132704</v>
      </c>
      <c r="G184" s="1699">
        <f t="shared" si="17"/>
        <v>78934</v>
      </c>
      <c r="H184" s="1699">
        <f t="shared" si="17"/>
        <v>164</v>
      </c>
      <c r="I184" s="1699">
        <f t="shared" si="17"/>
        <v>0</v>
      </c>
      <c r="J184" s="1699">
        <f t="shared" si="17"/>
        <v>0</v>
      </c>
      <c r="K184" s="1699">
        <f>SUM(K180,K182,K183)</f>
        <v>666727</v>
      </c>
      <c r="L184" s="1699">
        <f>SUM(L180, L182:L183)</f>
        <v>699195</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420770</v>
      </c>
      <c r="D210" s="1692">
        <f>SUM(D184,D185)</f>
        <v>15957</v>
      </c>
      <c r="E210" s="1692">
        <f>SUM(E184,E185,E196)</f>
        <v>18198</v>
      </c>
      <c r="F210" s="1692">
        <f>SUM(F184,F185)</f>
        <v>132704</v>
      </c>
      <c r="G210" s="1692">
        <f>SUM(G184,G185)</f>
        <v>78934</v>
      </c>
      <c r="H210" s="1692">
        <f>SUM(H184,H185,H196,H208,H209)</f>
        <v>164</v>
      </c>
      <c r="I210" s="1692">
        <f>SUM(I184,I185)</f>
        <v>0</v>
      </c>
      <c r="J210" s="1692">
        <f>SUM(J184,J185)</f>
        <v>0</v>
      </c>
      <c r="K210" s="1693">
        <f>SUM(K184,K185,K196,K208,K209)</f>
        <v>666727</v>
      </c>
      <c r="L210" s="1692">
        <f>SUM(L184,L185,L196,L208,L209)</f>
        <v>699195</v>
      </c>
    </row>
    <row r="211" spans="1:14" ht="13.5" thickTop="1" x14ac:dyDescent="0.2">
      <c r="A211" s="2197" t="s">
        <v>1053</v>
      </c>
      <c r="B211" s="2198"/>
      <c r="C211" s="619"/>
      <c r="D211" s="619"/>
      <c r="E211" s="619"/>
      <c r="F211" s="619"/>
      <c r="G211" s="619"/>
      <c r="H211" s="619"/>
      <c r="I211" s="617"/>
      <c r="J211" s="617"/>
      <c r="K211" s="1706">
        <f>'Revenues 9-14'!F275-'Expenditures 15-22'!K210</f>
        <v>79767</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f>422+94+5802+3546+23350+13832+2691+1488+16705</f>
        <v>67930</v>
      </c>
      <c r="E215" s="617"/>
      <c r="F215" s="617"/>
      <c r="G215" s="617"/>
      <c r="H215" s="617"/>
      <c r="I215" s="617"/>
      <c r="J215" s="617"/>
      <c r="K215" s="1693">
        <f>D215</f>
        <v>67930</v>
      </c>
      <c r="L215" s="466">
        <f>508+95+7000+4500+24000+25+14000+3000+1600+17000</f>
        <v>71728</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f>27+757+179+39+255</f>
        <v>1257</v>
      </c>
      <c r="E217" s="617"/>
      <c r="F217" s="617"/>
      <c r="G217" s="617"/>
      <c r="H217" s="617"/>
      <c r="I217" s="617"/>
      <c r="J217" s="617"/>
      <c r="K217" s="1693">
        <f t="shared" si="19"/>
        <v>1257</v>
      </c>
      <c r="L217" s="466">
        <f>30+1200+300+50+280</f>
        <v>1860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f>5442+5+2984+2+1869+233+6</f>
        <v>10541</v>
      </c>
      <c r="E219" s="617"/>
      <c r="F219" s="617"/>
      <c r="G219" s="617"/>
      <c r="H219" s="617"/>
      <c r="I219" s="617"/>
      <c r="J219" s="617"/>
      <c r="K219" s="1693">
        <f t="shared" si="19"/>
        <v>10541</v>
      </c>
      <c r="L219" s="466">
        <f>5964+5+3510+3+2230+233+15</f>
        <v>11960</v>
      </c>
    </row>
    <row r="220" spans="1:14" x14ac:dyDescent="0.2">
      <c r="A220" s="1526" t="s">
        <v>298</v>
      </c>
      <c r="B220" s="615" t="s">
        <v>163</v>
      </c>
      <c r="C220" s="617"/>
      <c r="D220" s="467">
        <f>2906+9+1748+5+1428+189</f>
        <v>6285</v>
      </c>
      <c r="E220" s="617"/>
      <c r="F220" s="617"/>
      <c r="G220" s="617"/>
      <c r="H220" s="617"/>
      <c r="I220" s="617"/>
      <c r="J220" s="617"/>
      <c r="K220" s="1693">
        <f t="shared" si="19"/>
        <v>6285</v>
      </c>
      <c r="L220" s="466">
        <f>3100+9+2000+5+1605+189</f>
        <v>6908</v>
      </c>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2692</v>
      </c>
      <c r="E222" s="617"/>
      <c r="F222" s="617"/>
      <c r="G222" s="617"/>
      <c r="H222" s="617"/>
      <c r="I222" s="617"/>
      <c r="J222" s="617"/>
      <c r="K222" s="1693">
        <f t="shared" si="19"/>
        <v>2692</v>
      </c>
      <c r="L222" s="466">
        <v>2800</v>
      </c>
    </row>
    <row r="223" spans="1:14" x14ac:dyDescent="0.2">
      <c r="A223" s="1526" t="s">
        <v>1020</v>
      </c>
      <c r="B223" s="615">
        <v>1500</v>
      </c>
      <c r="C223" s="617"/>
      <c r="D223" s="466">
        <f>6+197+584+216+712+2209</f>
        <v>3924</v>
      </c>
      <c r="E223" s="617"/>
      <c r="F223" s="617"/>
      <c r="G223" s="617"/>
      <c r="H223" s="617"/>
      <c r="I223" s="617"/>
      <c r="J223" s="617"/>
      <c r="K223" s="1693">
        <f t="shared" si="19"/>
        <v>3924</v>
      </c>
      <c r="L223" s="466">
        <f>10+505+700+250+900+2200</f>
        <v>4565</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v>6</v>
      </c>
      <c r="E225" s="617"/>
      <c r="F225" s="617"/>
      <c r="G225" s="617"/>
      <c r="H225" s="617"/>
      <c r="I225" s="617"/>
      <c r="J225" s="617"/>
      <c r="K225" s="1693">
        <f t="shared" si="19"/>
        <v>6</v>
      </c>
      <c r="L225" s="466">
        <v>35</v>
      </c>
    </row>
    <row r="226" spans="1:12" x14ac:dyDescent="0.2">
      <c r="A226" s="1526" t="s">
        <v>748</v>
      </c>
      <c r="B226" s="615" t="s">
        <v>164</v>
      </c>
      <c r="C226" s="617"/>
      <c r="D226" s="467">
        <v>1107</v>
      </c>
      <c r="E226" s="617"/>
      <c r="F226" s="617"/>
      <c r="G226" s="617"/>
      <c r="H226" s="617"/>
      <c r="I226" s="617"/>
      <c r="J226" s="617"/>
      <c r="K226" s="1693">
        <f t="shared" si="19"/>
        <v>1107</v>
      </c>
      <c r="L226" s="466">
        <v>1150</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f>88+329+171</f>
        <v>588</v>
      </c>
      <c r="E228" s="617"/>
      <c r="F228" s="617"/>
      <c r="G228" s="617"/>
      <c r="H228" s="617"/>
      <c r="I228" s="617"/>
      <c r="J228" s="617"/>
      <c r="K228" s="1693">
        <f t="shared" si="19"/>
        <v>588</v>
      </c>
      <c r="L228" s="466">
        <f>400+350+490</f>
        <v>1240</v>
      </c>
    </row>
    <row r="229" spans="1:12" ht="12.75" customHeight="1" thickBot="1" x14ac:dyDescent="0.25">
      <c r="A229" s="1690" t="s">
        <v>739</v>
      </c>
      <c r="B229" s="1697" t="s">
        <v>591</v>
      </c>
      <c r="C229" s="617"/>
      <c r="D229" s="1692">
        <f>SUM(D215:D228)</f>
        <v>94330</v>
      </c>
      <c r="E229" s="617"/>
      <c r="F229" s="617"/>
      <c r="G229" s="617"/>
      <c r="H229" s="617"/>
      <c r="I229" s="617"/>
      <c r="J229" s="617"/>
      <c r="K229" s="1692">
        <f>SUM(K215:K228)</f>
        <v>94330</v>
      </c>
      <c r="L229" s="1692">
        <f>SUM(L215:L228)</f>
        <v>102246</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f>666+132</f>
        <v>798</v>
      </c>
      <c r="E232" s="617"/>
      <c r="F232" s="617"/>
      <c r="G232" s="617"/>
      <c r="H232" s="617"/>
      <c r="I232" s="617"/>
      <c r="J232" s="617"/>
      <c r="K232" s="1693">
        <f t="shared" ref="K232:K237" si="20">D232</f>
        <v>798</v>
      </c>
      <c r="L232" s="466">
        <f>756+133</f>
        <v>889</v>
      </c>
    </row>
    <row r="233" spans="1:12" x14ac:dyDescent="0.2">
      <c r="A233" s="1526" t="s">
        <v>1151</v>
      </c>
      <c r="B233" s="615">
        <v>2120</v>
      </c>
      <c r="C233" s="617"/>
      <c r="D233" s="466">
        <f>1900+1011+3032</f>
        <v>5943</v>
      </c>
      <c r="E233" s="617"/>
      <c r="F233" s="617"/>
      <c r="G233" s="617"/>
      <c r="H233" s="617"/>
      <c r="I233" s="617"/>
      <c r="J233" s="617"/>
      <c r="K233" s="1693">
        <f t="shared" si="20"/>
        <v>5943</v>
      </c>
      <c r="L233" s="466">
        <f>2000+1050+3100</f>
        <v>6150</v>
      </c>
    </row>
    <row r="234" spans="1:12" x14ac:dyDescent="0.2">
      <c r="A234" s="1526" t="s">
        <v>207</v>
      </c>
      <c r="B234" s="615">
        <v>2130</v>
      </c>
      <c r="C234" s="617"/>
      <c r="D234" s="466">
        <f>60+1696</f>
        <v>1756</v>
      </c>
      <c r="E234" s="617"/>
      <c r="F234" s="617"/>
      <c r="G234" s="617"/>
      <c r="H234" s="617"/>
      <c r="I234" s="617"/>
      <c r="J234" s="617"/>
      <c r="K234" s="1693">
        <f t="shared" si="20"/>
        <v>1756</v>
      </c>
      <c r="L234" s="466">
        <f>100+1800</f>
        <v>1900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f>294+69</f>
        <v>363</v>
      </c>
      <c r="E237" s="617"/>
      <c r="F237" s="617"/>
      <c r="G237" s="617"/>
      <c r="H237" s="617"/>
      <c r="I237" s="617"/>
      <c r="J237" s="617"/>
      <c r="K237" s="1693">
        <f t="shared" si="20"/>
        <v>363</v>
      </c>
      <c r="L237" s="466">
        <f>325+75</f>
        <v>400</v>
      </c>
    </row>
    <row r="238" spans="1:12" ht="12.75" customHeight="1" thickBot="1" x14ac:dyDescent="0.25">
      <c r="A238" s="1690" t="s">
        <v>581</v>
      </c>
      <c r="B238" s="1697" t="s">
        <v>740</v>
      </c>
      <c r="C238" s="617"/>
      <c r="D238" s="1692">
        <f>SUM(D232:D237)</f>
        <v>8860</v>
      </c>
      <c r="E238" s="617"/>
      <c r="F238" s="617"/>
      <c r="G238" s="617"/>
      <c r="H238" s="617"/>
      <c r="I238" s="617"/>
      <c r="J238" s="617"/>
      <c r="K238" s="1692">
        <f>SUM(K232:K237)</f>
        <v>8860</v>
      </c>
      <c r="L238" s="1692">
        <f>SUM(L232:L237)</f>
        <v>9339</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f>5+9+26+16+90+13+74+1</f>
        <v>234</v>
      </c>
      <c r="E240" s="617"/>
      <c r="F240" s="617"/>
      <c r="G240" s="617"/>
      <c r="H240" s="617"/>
      <c r="I240" s="617"/>
      <c r="J240" s="617"/>
      <c r="K240" s="1694">
        <f>D240</f>
        <v>234</v>
      </c>
      <c r="L240" s="481">
        <f>689+689+57+143+14+75+100</f>
        <v>1767</v>
      </c>
    </row>
    <row r="241" spans="1:12" x14ac:dyDescent="0.2">
      <c r="A241" s="1526" t="s">
        <v>869</v>
      </c>
      <c r="B241" s="615">
        <v>2220</v>
      </c>
      <c r="C241" s="617"/>
      <c r="D241" s="466">
        <f>5627+3040+1672+14815+7916+1851-3</f>
        <v>34918</v>
      </c>
      <c r="E241" s="617"/>
      <c r="F241" s="617"/>
      <c r="G241" s="617"/>
      <c r="H241" s="617"/>
      <c r="I241" s="617"/>
      <c r="J241" s="617"/>
      <c r="K241" s="1694">
        <f>D241</f>
        <v>34918</v>
      </c>
      <c r="L241" s="466">
        <f>6000+3200+1800+15300+8250+2000</f>
        <v>36550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35152</v>
      </c>
      <c r="E243" s="617"/>
      <c r="F243" s="617"/>
      <c r="G243" s="617"/>
      <c r="H243" s="617"/>
      <c r="I243" s="617"/>
      <c r="J243" s="617"/>
      <c r="K243" s="1692">
        <f>SUM(K240:K242)</f>
        <v>35152</v>
      </c>
      <c r="L243" s="1692">
        <f>SUM(L240:L242)</f>
        <v>38317</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f>6269+49+26+6</f>
        <v>6350</v>
      </c>
      <c r="E245" s="617"/>
      <c r="F245" s="617"/>
      <c r="G245" s="617"/>
      <c r="H245" s="617"/>
      <c r="I245" s="617"/>
      <c r="J245" s="617"/>
      <c r="K245" s="1694">
        <f>D245</f>
        <v>6350</v>
      </c>
      <c r="L245" s="481">
        <f>6300+100+80+20</f>
        <v>6500</v>
      </c>
    </row>
    <row r="246" spans="1:12" x14ac:dyDescent="0.2">
      <c r="A246" s="1526" t="s">
        <v>872</v>
      </c>
      <c r="B246" s="615">
        <v>2320</v>
      </c>
      <c r="C246" s="617"/>
      <c r="D246" s="466">
        <f>3836+2057+2058</f>
        <v>7951</v>
      </c>
      <c r="E246" s="617"/>
      <c r="F246" s="617"/>
      <c r="G246" s="617"/>
      <c r="H246" s="617"/>
      <c r="I246" s="617"/>
      <c r="J246" s="617"/>
      <c r="K246" s="1694">
        <f t="shared" ref="K246:K256" si="21">D246</f>
        <v>7951</v>
      </c>
      <c r="L246" s="466">
        <f>4700+2300+2300</f>
        <v>9300</v>
      </c>
    </row>
    <row r="247" spans="1:12" x14ac:dyDescent="0.2">
      <c r="A247" s="1526" t="s">
        <v>873</v>
      </c>
      <c r="B247" s="615">
        <v>2330</v>
      </c>
      <c r="C247" s="617"/>
      <c r="D247" s="466">
        <f>459+87+248+48+58+11</f>
        <v>911</v>
      </c>
      <c r="E247" s="617"/>
      <c r="F247" s="617"/>
      <c r="G247" s="617"/>
      <c r="H247" s="617"/>
      <c r="I247" s="617"/>
      <c r="J247" s="617"/>
      <c r="K247" s="1694">
        <f t="shared" si="21"/>
        <v>911</v>
      </c>
      <c r="L247" s="466">
        <f>530+88+351+49+100+12</f>
        <v>1130</v>
      </c>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1906</v>
      </c>
      <c r="B249" s="684" t="s">
        <v>300</v>
      </c>
      <c r="C249" s="617"/>
      <c r="D249" s="474"/>
      <c r="E249" s="617"/>
      <c r="F249" s="617"/>
      <c r="G249" s="617"/>
      <c r="H249" s="617"/>
      <c r="I249" s="617"/>
      <c r="J249" s="617"/>
      <c r="K249" s="1694">
        <f t="shared" si="21"/>
        <v>0</v>
      </c>
      <c r="L249" s="466"/>
    </row>
    <row r="250" spans="1:12" x14ac:dyDescent="0.2">
      <c r="A250" s="1527" t="s">
        <v>1907</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15212</v>
      </c>
      <c r="E257" s="617"/>
      <c r="F257" s="617"/>
      <c r="G257" s="617"/>
      <c r="H257" s="617"/>
      <c r="I257" s="617"/>
      <c r="J257" s="617"/>
      <c r="K257" s="1692">
        <f>SUM(K245:K256)</f>
        <v>15212</v>
      </c>
      <c r="L257" s="1692">
        <f>SUM(L245:L256)</f>
        <v>16930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f>20636+11032+6631</f>
        <v>38299</v>
      </c>
      <c r="E259" s="617"/>
      <c r="F259" s="617"/>
      <c r="G259" s="617"/>
      <c r="H259" s="617"/>
      <c r="I259" s="617"/>
      <c r="J259" s="617"/>
      <c r="K259" s="1694">
        <f>D259</f>
        <v>38299</v>
      </c>
      <c r="L259" s="481">
        <f>22000+12000+7000</f>
        <v>41000</v>
      </c>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38299</v>
      </c>
      <c r="E261" s="617"/>
      <c r="F261" s="617"/>
      <c r="G261" s="617"/>
      <c r="H261" s="617"/>
      <c r="I261" s="617"/>
      <c r="J261" s="617"/>
      <c r="K261" s="1692">
        <f>SUM(K259:K260)</f>
        <v>38299</v>
      </c>
      <c r="L261" s="1692">
        <f>SUM(L259:L260)</f>
        <v>41000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f>12601+6731+1574</f>
        <v>20906</v>
      </c>
      <c r="E264" s="617"/>
      <c r="F264" s="617"/>
      <c r="G264" s="617"/>
      <c r="H264" s="617"/>
      <c r="I264" s="617"/>
      <c r="J264" s="617"/>
      <c r="K264" s="1694">
        <f t="shared" ref="K264:K269" si="22">D264</f>
        <v>20906</v>
      </c>
      <c r="L264" s="466">
        <f>13000+6800+1600</f>
        <v>21400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f>34927+19488+4558</f>
        <v>58973</v>
      </c>
      <c r="E266" s="617"/>
      <c r="F266" s="617"/>
      <c r="G266" s="617"/>
      <c r="H266" s="617"/>
      <c r="I266" s="617"/>
      <c r="J266" s="617"/>
      <c r="K266" s="1694">
        <f t="shared" si="22"/>
        <v>58973</v>
      </c>
      <c r="L266" s="466">
        <f>36300+20600+5050</f>
        <v>61950</v>
      </c>
    </row>
    <row r="267" spans="1:14" x14ac:dyDescent="0.2">
      <c r="A267" s="1526" t="s">
        <v>1010</v>
      </c>
      <c r="B267" s="615">
        <v>2550</v>
      </c>
      <c r="C267" s="617"/>
      <c r="D267" s="466">
        <f>351+196+46+31256+19907+4656+996+834+195+5388+2879+673+3860+2081+487+1</f>
        <v>73806</v>
      </c>
      <c r="E267" s="617"/>
      <c r="F267" s="617"/>
      <c r="G267" s="617"/>
      <c r="H267" s="617"/>
      <c r="I267" s="617"/>
      <c r="J267" s="617"/>
      <c r="K267" s="1694">
        <f t="shared" si="22"/>
        <v>73806</v>
      </c>
      <c r="L267" s="466">
        <f>130+84+46+32800+20500+4800+1300+1000+275+5600+2900+700+4100+2200+550</f>
        <v>76985</v>
      </c>
    </row>
    <row r="268" spans="1:14" x14ac:dyDescent="0.2">
      <c r="A268" s="1526" t="s">
        <v>102</v>
      </c>
      <c r="B268" s="615">
        <v>2560</v>
      </c>
      <c r="C268" s="617"/>
      <c r="D268" s="466">
        <f>20584+11116+2600</f>
        <v>34300</v>
      </c>
      <c r="E268" s="617"/>
      <c r="F268" s="617"/>
      <c r="G268" s="617"/>
      <c r="H268" s="617"/>
      <c r="I268" s="617"/>
      <c r="J268" s="617"/>
      <c r="K268" s="1694">
        <f t="shared" si="22"/>
        <v>34300</v>
      </c>
      <c r="L268" s="466">
        <f>23000+12400+2900</f>
        <v>38300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187985</v>
      </c>
      <c r="E270" s="617"/>
      <c r="F270" s="617"/>
      <c r="G270" s="617"/>
      <c r="H270" s="617"/>
      <c r="I270" s="617"/>
      <c r="J270" s="617"/>
      <c r="K270" s="1692">
        <f>SUM(K263:K269)</f>
        <v>187985</v>
      </c>
      <c r="L270" s="1692">
        <f>SUM(L263:L269)</f>
        <v>198635</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285508</v>
      </c>
      <c r="E279" s="617"/>
      <c r="F279" s="617"/>
      <c r="G279" s="617"/>
      <c r="H279" s="617"/>
      <c r="I279" s="617"/>
      <c r="J279" s="617"/>
      <c r="K279" s="1699">
        <f>SUM(K238,K243,K257,K261,K270,K277,K278)</f>
        <v>285508</v>
      </c>
      <c r="L279" s="1699">
        <f>SUM(L238,L243,L257,L261,L270,L277,L278)</f>
        <v>304221</v>
      </c>
    </row>
    <row r="280" spans="1:12" ht="15.75" customHeight="1" thickTop="1" thickBot="1" x14ac:dyDescent="0.25">
      <c r="A280" s="1646" t="s">
        <v>930</v>
      </c>
      <c r="B280" s="1635">
        <v>3000</v>
      </c>
      <c r="C280" s="617"/>
      <c r="D280" s="576">
        <f>6+8+21</f>
        <v>35</v>
      </c>
      <c r="E280" s="617"/>
      <c r="F280" s="617"/>
      <c r="G280" s="617"/>
      <c r="H280" s="617"/>
      <c r="I280" s="617"/>
      <c r="J280" s="617"/>
      <c r="K280" s="1701">
        <f>D280</f>
        <v>35</v>
      </c>
      <c r="L280" s="576">
        <f>16+20+25</f>
        <v>61</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1955</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92">
        <f>SUM(D229,D279,D280,D285)</f>
        <v>379873</v>
      </c>
      <c r="E295" s="617"/>
      <c r="F295" s="617"/>
      <c r="G295" s="617"/>
      <c r="H295" s="1692">
        <f>H293</f>
        <v>0</v>
      </c>
      <c r="I295" s="617"/>
      <c r="J295" s="617"/>
      <c r="K295" s="1692">
        <f>SUM(K229,K279,K280,K285,K293,K294)</f>
        <v>379873</v>
      </c>
      <c r="L295" s="1692">
        <f>SUM(L229,L279,L280,L285,L293,L294)</f>
        <v>406528</v>
      </c>
    </row>
    <row r="296" spans="1:14" ht="13.5" thickTop="1" x14ac:dyDescent="0.2">
      <c r="A296" s="2197" t="s">
        <v>1053</v>
      </c>
      <c r="B296" s="2198"/>
      <c r="C296" s="617"/>
      <c r="D296" s="619"/>
      <c r="E296" s="617"/>
      <c r="F296" s="617"/>
      <c r="G296" s="617"/>
      <c r="H296" s="688"/>
      <c r="I296" s="617"/>
      <c r="J296" s="617"/>
      <c r="K296" s="1706">
        <f>'Revenues 9-14'!G275-'Expenditures 15-22'!K295</f>
        <v>20175</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f>161303-1</f>
        <v>161302</v>
      </c>
      <c r="H301" s="466"/>
      <c r="I301" s="467"/>
      <c r="J301" s="467"/>
      <c r="K301" s="1693">
        <f>SUM(C301:J301)</f>
        <v>161302</v>
      </c>
      <c r="L301" s="467">
        <v>250000</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161302</v>
      </c>
      <c r="H303" s="1699">
        <f t="shared" si="23"/>
        <v>0</v>
      </c>
      <c r="I303" s="1699">
        <f t="shared" si="23"/>
        <v>0</v>
      </c>
      <c r="J303" s="1699">
        <f t="shared" si="23"/>
        <v>0</v>
      </c>
      <c r="K303" s="1699">
        <f t="shared" si="23"/>
        <v>161302</v>
      </c>
      <c r="L303" s="1699">
        <f t="shared" si="23"/>
        <v>250000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92">
        <f>SUM(C303)</f>
        <v>0</v>
      </c>
      <c r="D312" s="1692">
        <f>SUM(D303)</f>
        <v>0</v>
      </c>
      <c r="E312" s="1692">
        <f>SUM(E303,E310)</f>
        <v>0</v>
      </c>
      <c r="F312" s="1692">
        <f>SUM(F303)</f>
        <v>0</v>
      </c>
      <c r="G312" s="1692">
        <f>SUM(G303)</f>
        <v>161302</v>
      </c>
      <c r="H312" s="1692">
        <f>SUM(H303,H310)</f>
        <v>0</v>
      </c>
      <c r="I312" s="1692">
        <f>SUM(I303)</f>
        <v>0</v>
      </c>
      <c r="J312" s="1692">
        <f>SUM(J303)</f>
        <v>0</v>
      </c>
      <c r="K312" s="1692">
        <f>SUM(K303,K310,K311)</f>
        <v>161302</v>
      </c>
      <c r="L312" s="1692">
        <f>SUM(L303,L310,L311)</f>
        <v>250000</v>
      </c>
      <c r="M312" s="666"/>
      <c r="N312" s="666"/>
    </row>
    <row r="313" spans="1:14" ht="13.5" thickTop="1" x14ac:dyDescent="0.2">
      <c r="A313" s="2181" t="s">
        <v>1053</v>
      </c>
      <c r="B313" s="2182"/>
      <c r="C313" s="627"/>
      <c r="D313" s="627"/>
      <c r="E313" s="627"/>
      <c r="F313" s="627"/>
      <c r="G313" s="627"/>
      <c r="H313" s="627"/>
      <c r="I313" s="627"/>
      <c r="J313" s="627"/>
      <c r="K313" s="1707">
        <f>'Revenues 9-14'!H275-'Expenditures 15-22'!K312</f>
        <v>261695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300</v>
      </c>
      <c r="C320" s="467"/>
      <c r="D320" s="467"/>
      <c r="E320" s="467">
        <v>73736</v>
      </c>
      <c r="F320" s="467"/>
      <c r="G320" s="467"/>
      <c r="H320" s="467"/>
      <c r="I320" s="467"/>
      <c r="J320" s="467"/>
      <c r="K320" s="1693">
        <f t="shared" ref="K320:K327" si="24">SUM(C320:J320)</f>
        <v>73736</v>
      </c>
      <c r="L320" s="467">
        <v>90000</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36775</v>
      </c>
      <c r="F322" s="467"/>
      <c r="G322" s="467"/>
      <c r="H322" s="467"/>
      <c r="I322" s="467"/>
      <c r="J322" s="467"/>
      <c r="K322" s="1693">
        <f t="shared" si="24"/>
        <v>36775</v>
      </c>
      <c r="L322" s="467">
        <v>45000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v>10000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f>240+41036</f>
        <v>41276</v>
      </c>
      <c r="F325" s="467"/>
      <c r="G325" s="467"/>
      <c r="H325" s="467"/>
      <c r="I325" s="467"/>
      <c r="J325" s="467"/>
      <c r="K325" s="1693">
        <f t="shared" si="24"/>
        <v>41276</v>
      </c>
      <c r="L325" s="467">
        <f>10000+45000+5000</f>
        <v>60000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23299</v>
      </c>
      <c r="F327" s="467"/>
      <c r="G327" s="467"/>
      <c r="H327" s="467"/>
      <c r="I327" s="467"/>
      <c r="J327" s="467"/>
      <c r="K327" s="1693">
        <f t="shared" si="24"/>
        <v>23299</v>
      </c>
      <c r="L327" s="467">
        <v>32000</v>
      </c>
      <c r="M327" s="666"/>
      <c r="N327" s="666"/>
    </row>
    <row r="328" spans="1:14" s="675" customFormat="1" x14ac:dyDescent="0.2">
      <c r="A328" s="1542" t="s">
        <v>492</v>
      </c>
      <c r="B328" s="691" t="s">
        <v>1194</v>
      </c>
      <c r="C328" s="474"/>
      <c r="D328" s="474"/>
      <c r="E328" s="474">
        <v>74582</v>
      </c>
      <c r="F328" s="474"/>
      <c r="G328" s="474"/>
      <c r="H328" s="474"/>
      <c r="I328" s="474"/>
      <c r="J328" s="474"/>
      <c r="K328" s="1721">
        <f>SUM(C328:J328)</f>
        <v>74582</v>
      </c>
      <c r="L328" s="474">
        <v>75000</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249668</v>
      </c>
      <c r="F330" s="1692">
        <f t="shared" si="25"/>
        <v>0</v>
      </c>
      <c r="G330" s="1692">
        <f t="shared" si="25"/>
        <v>0</v>
      </c>
      <c r="H330" s="1692">
        <f t="shared" si="25"/>
        <v>0</v>
      </c>
      <c r="I330" s="1692">
        <f t="shared" si="25"/>
        <v>0</v>
      </c>
      <c r="J330" s="1692">
        <f t="shared" si="25"/>
        <v>0</v>
      </c>
      <c r="K330" s="1692">
        <f>SUM(K319:K329)</f>
        <v>249668</v>
      </c>
      <c r="L330" s="1692">
        <f>SUM(L319:L329)</f>
        <v>312000</v>
      </c>
      <c r="M330" s="666"/>
      <c r="N330" s="666"/>
    </row>
    <row r="331" spans="1:14" s="675" customFormat="1" ht="12.75" customHeight="1" thickTop="1" x14ac:dyDescent="0.2">
      <c r="A331" s="1854" t="s">
        <v>1961</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1955</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1957</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1962</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249668</v>
      </c>
      <c r="F342" s="1692">
        <f>SUM(F330)</f>
        <v>0</v>
      </c>
      <c r="G342" s="1692">
        <f>SUM(G330)</f>
        <v>0</v>
      </c>
      <c r="H342" s="1692">
        <f>SUM(H330,H334,H340)</f>
        <v>0</v>
      </c>
      <c r="I342" s="1692">
        <f>SUM(I330)</f>
        <v>0</v>
      </c>
      <c r="J342" s="1692">
        <f>SUM(J330)</f>
        <v>0</v>
      </c>
      <c r="K342" s="1692">
        <f>SUM(K330,K334,K340)</f>
        <v>249668</v>
      </c>
      <c r="L342" s="1699">
        <f>SUM(L330,L340,L341)</f>
        <v>312000</v>
      </c>
    </row>
    <row r="343" spans="1:14" ht="12.75" customHeight="1" thickTop="1" x14ac:dyDescent="0.2">
      <c r="A343" s="2183" t="s">
        <v>1053</v>
      </c>
      <c r="B343" s="2184"/>
      <c r="C343" s="617"/>
      <c r="D343" s="617"/>
      <c r="E343" s="617"/>
      <c r="F343" s="617"/>
      <c r="G343" s="617"/>
      <c r="H343" s="617"/>
      <c r="I343" s="617"/>
      <c r="J343" s="617"/>
      <c r="K343" s="1706">
        <f>'Revenues 9-14'!J275-'Expenditures 15-22'!K342</f>
        <v>2498</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21105</v>
      </c>
      <c r="F348" s="466"/>
      <c r="G348" s="466">
        <v>490045</v>
      </c>
      <c r="H348" s="466"/>
      <c r="I348" s="467"/>
      <c r="J348" s="467"/>
      <c r="K348" s="1693">
        <f>SUM(C348:J348)</f>
        <v>511150</v>
      </c>
      <c r="L348" s="466">
        <f>40000+10000+550000+10000</f>
        <v>610000</v>
      </c>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21105</v>
      </c>
      <c r="F350" s="1692">
        <f t="shared" si="26"/>
        <v>0</v>
      </c>
      <c r="G350" s="1692">
        <f t="shared" si="26"/>
        <v>490045</v>
      </c>
      <c r="H350" s="1692">
        <f t="shared" si="26"/>
        <v>0</v>
      </c>
      <c r="I350" s="1692">
        <f t="shared" si="26"/>
        <v>0</v>
      </c>
      <c r="J350" s="1692">
        <f t="shared" si="26"/>
        <v>0</v>
      </c>
      <c r="K350" s="1692">
        <f t="shared" si="26"/>
        <v>511150</v>
      </c>
      <c r="L350" s="1692">
        <f t="shared" si="26"/>
        <v>610000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21105</v>
      </c>
      <c r="F352" s="1692">
        <f t="shared" si="27"/>
        <v>0</v>
      </c>
      <c r="G352" s="1692">
        <f t="shared" si="27"/>
        <v>490045</v>
      </c>
      <c r="H352" s="1692">
        <f t="shared" si="27"/>
        <v>0</v>
      </c>
      <c r="I352" s="1692">
        <f t="shared" si="27"/>
        <v>0</v>
      </c>
      <c r="J352" s="1692">
        <f t="shared" si="27"/>
        <v>0</v>
      </c>
      <c r="K352" s="1692">
        <f t="shared" si="27"/>
        <v>511150</v>
      </c>
      <c r="L352" s="1692">
        <f t="shared" si="27"/>
        <v>610000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1963</v>
      </c>
      <c r="B354" s="684" t="s">
        <v>1955</v>
      </c>
      <c r="C354" s="617"/>
      <c r="D354" s="617"/>
      <c r="E354" s="617"/>
      <c r="F354" s="617"/>
      <c r="G354" s="617"/>
      <c r="H354" s="474"/>
      <c r="I354" s="702"/>
      <c r="J354" s="617"/>
      <c r="K354" s="1721">
        <f>H354</f>
        <v>0</v>
      </c>
      <c r="L354" s="471"/>
    </row>
    <row r="355" spans="1:14" ht="12.75" customHeight="1" x14ac:dyDescent="0.2">
      <c r="A355" s="1535" t="s">
        <v>1964</v>
      </c>
      <c r="B355" s="691" t="s">
        <v>1957</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21105</v>
      </c>
      <c r="F367" s="1692">
        <f t="shared" si="28"/>
        <v>0</v>
      </c>
      <c r="G367" s="1692">
        <f t="shared" si="28"/>
        <v>490045</v>
      </c>
      <c r="H367" s="1692">
        <f t="shared" si="28"/>
        <v>0</v>
      </c>
      <c r="I367" s="1692">
        <f t="shared" si="28"/>
        <v>0</v>
      </c>
      <c r="J367" s="1692">
        <f t="shared" si="28"/>
        <v>0</v>
      </c>
      <c r="K367" s="1692">
        <f t="shared" si="28"/>
        <v>511150</v>
      </c>
      <c r="L367" s="1692">
        <f t="shared" si="28"/>
        <v>610000</v>
      </c>
    </row>
    <row r="368" spans="1:14" ht="13.5" thickTop="1" x14ac:dyDescent="0.2">
      <c r="A368" s="2197" t="s">
        <v>1053</v>
      </c>
      <c r="B368" s="2198"/>
      <c r="C368" s="655"/>
      <c r="D368" s="655"/>
      <c r="E368" s="627"/>
      <c r="F368" s="627"/>
      <c r="G368" s="627"/>
      <c r="H368" s="627"/>
      <c r="I368" s="627"/>
      <c r="J368" s="624"/>
      <c r="K368" s="1693">
        <f>'Revenues 9-14'!K275-'Expenditures 15-22'!K367</f>
        <v>-489028</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OriginalModifiedDate xmlns="d21dc803-237d-4c68-8692-8d731fd29118" xsi:nil="true"/>
    <PublishingStartDate xmlns="http://schemas.microsoft.com/sharepoint/v3"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9504E7-EFA3-4F46-B4F7-B83DA6BE7178}">
  <ds:schemaRefs>
    <ds:schemaRef ds:uri="http://schemas.microsoft.com/sharepoint/v3/contenttype/forms"/>
  </ds:schemaRefs>
</ds:datastoreItem>
</file>

<file path=customXml/itemProps2.xml><?xml version="1.0" encoding="utf-8"?>
<ds:datastoreItem xmlns:ds="http://schemas.openxmlformats.org/officeDocument/2006/customXml" ds:itemID="{9914F8B6-F742-48D8-9F13-1076A7DC5E6F}">
  <ds:schemaRefs>
    <ds:schemaRef ds:uri="6ce3111e-7420-4802-b50a-75d4e9a0b980"/>
    <ds:schemaRef ds:uri="http://purl.org/dc/elements/1.1/"/>
    <ds:schemaRef ds:uri="http://schemas.microsoft.com/sharepoint/v3"/>
    <ds:schemaRef ds:uri="http://schemas.microsoft.com/office/2006/documentManagement/types"/>
    <ds:schemaRef ds:uri="http://purl.org/dc/dcmitype/"/>
    <ds:schemaRef ds:uri="http://purl.org/dc/terms/"/>
    <ds:schemaRef ds:uri="d21dc803-237d-4c68-8692-8d731fd29118"/>
    <ds:schemaRef ds:uri="http://schemas.microsoft.com/office/infopath/2007/PartnerControls"/>
    <ds:schemaRef ds:uri="http://schemas.openxmlformats.org/package/2006/metadata/core-properties"/>
    <ds:schemaRef ds:uri="4d435f69-8686-490b-bd6d-b153bf22ab5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24265D9-CC5F-4836-BFA1-5826A41F7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19</vt:i4>
      </vt:variant>
    </vt:vector>
  </HeadingPairs>
  <TitlesOfParts>
    <vt:vector size="55"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 SEFA (4)</vt:lpstr>
      <vt:lpstr>SF&amp;QC Sec-1</vt:lpstr>
      <vt:lpstr>SF&amp;QC Sec-2</vt:lpstr>
      <vt:lpstr>SF&amp;QC Sec-3</vt:lpstr>
      <vt:lpstr>SSPAF</vt:lpstr>
      <vt:lpstr>' SEFA'!Print_Area</vt:lpstr>
      <vt:lpstr>' SEFA (2)'!Print_Area</vt:lpstr>
      <vt:lpstr>' SEFA (3)'!Print_Area</vt:lpstr>
      <vt:lpstr>' SEFA (4)'!Print_Area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2018-09-11T17:51:41Z</cp:lastPrinted>
  <dcterms:created xsi:type="dcterms:W3CDTF">2003-10-29T19:06:34Z</dcterms:created>
  <dcterms:modified xsi:type="dcterms:W3CDTF">2018-10-31T13:53:02Z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