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0" yWindow="0" windowWidth="15345" windowHeight="4485"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 SEFA" sheetId="179" r:id="rId28"/>
    <sheet name=" SEFA (2)" sheetId="183" r:id="rId29"/>
    <sheet name=" SEFA (3)" sheetId="184" r:id="rId30"/>
    <sheet name=" SEFA (4)" sheetId="185" r:id="rId31"/>
    <sheet name=" SEFA (5)" sheetId="186" r:id="rId32"/>
    <sheet name=" SEFA (6)" sheetId="187" r:id="rId33"/>
    <sheet name="SEFA NOTES" sheetId="173" r:id="rId34"/>
    <sheet name="SF&amp;QC Sec-1" sheetId="174" r:id="rId35"/>
    <sheet name="SF&amp;QC Sec-2" sheetId="175" r:id="rId36"/>
    <sheet name="SF&amp;QC Sec-2 (2)" sheetId="188" r:id="rId37"/>
    <sheet name="SF&amp;QC Sec-2 (3)" sheetId="189" r:id="rId38"/>
    <sheet name="SF&amp;QC Sec-2 (4)" sheetId="209" r:id="rId39"/>
    <sheet name="SF&amp;QC Sec-2 (5)" sheetId="211" r:id="rId40"/>
    <sheet name="SF&amp;QC Sec-2 (6)" sheetId="212" r:id="rId41"/>
    <sheet name="SF&amp;QC Sec-3" sheetId="191" r:id="rId42"/>
    <sheet name="SF&amp;QC Sec-3 (1)" sheetId="195" r:id="rId43"/>
    <sheet name="SF&amp;QC Sec-3 (2)" sheetId="192" r:id="rId44"/>
    <sheet name="SF&amp;QC Sec-3 (3)" sheetId="193" r:id="rId45"/>
    <sheet name="SF&amp;QC Sec-3 (4)" sheetId="194" r:id="rId46"/>
    <sheet name="SF&amp;QC Sec-3 (12)" sheetId="206" r:id="rId47"/>
    <sheet name="SF&amp;QC Sec-3 (5)" sheetId="196" r:id="rId48"/>
    <sheet name="SF&amp;QC Sec-3 (13)" sheetId="207" r:id="rId49"/>
    <sheet name="SF&amp;QC Sec-3 (6)" sheetId="202" r:id="rId50"/>
    <sheet name="SF&amp;QC Sec-3 (7)" sheetId="198" r:id="rId51"/>
    <sheet name="SF&amp;QC Sec-3 (8)" sheetId="199" r:id="rId52"/>
    <sheet name="SF&amp;QC Sec-3 (9)" sheetId="203" r:id="rId53"/>
    <sheet name="SF&amp;QC Sec-3 (10)" sheetId="205" r:id="rId54"/>
    <sheet name="SF&amp;QC Sec-3 (14)" sheetId="208" r:id="rId55"/>
    <sheet name="SSPAF" sheetId="177" r:id="rId56"/>
  </sheets>
  <definedNames>
    <definedName name="_xlnm.Print_Area" localSheetId="27">' SEFA'!$B$1:$M$46</definedName>
    <definedName name="_xlnm.Print_Area" localSheetId="28">' SEFA (2)'!$B$1:$M$46</definedName>
    <definedName name="_xlnm.Print_Area" localSheetId="29">' SEFA (3)'!$B$1:$M$46</definedName>
    <definedName name="_xlnm.Print_Area" localSheetId="30">' SEFA (4)'!$B$1:$M$46</definedName>
    <definedName name="_xlnm.Print_Area" localSheetId="31">' SEFA (5)'!$B$1:$M$46</definedName>
    <definedName name="_xlnm.Print_Area" localSheetId="32">' SEFA (6)'!$B$1:$M$46</definedName>
    <definedName name="_xlnm.Print_Area" localSheetId="33">'SEFA NOTES'!$A$1:$F$52</definedName>
    <definedName name="_xlnm.Print_Area" localSheetId="26">'SEFA Reconcile'!$A$1:$E$49</definedName>
    <definedName name="_xlnm.Print_Area" localSheetId="34">'SF&amp;QC Sec-1'!$A$1:$J$63</definedName>
    <definedName name="_xlnm.Print_Area" localSheetId="41">'SF&amp;QC Sec-3'!$A$1:$K$52</definedName>
    <definedName name="_xlnm.Print_Area" localSheetId="42">'SF&amp;QC Sec-3 (1)'!$A$1:$K$52</definedName>
    <definedName name="_xlnm.Print_Area" localSheetId="53">'SF&amp;QC Sec-3 (10)'!$A$1:$K$52</definedName>
    <definedName name="_xlnm.Print_Area" localSheetId="46">'SF&amp;QC Sec-3 (12)'!$A$1:$K$52</definedName>
    <definedName name="_xlnm.Print_Area" localSheetId="48">'SF&amp;QC Sec-3 (13)'!$A$1:$K$52</definedName>
    <definedName name="_xlnm.Print_Area" localSheetId="54">'SF&amp;QC Sec-3 (14)'!$A$1:$K$52</definedName>
    <definedName name="_xlnm.Print_Area" localSheetId="43">'SF&amp;QC Sec-3 (2)'!$A$1:$K$52</definedName>
    <definedName name="_xlnm.Print_Area" localSheetId="44">'SF&amp;QC Sec-3 (3)'!$A$1:$K$52</definedName>
    <definedName name="_xlnm.Print_Area" localSheetId="45">'SF&amp;QC Sec-3 (4)'!$A$1:$K$52</definedName>
    <definedName name="_xlnm.Print_Area" localSheetId="47">'SF&amp;QC Sec-3 (5)'!$A$1:$K$52</definedName>
    <definedName name="_xlnm.Print_Area" localSheetId="49">'SF&amp;QC Sec-3 (6)'!$A$1:$K$52</definedName>
    <definedName name="_xlnm.Print_Area" localSheetId="50">'SF&amp;QC Sec-3 (7)'!$A$1:$K$52</definedName>
    <definedName name="_xlnm.Print_Area" localSheetId="51">'SF&amp;QC Sec-3 (8)'!$A$1:$K$52</definedName>
    <definedName name="_xlnm.Print_Area" localSheetId="52">'SF&amp;QC Sec-3 (9)'!$A$1:$K$52</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28">#REF!</definedName>
    <definedName name="SCHADDRS" localSheetId="29">#REF!</definedName>
    <definedName name="SCHADDRS" localSheetId="30">#REF!</definedName>
    <definedName name="SCHADDRS" localSheetId="31">#REF!</definedName>
    <definedName name="SCHADDRS" localSheetId="32">#REF!</definedName>
    <definedName name="SCHADDRS" localSheetId="17">#REF!</definedName>
    <definedName name="SCHADDRS" localSheetId="21">#REF!</definedName>
    <definedName name="SCHADDRS" localSheetId="4">#REF!</definedName>
    <definedName name="SCHADDRS" localSheetId="33">#REF!</definedName>
    <definedName name="SCHADDRS" localSheetId="26">#REF!</definedName>
    <definedName name="SCHADDRS" localSheetId="34">#REF!</definedName>
    <definedName name="SCHADDRS" localSheetId="35">#REF!</definedName>
    <definedName name="SCHADDRS" localSheetId="36">#REF!</definedName>
    <definedName name="SCHADDRS" localSheetId="37">#REF!</definedName>
    <definedName name="SCHADDRS" localSheetId="38">#REF!</definedName>
    <definedName name="SCHADDRS" localSheetId="39">#REF!</definedName>
    <definedName name="SCHADDRS" localSheetId="40">#REF!</definedName>
    <definedName name="SCHADDRS" localSheetId="41">#REF!</definedName>
    <definedName name="SCHADDRS" localSheetId="42">#REF!</definedName>
    <definedName name="SCHADDRS" localSheetId="53">#REF!</definedName>
    <definedName name="SCHADDRS" localSheetId="46">#REF!</definedName>
    <definedName name="SCHADDRS" localSheetId="48">#REF!</definedName>
    <definedName name="SCHADDRS" localSheetId="54">#REF!</definedName>
    <definedName name="SCHADDRS" localSheetId="43">#REF!</definedName>
    <definedName name="SCHADDRS" localSheetId="44">#REF!</definedName>
    <definedName name="SCHADDRS" localSheetId="45">#REF!</definedName>
    <definedName name="SCHADDRS" localSheetId="47">#REF!</definedName>
    <definedName name="SCHADDRS" localSheetId="49">#REF!</definedName>
    <definedName name="SCHADDRS" localSheetId="50">#REF!</definedName>
    <definedName name="SCHADDRS" localSheetId="51">#REF!</definedName>
    <definedName name="SCHADDRS" localSheetId="52">#REF!</definedName>
    <definedName name="SCHADDRS" localSheetId="25">#REF!</definedName>
    <definedName name="SCHADDRS" localSheetId="24">#REF!</definedName>
    <definedName name="SCHADDRS" localSheetId="55">#REF!</definedName>
    <definedName name="SCHADDRS">#REF!</definedName>
    <definedName name="SCHCTY" localSheetId="27">#REF!</definedName>
    <definedName name="SCHCTY" localSheetId="28">#REF!</definedName>
    <definedName name="SCHCTY" localSheetId="29">#REF!</definedName>
    <definedName name="SCHCTY" localSheetId="30">#REF!</definedName>
    <definedName name="SCHCTY" localSheetId="31">#REF!</definedName>
    <definedName name="SCHCTY" localSheetId="32">#REF!</definedName>
    <definedName name="SCHCTY" localSheetId="17">#REF!</definedName>
    <definedName name="SCHCTY" localSheetId="21">#REF!</definedName>
    <definedName name="SCHCTY" localSheetId="4">#REF!</definedName>
    <definedName name="SCHCTY" localSheetId="33">#REF!</definedName>
    <definedName name="SCHCTY" localSheetId="26">#REF!</definedName>
    <definedName name="SCHCTY" localSheetId="34">#REF!</definedName>
    <definedName name="SCHCTY" localSheetId="35">#REF!</definedName>
    <definedName name="SCHCTY" localSheetId="36">#REF!</definedName>
    <definedName name="SCHCTY" localSheetId="37">#REF!</definedName>
    <definedName name="SCHCTY" localSheetId="38">#REF!</definedName>
    <definedName name="SCHCTY" localSheetId="39">#REF!</definedName>
    <definedName name="SCHCTY" localSheetId="40">#REF!</definedName>
    <definedName name="SCHCTY" localSheetId="41">#REF!</definedName>
    <definedName name="SCHCTY" localSheetId="42">#REF!</definedName>
    <definedName name="SCHCTY" localSheetId="53">#REF!</definedName>
    <definedName name="SCHCTY" localSheetId="46">#REF!</definedName>
    <definedName name="SCHCTY" localSheetId="48">#REF!</definedName>
    <definedName name="SCHCTY" localSheetId="54">#REF!</definedName>
    <definedName name="SCHCTY" localSheetId="43">#REF!</definedName>
    <definedName name="SCHCTY" localSheetId="44">#REF!</definedName>
    <definedName name="SCHCTY" localSheetId="45">#REF!</definedName>
    <definedName name="SCHCTY" localSheetId="47">#REF!</definedName>
    <definedName name="SCHCTY" localSheetId="49">#REF!</definedName>
    <definedName name="SCHCTY" localSheetId="50">#REF!</definedName>
    <definedName name="SCHCTY" localSheetId="51">#REF!</definedName>
    <definedName name="SCHCTY" localSheetId="52">#REF!</definedName>
    <definedName name="SCHCTY" localSheetId="25">#REF!</definedName>
    <definedName name="SCHCTY" localSheetId="24">#REF!</definedName>
    <definedName name="SCHCTY" localSheetId="55">#REF!</definedName>
    <definedName name="SCHCTY">#REF!</definedName>
    <definedName name="SCHNMBR" localSheetId="27">#REF!</definedName>
    <definedName name="SCHNMBR" localSheetId="28">#REF!</definedName>
    <definedName name="SCHNMBR" localSheetId="29">#REF!</definedName>
    <definedName name="SCHNMBR" localSheetId="30">#REF!</definedName>
    <definedName name="SCHNMBR" localSheetId="31">#REF!</definedName>
    <definedName name="SCHNMBR" localSheetId="32">#REF!</definedName>
    <definedName name="SCHNMBR" localSheetId="17">#REF!</definedName>
    <definedName name="SCHNMBR" localSheetId="21">#REF!</definedName>
    <definedName name="SCHNMBR" localSheetId="4">#REF!</definedName>
    <definedName name="SCHNMBR" localSheetId="33">#REF!</definedName>
    <definedName name="SCHNMBR" localSheetId="26">#REF!</definedName>
    <definedName name="SCHNMBR" localSheetId="34">#REF!</definedName>
    <definedName name="SCHNMBR" localSheetId="35">#REF!</definedName>
    <definedName name="SCHNMBR" localSheetId="36">#REF!</definedName>
    <definedName name="SCHNMBR" localSheetId="37">#REF!</definedName>
    <definedName name="SCHNMBR" localSheetId="38">#REF!</definedName>
    <definedName name="SCHNMBR" localSheetId="39">#REF!</definedName>
    <definedName name="SCHNMBR" localSheetId="40">#REF!</definedName>
    <definedName name="SCHNMBR" localSheetId="41">#REF!</definedName>
    <definedName name="SCHNMBR" localSheetId="42">#REF!</definedName>
    <definedName name="SCHNMBR" localSheetId="53">#REF!</definedName>
    <definedName name="SCHNMBR" localSheetId="46">#REF!</definedName>
    <definedName name="SCHNMBR" localSheetId="48">#REF!</definedName>
    <definedName name="SCHNMBR" localSheetId="54">#REF!</definedName>
    <definedName name="SCHNMBR" localSheetId="43">#REF!</definedName>
    <definedName name="SCHNMBR" localSheetId="44">#REF!</definedName>
    <definedName name="SCHNMBR" localSheetId="45">#REF!</definedName>
    <definedName name="SCHNMBR" localSheetId="47">#REF!</definedName>
    <definedName name="SCHNMBR" localSheetId="49">#REF!</definedName>
    <definedName name="SCHNMBR" localSheetId="50">#REF!</definedName>
    <definedName name="SCHNMBR" localSheetId="51">#REF!</definedName>
    <definedName name="SCHNMBR" localSheetId="52">#REF!</definedName>
    <definedName name="SCHNMBR" localSheetId="25">#REF!</definedName>
    <definedName name="SCHNMBR" localSheetId="24">#REF!</definedName>
    <definedName name="SCHNMBR" localSheetId="55">#REF!</definedName>
    <definedName name="SCHNMBR">#REF!</definedName>
    <definedName name="SCHNME" localSheetId="27">#REF!</definedName>
    <definedName name="SCHNME" localSheetId="28">#REF!</definedName>
    <definedName name="SCHNME" localSheetId="29">#REF!</definedName>
    <definedName name="SCHNME" localSheetId="30">#REF!</definedName>
    <definedName name="SCHNME" localSheetId="31">#REF!</definedName>
    <definedName name="SCHNME" localSheetId="32">#REF!</definedName>
    <definedName name="SCHNME" localSheetId="17">#REF!</definedName>
    <definedName name="SCHNME" localSheetId="21">#REF!</definedName>
    <definedName name="SCHNME" localSheetId="4">#REF!</definedName>
    <definedName name="SCHNME" localSheetId="33">#REF!</definedName>
    <definedName name="SCHNME" localSheetId="26">#REF!</definedName>
    <definedName name="SCHNME" localSheetId="34">#REF!</definedName>
    <definedName name="SCHNME" localSheetId="35">#REF!</definedName>
    <definedName name="SCHNME" localSheetId="36">#REF!</definedName>
    <definedName name="SCHNME" localSheetId="37">#REF!</definedName>
    <definedName name="SCHNME" localSheetId="38">#REF!</definedName>
    <definedName name="SCHNME" localSheetId="39">#REF!</definedName>
    <definedName name="SCHNME" localSheetId="40">#REF!</definedName>
    <definedName name="SCHNME" localSheetId="41">#REF!</definedName>
    <definedName name="SCHNME" localSheetId="42">#REF!</definedName>
    <definedName name="SCHNME" localSheetId="53">#REF!</definedName>
    <definedName name="SCHNME" localSheetId="46">#REF!</definedName>
    <definedName name="SCHNME" localSheetId="48">#REF!</definedName>
    <definedName name="SCHNME" localSheetId="54">#REF!</definedName>
    <definedName name="SCHNME" localSheetId="43">#REF!</definedName>
    <definedName name="SCHNME" localSheetId="44">#REF!</definedName>
    <definedName name="SCHNME" localSheetId="45">#REF!</definedName>
    <definedName name="SCHNME" localSheetId="47">#REF!</definedName>
    <definedName name="SCHNME" localSheetId="49">#REF!</definedName>
    <definedName name="SCHNME" localSheetId="50">#REF!</definedName>
    <definedName name="SCHNME" localSheetId="51">#REF!</definedName>
    <definedName name="SCHNME" localSheetId="52">#REF!</definedName>
    <definedName name="SCHNME" localSheetId="25">#REF!</definedName>
    <definedName name="SCHNME" localSheetId="24">#REF!</definedName>
    <definedName name="SCHNME" localSheetId="55">#REF!</definedName>
    <definedName name="SCHNME">#REF!</definedName>
    <definedName name="SUPT" localSheetId="27">#REF!</definedName>
    <definedName name="SUPT" localSheetId="28">#REF!</definedName>
    <definedName name="SUPT" localSheetId="29">#REF!</definedName>
    <definedName name="SUPT" localSheetId="30">#REF!</definedName>
    <definedName name="SUPT" localSheetId="31">#REF!</definedName>
    <definedName name="SUPT" localSheetId="32">#REF!</definedName>
    <definedName name="SUPT" localSheetId="17">#REF!</definedName>
    <definedName name="SUPT" localSheetId="21">#REF!</definedName>
    <definedName name="SUPT" localSheetId="4">#REF!</definedName>
    <definedName name="SUPT" localSheetId="33">#REF!</definedName>
    <definedName name="SUPT" localSheetId="26">#REF!</definedName>
    <definedName name="SUPT" localSheetId="34">#REF!</definedName>
    <definedName name="SUPT" localSheetId="35">#REF!</definedName>
    <definedName name="SUPT" localSheetId="36">#REF!</definedName>
    <definedName name="SUPT" localSheetId="37">#REF!</definedName>
    <definedName name="SUPT" localSheetId="38">#REF!</definedName>
    <definedName name="SUPT" localSheetId="39">#REF!</definedName>
    <definedName name="SUPT" localSheetId="40">#REF!</definedName>
    <definedName name="SUPT" localSheetId="41">#REF!</definedName>
    <definedName name="SUPT" localSheetId="42">#REF!</definedName>
    <definedName name="SUPT" localSheetId="53">#REF!</definedName>
    <definedName name="SUPT" localSheetId="46">#REF!</definedName>
    <definedName name="SUPT" localSheetId="48">#REF!</definedName>
    <definedName name="SUPT" localSheetId="54">#REF!</definedName>
    <definedName name="SUPT" localSheetId="43">#REF!</definedName>
    <definedName name="SUPT" localSheetId="44">#REF!</definedName>
    <definedName name="SUPT" localSheetId="45">#REF!</definedName>
    <definedName name="SUPT" localSheetId="47">#REF!</definedName>
    <definedName name="SUPT" localSheetId="49">#REF!</definedName>
    <definedName name="SUPT" localSheetId="50">#REF!</definedName>
    <definedName name="SUPT" localSheetId="51">#REF!</definedName>
    <definedName name="SUPT" localSheetId="52">#REF!</definedName>
    <definedName name="SUPT" localSheetId="25">#REF!</definedName>
    <definedName name="SUPT" localSheetId="24">#REF!</definedName>
    <definedName name="SUPT" localSheetId="55">#REF!</definedName>
    <definedName name="SUPT">#REF!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 i="212" l="1"/>
  <c r="B4" i="211" l="1"/>
  <c r="B4" i="209" l="1"/>
  <c r="B4" i="208" l="1"/>
  <c r="B4" i="207"/>
  <c r="B4" i="206"/>
  <c r="H169" i="29" l="1"/>
  <c r="E171" i="29"/>
  <c r="B4" i="205" l="1"/>
  <c r="B4" i="203" l="1"/>
  <c r="B4" i="202" l="1"/>
  <c r="B4" i="199"/>
  <c r="B4" i="198"/>
  <c r="B4" i="196"/>
  <c r="B4" i="195" l="1"/>
  <c r="B4" i="194"/>
  <c r="B4" i="193"/>
  <c r="B4" i="192"/>
  <c r="B4" i="191"/>
  <c r="B4" i="189"/>
  <c r="B4" i="188"/>
  <c r="M23" i="187" l="1"/>
  <c r="M25" i="187" s="1"/>
  <c r="K23" i="187"/>
  <c r="K25" i="187" s="1"/>
  <c r="J23" i="187"/>
  <c r="J25" i="187" s="1"/>
  <c r="I23" i="187"/>
  <c r="I25" i="187" s="1"/>
  <c r="H23" i="187"/>
  <c r="H25" i="187" s="1"/>
  <c r="G23" i="187"/>
  <c r="G25" i="187" s="1"/>
  <c r="F23" i="187"/>
  <c r="F25" i="187" s="1"/>
  <c r="E23" i="187"/>
  <c r="E25" i="187" s="1"/>
  <c r="M15" i="187" l="1"/>
  <c r="M17" i="187" s="1"/>
  <c r="M26" i="187" s="1"/>
  <c r="K15" i="187"/>
  <c r="K17" i="187" s="1"/>
  <c r="K26" i="187" s="1"/>
  <c r="J15" i="187"/>
  <c r="J17" i="187" s="1"/>
  <c r="J26" i="187" s="1"/>
  <c r="I15" i="187"/>
  <c r="I17" i="187" s="1"/>
  <c r="I26" i="187" s="1"/>
  <c r="H15" i="187"/>
  <c r="H17" i="187" s="1"/>
  <c r="H26" i="187" s="1"/>
  <c r="G15" i="187"/>
  <c r="G17" i="187" s="1"/>
  <c r="G26" i="187" s="1"/>
  <c r="F15" i="187"/>
  <c r="F17" i="187" s="1"/>
  <c r="F26" i="187" s="1"/>
  <c r="E15" i="187"/>
  <c r="E17" i="187" s="1"/>
  <c r="E26" i="187" s="1"/>
  <c r="M16" i="186"/>
  <c r="K16" i="186"/>
  <c r="J16" i="186"/>
  <c r="I16" i="186"/>
  <c r="H16" i="186"/>
  <c r="G16" i="186"/>
  <c r="F16" i="186"/>
  <c r="E16" i="186"/>
  <c r="M26" i="185"/>
  <c r="K26" i="185"/>
  <c r="J26" i="185"/>
  <c r="I26" i="185"/>
  <c r="H26" i="185"/>
  <c r="G26" i="185"/>
  <c r="F26" i="185"/>
  <c r="E26" i="185"/>
  <c r="M22" i="185"/>
  <c r="K22" i="185"/>
  <c r="J22" i="185"/>
  <c r="I22" i="185"/>
  <c r="H22" i="185"/>
  <c r="G22" i="185"/>
  <c r="F22" i="185"/>
  <c r="E22" i="185"/>
  <c r="M17" i="185"/>
  <c r="K17" i="185"/>
  <c r="J17" i="185"/>
  <c r="I17" i="185"/>
  <c r="H17" i="185"/>
  <c r="G17" i="185"/>
  <c r="F17" i="185"/>
  <c r="E17" i="185"/>
  <c r="H18" i="186" l="1"/>
  <c r="H20" i="186" s="1"/>
  <c r="H22" i="186" s="1"/>
  <c r="I18" i="186"/>
  <c r="I20" i="186" s="1"/>
  <c r="I22" i="186" s="1"/>
  <c r="G39" i="174" s="1"/>
  <c r="J18" i="186"/>
  <c r="J20" i="186" s="1"/>
  <c r="J22" i="186" s="1"/>
  <c r="K18" i="186"/>
  <c r="K20" i="186" s="1"/>
  <c r="K22" i="186" s="1"/>
  <c r="E18" i="186"/>
  <c r="E20" i="186" s="1"/>
  <c r="E22" i="186" s="1"/>
  <c r="F18" i="186"/>
  <c r="F20" i="186" s="1"/>
  <c r="F22" i="186" s="1"/>
  <c r="G18" i="186"/>
  <c r="G20" i="186" s="1"/>
  <c r="G22" i="186" s="1"/>
  <c r="M18" i="186"/>
  <c r="M20" i="186" s="1"/>
  <c r="M22" i="186" s="1"/>
  <c r="E23" i="184"/>
  <c r="M23" i="184"/>
  <c r="K23" i="184"/>
  <c r="J23" i="184"/>
  <c r="I23" i="184"/>
  <c r="H23" i="184"/>
  <c r="G23" i="184"/>
  <c r="F23" i="184"/>
  <c r="F25" i="184" s="1"/>
  <c r="F26" i="184" s="1"/>
  <c r="M17" i="184"/>
  <c r="K17" i="184"/>
  <c r="J17" i="184"/>
  <c r="I17" i="184"/>
  <c r="H17" i="184"/>
  <c r="G17" i="184"/>
  <c r="F17" i="184"/>
  <c r="E17" i="184"/>
  <c r="E25" i="184" s="1"/>
  <c r="E26" i="184" s="1"/>
  <c r="M22" i="183"/>
  <c r="M24" i="183" s="1"/>
  <c r="K22" i="183"/>
  <c r="K24" i="183" s="1"/>
  <c r="J22" i="183"/>
  <c r="J24" i="183" s="1"/>
  <c r="I22" i="183"/>
  <c r="I24" i="183" s="1"/>
  <c r="H22" i="183"/>
  <c r="H24" i="183" s="1"/>
  <c r="G22" i="183"/>
  <c r="F22" i="183"/>
  <c r="F24" i="183" s="1"/>
  <c r="E22" i="183"/>
  <c r="E24" i="183" s="1"/>
  <c r="M15" i="183"/>
  <c r="M17" i="183" s="1"/>
  <c r="K15" i="183"/>
  <c r="K17" i="183" s="1"/>
  <c r="J15" i="183"/>
  <c r="J17" i="183" s="1"/>
  <c r="I15" i="183"/>
  <c r="I17" i="183" s="1"/>
  <c r="H15" i="183"/>
  <c r="H17" i="183" s="1"/>
  <c r="G15" i="183"/>
  <c r="G17" i="183" s="1"/>
  <c r="F15" i="183"/>
  <c r="F17" i="183" s="1"/>
  <c r="E15" i="183"/>
  <c r="E17" i="183" s="1"/>
  <c r="L26" i="187"/>
  <c r="L25" i="187"/>
  <c r="L23" i="187"/>
  <c r="L22" i="187"/>
  <c r="L21" i="187"/>
  <c r="L17" i="187"/>
  <c r="L15" i="187"/>
  <c r="L14" i="187"/>
  <c r="L13" i="187"/>
  <c r="B4" i="187"/>
  <c r="L16" i="186"/>
  <c r="L15" i="186"/>
  <c r="L14" i="186"/>
  <c r="B4" i="186"/>
  <c r="L26" i="185"/>
  <c r="L25" i="185"/>
  <c r="L24" i="185"/>
  <c r="L22" i="185"/>
  <c r="L21" i="185"/>
  <c r="L20" i="185"/>
  <c r="L19" i="185"/>
  <c r="L17" i="185"/>
  <c r="L16" i="185"/>
  <c r="L15" i="185"/>
  <c r="L14" i="185"/>
  <c r="B4" i="185"/>
  <c r="L22" i="184"/>
  <c r="L21" i="184"/>
  <c r="L20" i="184"/>
  <c r="L16" i="184"/>
  <c r="L15" i="184"/>
  <c r="L14" i="184"/>
  <c r="B4" i="184"/>
  <c r="L21" i="183"/>
  <c r="L20" i="183"/>
  <c r="L14" i="183"/>
  <c r="L13" i="183"/>
  <c r="B4" i="183"/>
  <c r="M23" i="179"/>
  <c r="J17" i="179"/>
  <c r="H17" i="179"/>
  <c r="K23" i="179"/>
  <c r="J23" i="179"/>
  <c r="I23" i="179"/>
  <c r="H23" i="179"/>
  <c r="G23" i="179"/>
  <c r="F23" i="179"/>
  <c r="E23" i="179"/>
  <c r="M17" i="179"/>
  <c r="K17" i="179"/>
  <c r="I17" i="179"/>
  <c r="G17" i="179"/>
  <c r="F17" i="179"/>
  <c r="E17" i="179"/>
  <c r="L16" i="179"/>
  <c r="K25" i="179" l="1"/>
  <c r="G25" i="184"/>
  <c r="K25" i="184"/>
  <c r="K26" i="184" s="1"/>
  <c r="E27" i="184"/>
  <c r="E27" i="187" s="1"/>
  <c r="L17" i="183"/>
  <c r="L22" i="186"/>
  <c r="I25" i="179"/>
  <c r="L22" i="183"/>
  <c r="H25" i="184"/>
  <c r="H26" i="184" s="1"/>
  <c r="H27" i="184" s="1"/>
  <c r="H27" i="187" s="1"/>
  <c r="M25" i="184"/>
  <c r="M26" i="184" s="1"/>
  <c r="G25" i="179"/>
  <c r="G38" i="174"/>
  <c r="J25" i="179"/>
  <c r="M25" i="179"/>
  <c r="J25" i="184"/>
  <c r="J26" i="184" s="1"/>
  <c r="L18" i="186"/>
  <c r="E25" i="179"/>
  <c r="F25" i="179"/>
  <c r="L15" i="183"/>
  <c r="L20" i="186"/>
  <c r="H25" i="179"/>
  <c r="G24" i="183"/>
  <c r="F27" i="184"/>
  <c r="F27" i="187" s="1"/>
  <c r="D35" i="171" s="1"/>
  <c r="G26" i="184"/>
  <c r="J27" i="184"/>
  <c r="J27" i="187" s="1"/>
  <c r="K27" i="184"/>
  <c r="K27" i="187" s="1"/>
  <c r="M27" i="184"/>
  <c r="M27" i="187" s="1"/>
  <c r="I25" i="184"/>
  <c r="I26" i="184" s="1"/>
  <c r="I27" i="184" s="1"/>
  <c r="I27" i="187" s="1"/>
  <c r="D45" i="174" s="1"/>
  <c r="L23" i="179"/>
  <c r="L24" i="183"/>
  <c r="L17" i="184"/>
  <c r="L23" i="184"/>
  <c r="G27" i="184" l="1"/>
  <c r="L26" i="184"/>
  <c r="L25" i="184"/>
  <c r="E12" i="7"/>
  <c r="E10" i="7"/>
  <c r="E6" i="7"/>
  <c r="E4" i="7"/>
  <c r="L27" i="184" l="1"/>
  <c r="G27" i="187"/>
  <c r="L27" i="187" s="1"/>
  <c r="E16" i="7"/>
  <c r="E14" i="7"/>
  <c r="E11" i="7"/>
  <c r="E8" i="7"/>
  <c r="E7" i="7"/>
  <c r="E5" i="7"/>
  <c r="C44" i="29" l="1"/>
  <c r="D215" i="29" l="1"/>
  <c r="F45" i="29" l="1"/>
  <c r="E45" i="29"/>
  <c r="F44" i="29"/>
  <c r="E44" i="29"/>
  <c r="D44" i="29"/>
  <c r="F5" i="29" l="1"/>
  <c r="E5" i="29"/>
  <c r="D5" i="29"/>
  <c r="C5" i="29"/>
  <c r="D182"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B7786" i="106" s="1"/>
  <c r="H334" i="29"/>
  <c r="B7789" i="106" s="1"/>
  <c r="K282" i="29"/>
  <c r="B7784" i="106" s="1"/>
  <c r="H160" i="29"/>
  <c r="K159" i="29"/>
  <c r="K158" i="29"/>
  <c r="B7780" i="106" s="1"/>
  <c r="K157" i="29"/>
  <c r="B7778" i="106" s="1"/>
  <c r="B7795" i="106"/>
  <c r="K133" i="29"/>
  <c r="B7776" i="106" s="1"/>
  <c r="B7793" i="106"/>
  <c r="B7791" i="106"/>
  <c r="B7787" i="106"/>
  <c r="B7785" i="106"/>
  <c r="B7783" i="106"/>
  <c r="B7782" i="106"/>
  <c r="B7781" i="106"/>
  <c r="B7779"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E22" i="181"/>
  <c r="F22" i="181" s="1"/>
  <c r="G22" i="181" s="1"/>
  <c r="E21" i="181"/>
  <c r="F21" i="181" s="1"/>
  <c r="G21" i="181" s="1"/>
  <c r="E20" i="181"/>
  <c r="F20" i="181" s="1"/>
  <c r="G20" i="181" s="1"/>
  <c r="E19" i="181"/>
  <c r="F19" i="181" s="1"/>
  <c r="G19" i="181" s="1"/>
  <c r="E18" i="181"/>
  <c r="F18" i="181" s="1"/>
  <c r="G18" i="181" s="1"/>
  <c r="D39" i="181" l="1"/>
  <c r="D80" i="36" l="1"/>
  <c r="B7797" i="106"/>
  <c r="E39" i="181"/>
  <c r="E17" i="181"/>
  <c r="E16" i="181"/>
  <c r="F16" i="181" s="1"/>
  <c r="G16" i="181" s="1"/>
  <c r="F17" i="181" l="1"/>
  <c r="G17" i="181" s="1"/>
  <c r="G39" i="181" s="1"/>
  <c r="G40" i="108" l="1"/>
  <c r="B7799" i="106"/>
  <c r="F39" i="181"/>
  <c r="B7798" i="106" s="1"/>
  <c r="E40" i="108"/>
  <c r="B4" i="179" l="1"/>
  <c r="D17" i="171" l="1"/>
  <c r="L25" i="179" l="1"/>
  <c r="L22" i="179"/>
  <c r="L21" i="179"/>
  <c r="L20" i="179"/>
  <c r="L17" i="179"/>
  <c r="L15" i="179"/>
  <c r="L14" i="179"/>
  <c r="D14" i="171" l="1"/>
  <c r="C33" i="173" s="1"/>
  <c r="E34" i="173" s="1"/>
  <c r="D12" i="171"/>
  <c r="A10" i="169"/>
  <c r="A16" i="169"/>
  <c r="A15" i="169"/>
  <c r="A14" i="169"/>
  <c r="K18" i="169"/>
  <c r="G18" i="169"/>
  <c r="G15" i="169"/>
  <c r="I13" i="169"/>
  <c r="G11" i="169"/>
  <c r="G10" i="169"/>
  <c r="G9" i="169"/>
  <c r="G7" i="169"/>
  <c r="E7" i="169"/>
  <c r="A7" i="169"/>
  <c r="B4" i="177"/>
  <c r="B4" i="175"/>
  <c r="G43" i="174"/>
  <c r="D47" i="174" s="1"/>
  <c r="B4" i="174"/>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205" l="1"/>
  <c r="B2" i="212"/>
  <c r="B2" i="211"/>
  <c r="B2" i="209"/>
  <c r="B2" i="207"/>
  <c r="B2" i="208"/>
  <c r="B2" i="206"/>
  <c r="B1" i="205"/>
  <c r="B1" i="212"/>
  <c r="B1" i="211"/>
  <c r="B1" i="209"/>
  <c r="B1" i="206"/>
  <c r="B1" i="207"/>
  <c r="B1" i="208"/>
  <c r="B2" i="179"/>
  <c r="B2" i="203"/>
  <c r="B2" i="202"/>
  <c r="B2" i="199"/>
  <c r="B2" i="198"/>
  <c r="B2" i="196"/>
  <c r="B2" i="189"/>
  <c r="B2" i="192"/>
  <c r="B2" i="188"/>
  <c r="B2" i="195"/>
  <c r="B2" i="193"/>
  <c r="B2" i="194"/>
  <c r="B2" i="191"/>
  <c r="B2" i="187"/>
  <c r="B2" i="186"/>
  <c r="B2" i="185"/>
  <c r="B2" i="184"/>
  <c r="B2" i="183"/>
  <c r="B1" i="203"/>
  <c r="B1" i="199"/>
  <c r="B1" i="198"/>
  <c r="B1" i="202"/>
  <c r="B1" i="196"/>
  <c r="B1" i="193"/>
  <c r="B1" i="192"/>
  <c r="B1" i="189"/>
  <c r="B1" i="195"/>
  <c r="B1" i="188"/>
  <c r="B1" i="194"/>
  <c r="B1" i="191"/>
  <c r="B1" i="184"/>
  <c r="B1" i="183"/>
  <c r="B1" i="187"/>
  <c r="B1" i="185"/>
  <c r="B1" i="186"/>
  <c r="A2" i="170"/>
  <c r="B2" i="174"/>
  <c r="B2" i="177"/>
  <c r="A2" i="173"/>
  <c r="A1" i="171"/>
  <c r="B1" i="179"/>
  <c r="B1" i="175"/>
  <c r="B1" i="177"/>
  <c r="A1" i="170"/>
  <c r="A2" i="171"/>
  <c r="A1" i="173"/>
  <c r="B1" i="174"/>
  <c r="B2" i="175"/>
  <c r="B7773" i="106" l="1"/>
  <c r="B61" i="106" l="1"/>
  <c r="B52" i="106"/>
  <c r="B51" i="106" l="1"/>
  <c r="B49" i="106"/>
  <c r="B48" i="106"/>
  <c r="B47" i="106"/>
  <c r="B46" i="106"/>
  <c r="B45" i="106"/>
  <c r="B44" i="106"/>
  <c r="B43" i="106"/>
  <c r="B42" i="106"/>
  <c r="B41" i="106"/>
  <c r="B50" i="106"/>
  <c r="F163" i="34" l="1"/>
  <c r="B7769" i="106"/>
  <c r="B7768" i="106"/>
  <c r="D7768" i="106" s="1"/>
  <c r="B7766" i="106"/>
  <c r="D7766" i="106" s="1"/>
  <c r="B7765" i="106"/>
  <c r="B7764" i="106"/>
  <c r="D7764" i="106" s="1"/>
  <c r="J85" i="28"/>
  <c r="B7758" i="106" s="1"/>
  <c r="D7758" i="106" s="1"/>
  <c r="J88" i="28"/>
  <c r="K6" i="29"/>
  <c r="B7763" i="106" s="1"/>
  <c r="B7762" i="106"/>
  <c r="K12" i="12"/>
  <c r="B7719" i="106" s="1"/>
  <c r="D7719" i="106" s="1"/>
  <c r="K23" i="12"/>
  <c r="J12" i="12"/>
  <c r="J21" i="12"/>
  <c r="B7727" i="106" s="1"/>
  <c r="D7727" i="106" s="1"/>
  <c r="B7729" i="106"/>
  <c r="D7729" i="106" s="1"/>
  <c r="B7734" i="106"/>
  <c r="D7734" i="106" s="1"/>
  <c r="B7726" i="106"/>
  <c r="D76" i="36"/>
  <c r="F162" i="34"/>
  <c r="B30" i="36"/>
  <c r="B33" i="36" s="1"/>
  <c r="B43" i="36" s="1"/>
  <c r="B56" i="36" s="1"/>
  <c r="B66" i="36" s="1"/>
  <c r="B70" i="36" s="1"/>
  <c r="B74" i="36" s="1"/>
  <c r="D73" i="36"/>
  <c r="C191" i="5"/>
  <c r="B4395" i="106" s="1"/>
  <c r="D4395" i="106" s="1"/>
  <c r="C201" i="5"/>
  <c r="B5246" i="106" s="1"/>
  <c r="D5246" i="106" s="1"/>
  <c r="C211" i="5"/>
  <c r="B5260" i="106" s="1"/>
  <c r="D5260" i="106" s="1"/>
  <c r="C216" i="5"/>
  <c r="C224" i="5"/>
  <c r="B5286" i="106" s="1"/>
  <c r="D5286" i="106" s="1"/>
  <c r="C228" i="5"/>
  <c r="C259" i="5"/>
  <c r="B6833" i="106" s="1"/>
  <c r="D6833" i="106" s="1"/>
  <c r="B7761" i="106"/>
  <c r="D7761" i="106" s="1"/>
  <c r="L127" i="29"/>
  <c r="L129" i="29" s="1"/>
  <c r="L139" i="29"/>
  <c r="L149" i="29"/>
  <c r="I7" i="145"/>
  <c r="I6" i="145"/>
  <c r="D78" i="36"/>
  <c r="K75" i="29"/>
  <c r="F52" i="34" s="1"/>
  <c r="K130" i="29"/>
  <c r="B2805" i="106" s="1"/>
  <c r="D2805" i="106" s="1"/>
  <c r="K185" i="29"/>
  <c r="B2836" i="106" s="1"/>
  <c r="D2836" i="106" s="1"/>
  <c r="K122" i="29"/>
  <c r="F15" i="145" s="1"/>
  <c r="F19" i="145" s="1"/>
  <c r="K67" i="29"/>
  <c r="E33" i="108" s="1"/>
  <c r="K64" i="29"/>
  <c r="K59" i="29"/>
  <c r="E15" i="145" s="1"/>
  <c r="K56" i="29"/>
  <c r="E14" i="145" s="1"/>
  <c r="G14" i="145" s="1"/>
  <c r="K51" i="29"/>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1048" i="106"/>
  <c r="D1048" i="106" s="1"/>
  <c r="B1049" i="106"/>
  <c r="D1049" i="106" s="1"/>
  <c r="D1050" i="106"/>
  <c r="B1051" i="106"/>
  <c r="D1051" i="106" s="1"/>
  <c r="D1052" i="106"/>
  <c r="H110" i="29"/>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E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B2976" i="106" s="1"/>
  <c r="D2976" i="106" s="1"/>
  <c r="K82" i="29"/>
  <c r="B2977" i="106" s="1"/>
  <c r="D2977" i="106" s="1"/>
  <c r="K83" i="29"/>
  <c r="K93" i="29"/>
  <c r="B6997" i="106" s="1"/>
  <c r="D6997" i="106" s="1"/>
  <c r="K94" i="29"/>
  <c r="B6999" i="106" s="1"/>
  <c r="D6999" i="106" s="1"/>
  <c r="K95" i="29"/>
  <c r="B7001" i="106" s="1"/>
  <c r="D7001" i="106" s="1"/>
  <c r="K96" i="29"/>
  <c r="K97" i="29"/>
  <c r="B7005" i="106" s="1"/>
  <c r="D7005" i="106" s="1"/>
  <c r="K98" i="29"/>
  <c r="B7007" i="106" s="1"/>
  <c r="D7007" i="106" s="1"/>
  <c r="K99" i="29"/>
  <c r="B7010" i="106" s="1"/>
  <c r="D7010" i="106" s="1"/>
  <c r="K101" i="29"/>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C129" i="29"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K123" i="29"/>
  <c r="K124" i="29"/>
  <c r="B1276" i="106" s="1"/>
  <c r="D1276" i="106" s="1"/>
  <c r="K126" i="29"/>
  <c r="B1277" i="106" s="1"/>
  <c r="D1277" i="106" s="1"/>
  <c r="D1278" i="106"/>
  <c r="K125" i="29"/>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B3009" i="106" s="1"/>
  <c r="D3009" i="106" s="1"/>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K206" i="29"/>
  <c r="B4211" i="106" s="1"/>
  <c r="D4211" i="106"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B7074" i="106" s="1"/>
  <c r="D7074" i="106" s="1"/>
  <c r="K217" i="29"/>
  <c r="B3391" i="106" s="1"/>
  <c r="D3391" i="106" s="1"/>
  <c r="K218" i="29"/>
  <c r="B7076" i="106" s="1"/>
  <c r="D7076" i="106" s="1"/>
  <c r="K219" i="29"/>
  <c r="B3065" i="106" s="1"/>
  <c r="D3065" i="106" s="1"/>
  <c r="K220" i="29"/>
  <c r="B7078" i="106" s="1"/>
  <c r="D7078" i="106" s="1"/>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K250" i="29"/>
  <c r="B7086" i="106" s="1"/>
  <c r="D7086" i="106" s="1"/>
  <c r="K251" i="29"/>
  <c r="B7088" i="106" s="1"/>
  <c r="D7088" i="106" s="1"/>
  <c r="K252" i="29"/>
  <c r="B7090" i="106" s="1"/>
  <c r="D7090" i="106" s="1"/>
  <c r="K253" i="29"/>
  <c r="B7092" i="106" s="1"/>
  <c r="D7092" i="106" s="1"/>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D22" i="37" s="1"/>
  <c r="F25" i="8"/>
  <c r="L22" i="37"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0" i="106"/>
  <c r="D2810" i="106" s="1"/>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8" i="106"/>
  <c r="D2978"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B6289" i="106" s="1"/>
  <c r="D6289" i="106"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C352" i="29"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B3647" i="106" s="1"/>
  <c r="D3647" i="106"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K349" i="29"/>
  <c r="B3669" i="106" s="1"/>
  <c r="D3669" i="106" s="1"/>
  <c r="K351" i="29"/>
  <c r="B3671" i="106" s="1"/>
  <c r="D3671" i="106" s="1"/>
  <c r="B3673" i="106"/>
  <c r="D3673" i="106" s="1"/>
  <c r="K360" i="29"/>
  <c r="B3675" i="106" s="1"/>
  <c r="D3675" i="106" s="1"/>
  <c r="K361" i="29"/>
  <c r="B7239" i="106" s="1"/>
  <c r="D7239" i="106" s="1"/>
  <c r="D3677" i="106"/>
  <c r="K363" i="29"/>
  <c r="K364" i="29"/>
  <c r="B7746" i="106" s="1"/>
  <c r="D7746" i="106" s="1"/>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s="1"/>
  <c r="B4237" i="106"/>
  <c r="D4237" i="106" s="1"/>
  <c r="B4238" i="106"/>
  <c r="D4238" i="106" s="1"/>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s="1"/>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8" i="106"/>
  <c r="D6288"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B6382" i="106"/>
  <c r="D6382" i="106" s="1"/>
  <c r="B6383" i="106"/>
  <c r="D6383" i="106" s="1"/>
  <c r="B6384" i="106"/>
  <c r="D6384" i="106" s="1"/>
  <c r="B6385" i="106"/>
  <c r="D6385" i="106" s="1"/>
  <c r="B6386" i="106"/>
  <c r="D6386" i="106" s="1"/>
  <c r="B6387" i="106"/>
  <c r="D6387" i="106" s="1"/>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B6410" i="106"/>
  <c r="D6410" i="106" s="1"/>
  <c r="B6411" i="106"/>
  <c r="D6411" i="106" s="1"/>
  <c r="B6412" i="106"/>
  <c r="D6412" i="106" s="1"/>
  <c r="B6413" i="106"/>
  <c r="D6413" i="106" s="1"/>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c r="B6829" i="106"/>
  <c r="D6829" i="106" s="1"/>
  <c r="B6830" i="106"/>
  <c r="D6830" i="106" s="1"/>
  <c r="B6831" i="106"/>
  <c r="D6831" i="106" s="1"/>
  <c r="B6832" i="106"/>
  <c r="D6832" i="106" s="1"/>
  <c r="B6841" i="106"/>
  <c r="D6841" i="106" s="1"/>
  <c r="B6842" i="106"/>
  <c r="D6842" i="106" s="1"/>
  <c r="B6843" i="106"/>
  <c r="D6843" i="106" s="1"/>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8" i="106"/>
  <c r="D6998" i="106" s="1"/>
  <c r="B7000" i="106"/>
  <c r="D7000" i="106" s="1"/>
  <c r="B7002" i="106"/>
  <c r="D7002" i="106" s="1"/>
  <c r="B7003" i="106"/>
  <c r="D7003" i="106" s="1"/>
  <c r="B7004" i="106"/>
  <c r="D7004" i="106" s="1"/>
  <c r="B7006" i="106"/>
  <c r="D7006" i="106" s="1"/>
  <c r="B7008" i="106"/>
  <c r="D7008" i="106" s="1"/>
  <c r="B7009" i="106"/>
  <c r="D7009" i="106" s="1"/>
  <c r="B7012" i="106"/>
  <c r="D7012" i="106" s="1"/>
  <c r="B7014" i="106"/>
  <c r="D7014" i="106" s="1"/>
  <c r="B7015" i="106"/>
  <c r="D7015"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3" i="106"/>
  <c r="D7073" i="106" s="1"/>
  <c r="B7075" i="106"/>
  <c r="D7075" i="106" s="1"/>
  <c r="B7077" i="106"/>
  <c r="D7077" i="106" s="1"/>
  <c r="B7079" i="106"/>
  <c r="D7079" i="106" s="1"/>
  <c r="B7081" i="106"/>
  <c r="D7081" i="106" s="1"/>
  <c r="B7083" i="106"/>
  <c r="D7083" i="106" s="1"/>
  <c r="B7084" i="106"/>
  <c r="D7084" i="106" s="1"/>
  <c r="B7085" i="106"/>
  <c r="D7085" i="106" s="1"/>
  <c r="B7087" i="106"/>
  <c r="D7087" i="106" s="1"/>
  <c r="B7089" i="106"/>
  <c r="D7089" i="106" s="1"/>
  <c r="B7091" i="106"/>
  <c r="D7091"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B7236" i="106"/>
  <c r="D7236" i="106" s="1"/>
  <c r="B7237" i="106"/>
  <c r="D7237" i="106" s="1"/>
  <c r="B7238" i="106"/>
  <c r="D7238" i="106" s="1"/>
  <c r="B7240" i="106"/>
  <c r="D7240" i="106" s="1"/>
  <c r="B7241" i="106"/>
  <c r="D7241"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20" i="106"/>
  <c r="D7720" i="106" s="1"/>
  <c r="B7721" i="106"/>
  <c r="D7721" i="106" s="1"/>
  <c r="B7722" i="106"/>
  <c r="D7722" i="106" s="1"/>
  <c r="B7723" i="106"/>
  <c r="D7723" i="106" s="1"/>
  <c r="B7724" i="106"/>
  <c r="D7724" i="106" s="1"/>
  <c r="B7725" i="106"/>
  <c r="D7725" i="106" s="1"/>
  <c r="D7726" i="106"/>
  <c r="B7728" i="106"/>
  <c r="D7728" i="106" s="1"/>
  <c r="B7731" i="106"/>
  <c r="D7731" i="106" s="1"/>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2" i="106"/>
  <c r="D7763" i="106"/>
  <c r="D7765"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71" i="36"/>
  <c r="D72" i="36"/>
  <c r="D79" i="36"/>
  <c r="B55" i="127"/>
  <c r="B56" i="127"/>
  <c r="E27" i="108"/>
  <c r="F27" i="108"/>
  <c r="G27" i="108"/>
  <c r="F31" i="108"/>
  <c r="G28" i="108"/>
  <c r="D31" i="108"/>
  <c r="E31" i="108"/>
  <c r="G31" i="108"/>
  <c r="G33" i="108"/>
  <c r="E35" i="108"/>
  <c r="G35"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C37" i="34"/>
  <c r="D37" i="34"/>
  <c r="C38" i="34"/>
  <c r="D38" i="34"/>
  <c r="F38" i="34"/>
  <c r="C39" i="34"/>
  <c r="D39" i="34"/>
  <c r="C40" i="34"/>
  <c r="D40" i="34"/>
  <c r="C41" i="34"/>
  <c r="D41" i="34"/>
  <c r="C42" i="34"/>
  <c r="D42" i="34"/>
  <c r="C43" i="34"/>
  <c r="D43" i="34"/>
  <c r="C44" i="34"/>
  <c r="D44" i="34"/>
  <c r="C45" i="34"/>
  <c r="D45" i="34"/>
  <c r="C46" i="34"/>
  <c r="D46" i="34"/>
  <c r="C47" i="34"/>
  <c r="D47" i="34"/>
  <c r="C48" i="34"/>
  <c r="D48" i="34"/>
  <c r="C49" i="34"/>
  <c r="D49" i="34"/>
  <c r="F49" i="34"/>
  <c r="C50" i="34"/>
  <c r="D50" i="34"/>
  <c r="C51" i="34"/>
  <c r="D51" i="34"/>
  <c r="C52" i="34"/>
  <c r="C53" i="34"/>
  <c r="D53" i="34"/>
  <c r="C56" i="34"/>
  <c r="F56" i="34"/>
  <c r="C57" i="34"/>
  <c r="D57" i="34"/>
  <c r="C61" i="34"/>
  <c r="C62" i="34"/>
  <c r="C63" i="34"/>
  <c r="D63" i="34"/>
  <c r="C64" i="34"/>
  <c r="C67" i="34"/>
  <c r="D67" i="34"/>
  <c r="C68" i="34"/>
  <c r="D68" i="34"/>
  <c r="C69" i="34"/>
  <c r="D69" i="34"/>
  <c r="C70" i="34"/>
  <c r="D70" i="34"/>
  <c r="C71" i="34"/>
  <c r="D71" i="34"/>
  <c r="C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5" i="7"/>
  <c r="B1756" i="106" s="1"/>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B5096" i="106"/>
  <c r="D5096"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B5599" i="106" s="1"/>
  <c r="D5599" i="106" s="1"/>
  <c r="F131" i="5"/>
  <c r="B5614" i="106" s="1"/>
  <c r="D5614" i="106" s="1"/>
  <c r="F154" i="5"/>
  <c r="G121" i="5"/>
  <c r="B5748" i="106" s="1"/>
  <c r="D5748" i="106" s="1"/>
  <c r="H121" i="5"/>
  <c r="B5893" i="106" s="1"/>
  <c r="D5893" i="106" s="1"/>
  <c r="J121" i="5"/>
  <c r="B6357" i="106" s="1"/>
  <c r="D6357" i="106" s="1"/>
  <c r="K121" i="5"/>
  <c r="B6006" i="106" s="1"/>
  <c r="D6006" i="106" s="1"/>
  <c r="C131" i="5"/>
  <c r="B5147" i="106" s="1"/>
  <c r="D5147" i="106" s="1"/>
  <c r="D131" i="5"/>
  <c r="B5369" i="106" s="1"/>
  <c r="D5369" i="106" s="1"/>
  <c r="C140" i="5"/>
  <c r="B5161" i="106" s="1"/>
  <c r="D5161" i="106" s="1"/>
  <c r="D140" i="5"/>
  <c r="B5383" i="106" s="1"/>
  <c r="D5383" i="106" s="1"/>
  <c r="G140" i="5"/>
  <c r="B5752" i="106" s="1"/>
  <c r="D5752" i="106" s="1"/>
  <c r="G144" i="5"/>
  <c r="B5756" i="106" s="1"/>
  <c r="D5756" i="106" s="1"/>
  <c r="G154" i="5"/>
  <c r="B4357" i="106" s="1"/>
  <c r="D4357" i="106" s="1"/>
  <c r="C144" i="5"/>
  <c r="B5165" i="106" s="1"/>
  <c r="D5165" i="106" s="1"/>
  <c r="C154" i="5"/>
  <c r="B5178" i="106" s="1"/>
  <c r="D5178" i="106" s="1"/>
  <c r="D154" i="5"/>
  <c r="B5394" i="106" s="1"/>
  <c r="D5394" i="106" s="1"/>
  <c r="E172" i="5"/>
  <c r="H172" i="5"/>
  <c r="B5899" i="106" s="1"/>
  <c r="D5899" i="106" s="1"/>
  <c r="I172" i="5"/>
  <c r="B4363" i="106" s="1"/>
  <c r="D4363" i="106" s="1"/>
  <c r="J172" i="5"/>
  <c r="B6396" i="106" s="1"/>
  <c r="D6396" i="106" s="1"/>
  <c r="K172" i="5"/>
  <c r="B5000" i="106" s="1"/>
  <c r="D5000" i="106" s="1"/>
  <c r="C178" i="5"/>
  <c r="B5225" i="106" s="1"/>
  <c r="D5225" i="106" s="1"/>
  <c r="D178" i="5"/>
  <c r="B5423" i="106" s="1"/>
  <c r="D5423" i="106" s="1"/>
  <c r="E178" i="5"/>
  <c r="B4372" i="106" s="1"/>
  <c r="D4372" i="106" s="1"/>
  <c r="F178" i="5"/>
  <c r="B5655" i="106" s="1"/>
  <c r="D5655" i="106" s="1"/>
  <c r="G178" i="5"/>
  <c r="B5780" i="106" s="1"/>
  <c r="D5780" i="106" s="1"/>
  <c r="H178" i="5"/>
  <c r="I178" i="5"/>
  <c r="B4373" i="106" s="1"/>
  <c r="D4373" i="106" s="1"/>
  <c r="J178" i="5"/>
  <c r="B6400" i="106" s="1"/>
  <c r="D6400" i="106" s="1"/>
  <c r="K178" i="5"/>
  <c r="B4951" i="106" s="1"/>
  <c r="D4951" i="106" s="1"/>
  <c r="C184" i="5"/>
  <c r="B5232" i="106" s="1"/>
  <c r="D5232" i="106" s="1"/>
  <c r="D184" i="5"/>
  <c r="B5425" i="106" s="1"/>
  <c r="D5425" i="106" s="1"/>
  <c r="F184" i="5"/>
  <c r="B5658" i="106" s="1"/>
  <c r="D5658" i="106" s="1"/>
  <c r="G184" i="5"/>
  <c r="B5784" i="106" s="1"/>
  <c r="D5784" i="106" s="1"/>
  <c r="H184" i="5"/>
  <c r="B5908" i="106" s="1"/>
  <c r="D5908" i="106" s="1"/>
  <c r="K184" i="5"/>
  <c r="B6016" i="106" s="1"/>
  <c r="D6016" i="106" s="1"/>
  <c r="D191" i="5"/>
  <c r="B4396" i="106" s="1"/>
  <c r="D4396" i="106" s="1"/>
  <c r="F191" i="5"/>
  <c r="G191" i="5"/>
  <c r="G201" i="5"/>
  <c r="B6409" i="106" s="1"/>
  <c r="D6409" i="106" s="1"/>
  <c r="D211" i="5"/>
  <c r="B5444" i="106" s="1"/>
  <c r="D5444" i="106" s="1"/>
  <c r="F211" i="5"/>
  <c r="B5677" i="106" s="1"/>
  <c r="D5677" i="106" s="1"/>
  <c r="G211" i="5"/>
  <c r="B5803" i="106" s="1"/>
  <c r="D5803" i="106" s="1"/>
  <c r="B4411" i="106"/>
  <c r="D4411" i="106" s="1"/>
  <c r="D216" i="5"/>
  <c r="B4412" i="106" s="1"/>
  <c r="D4412" i="106" s="1"/>
  <c r="F216" i="5"/>
  <c r="B4413" i="106" s="1"/>
  <c r="D4413" i="106" s="1"/>
  <c r="G216" i="5"/>
  <c r="B4414" i="106" s="1"/>
  <c r="D4414" i="106" s="1"/>
  <c r="D224" i="5"/>
  <c r="B5470" i="106" s="1"/>
  <c r="D5470" i="106" s="1"/>
  <c r="F224" i="5"/>
  <c r="B5703" i="106" s="1"/>
  <c r="D5703" i="106" s="1"/>
  <c r="G224" i="5"/>
  <c r="B5829" i="106" s="1"/>
  <c r="D5829" i="106" s="1"/>
  <c r="D228" i="5"/>
  <c r="B5488" i="106" s="1"/>
  <c r="D5488" i="106" s="1"/>
  <c r="G228" i="5"/>
  <c r="G259" i="5"/>
  <c r="B6837" i="106" s="1"/>
  <c r="D6837" i="106" s="1"/>
  <c r="D259" i="5"/>
  <c r="B6834" i="106" s="1"/>
  <c r="D6834" i="106" s="1"/>
  <c r="E259" i="5"/>
  <c r="F259" i="5"/>
  <c r="B6836" i="106" s="1"/>
  <c r="D6836" i="106" s="1"/>
  <c r="H259" i="5"/>
  <c r="H273" i="5" s="1"/>
  <c r="B4441" i="106" s="1"/>
  <c r="D4441" i="106" s="1"/>
  <c r="J259" i="5"/>
  <c r="J273" i="5" s="1"/>
  <c r="K259" i="5"/>
  <c r="K273" i="5" s="1"/>
  <c r="B4442" i="106" s="1"/>
  <c r="D4442" i="106" s="1"/>
  <c r="B2633" i="106"/>
  <c r="D2633" i="106" s="1"/>
  <c r="D7" i="118"/>
  <c r="D8" i="118"/>
  <c r="D9" i="118"/>
  <c r="H14" i="118"/>
  <c r="H19" i="118"/>
  <c r="H24" i="118"/>
  <c r="H33" i="118"/>
  <c r="B5847" i="106"/>
  <c r="D5847" i="106" s="1"/>
  <c r="D12" i="7"/>
  <c r="B1769" i="106" s="1"/>
  <c r="D1769" i="106" s="1"/>
  <c r="D15" i="7" l="1"/>
  <c r="B1772" i="106" s="1"/>
  <c r="D1772" i="106" s="1"/>
  <c r="C14" i="4"/>
  <c r="B2558" i="106" s="1"/>
  <c r="D2558" i="106" s="1"/>
  <c r="F41" i="34"/>
  <c r="J274" i="5"/>
  <c r="B7054" i="106" s="1"/>
  <c r="D7054" i="106" s="1"/>
  <c r="F70" i="34"/>
  <c r="K184" i="29"/>
  <c r="F13" i="4" s="1"/>
  <c r="B2596" i="106" s="1"/>
  <c r="D2596" i="106" s="1"/>
  <c r="H29" i="118"/>
  <c r="F128" i="34"/>
  <c r="H365" i="29"/>
  <c r="B7242" i="106" s="1"/>
  <c r="D7242" i="106" s="1"/>
  <c r="J41" i="3"/>
  <c r="G210" i="29"/>
  <c r="B1365" i="106" s="1"/>
  <c r="D1365" i="106" s="1"/>
  <c r="B3619" i="106"/>
  <c r="D3619" i="106" s="1"/>
  <c r="E174" i="29"/>
  <c r="B1309" i="106" s="1"/>
  <c r="D1309" i="106" s="1"/>
  <c r="H28" i="118"/>
  <c r="K28" i="118" s="1"/>
  <c r="O27" i="118" s="1"/>
  <c r="O29" i="118" s="1"/>
  <c r="D31" i="36"/>
  <c r="B2733" i="106"/>
  <c r="D2733" i="106" s="1"/>
  <c r="B1868" i="106"/>
  <c r="D1868" i="106" s="1"/>
  <c r="J23" i="12"/>
  <c r="J24" i="12" s="1"/>
  <c r="L367" i="29"/>
  <c r="L5" i="11"/>
  <c r="B2056" i="106" s="1"/>
  <c r="D2056" i="106" s="1"/>
  <c r="F35" i="34"/>
  <c r="K24" i="12"/>
  <c r="F42" i="34"/>
  <c r="J129" i="29"/>
  <c r="B7038" i="106" s="1"/>
  <c r="D7038" i="106" s="1"/>
  <c r="D11" i="37"/>
  <c r="G34" i="108"/>
  <c r="J352" i="29"/>
  <c r="J367" i="29" s="1"/>
  <c r="B7245" i="106" s="1"/>
  <c r="D7245" i="106" s="1"/>
  <c r="I210" i="29"/>
  <c r="B7071" i="106" s="1"/>
  <c r="D7071" i="106" s="1"/>
  <c r="I129" i="29"/>
  <c r="B7037" i="106" s="1"/>
  <c r="D7037" i="106" s="1"/>
  <c r="E109" i="5"/>
  <c r="E4" i="4" s="1"/>
  <c r="B2630" i="106" s="1"/>
  <c r="D2630" i="106" s="1"/>
  <c r="H342" i="29"/>
  <c r="H44" i="4"/>
  <c r="B2734" i="106"/>
  <c r="D2734" i="106" s="1"/>
  <c r="F130" i="34"/>
  <c r="D9" i="7"/>
  <c r="B1767" i="106" s="1"/>
  <c r="D1767" i="106" s="1"/>
  <c r="D14" i="4"/>
  <c r="B2570" i="106" s="1"/>
  <c r="D2570" i="106" s="1"/>
  <c r="F44" i="34"/>
  <c r="D36" i="108"/>
  <c r="D69" i="36"/>
  <c r="I24" i="12"/>
  <c r="B1996" i="106" s="1"/>
  <c r="D1996" i="106" s="1"/>
  <c r="D68" i="36"/>
  <c r="F136" i="34"/>
  <c r="G14" i="4"/>
  <c r="B2609" i="106" s="1"/>
  <c r="D2609" i="106" s="1"/>
  <c r="E26" i="108"/>
  <c r="B1124" i="106"/>
  <c r="D1124" i="106" s="1"/>
  <c r="G15" i="145"/>
  <c r="F72" i="34"/>
  <c r="F50" i="34"/>
  <c r="G26" i="108"/>
  <c r="J22" i="37"/>
  <c r="D5" i="4"/>
  <c r="B3406" i="106" s="1"/>
  <c r="D3406" i="106" s="1"/>
  <c r="F71" i="34"/>
  <c r="F68" i="34"/>
  <c r="F46" i="34"/>
  <c r="E38" i="108"/>
  <c r="F36" i="108"/>
  <c r="J210" i="29"/>
  <c r="B7072" i="106" s="1"/>
  <c r="D7072" i="106" s="1"/>
  <c r="D17" i="7"/>
  <c r="B4104" i="106" s="1"/>
  <c r="D4104" i="106" s="1"/>
  <c r="F37" i="34"/>
  <c r="H173" i="5"/>
  <c r="I173" i="5"/>
  <c r="B4216" i="106" s="1"/>
  <c r="D4216" i="106" s="1"/>
  <c r="F62" i="34"/>
  <c r="B1274" i="106"/>
  <c r="D1274" i="106" s="1"/>
  <c r="B6995" i="106"/>
  <c r="D6995" i="106" s="1"/>
  <c r="D54" i="36"/>
  <c r="L13" i="11"/>
  <c r="B2060" i="106" s="1"/>
  <c r="D2060" i="106" s="1"/>
  <c r="L342" i="29"/>
  <c r="I342" i="29"/>
  <c r="B7222" i="106" s="1"/>
  <c r="D7222" i="106" s="1"/>
  <c r="C342" i="29"/>
  <c r="B7216" i="106" s="1"/>
  <c r="D7216" i="106" s="1"/>
  <c r="F64" i="34"/>
  <c r="E28" i="108"/>
  <c r="G38" i="108"/>
  <c r="D37" i="108"/>
  <c r="F37" i="108"/>
  <c r="G30" i="108"/>
  <c r="E30" i="108"/>
  <c r="F28" i="108"/>
  <c r="F34" i="34"/>
  <c r="B5513" i="106"/>
  <c r="D5513" i="106" s="1"/>
  <c r="F106" i="34"/>
  <c r="C109" i="5"/>
  <c r="B5121" i="106" s="1"/>
  <c r="D5121" i="106" s="1"/>
  <c r="D4" i="7"/>
  <c r="B1760" i="106" s="1"/>
  <c r="D1760" i="106" s="1"/>
  <c r="B5066" i="106"/>
  <c r="D5066" i="106" s="1"/>
  <c r="B5304" i="106"/>
  <c r="D5304" i="106" s="1"/>
  <c r="G352" i="29"/>
  <c r="H149" i="29"/>
  <c r="B1272" i="106" s="1"/>
  <c r="D1272" i="106" s="1"/>
  <c r="B7047" i="106"/>
  <c r="D7047" i="106" s="1"/>
  <c r="N22" i="3"/>
  <c r="B283" i="106" s="1"/>
  <c r="D283" i="106" s="1"/>
  <c r="G109" i="5"/>
  <c r="F69" i="34"/>
  <c r="D26" i="108"/>
  <c r="I26" i="12"/>
  <c r="B7741" i="106" s="1"/>
  <c r="D7741" i="106" s="1"/>
  <c r="B1746" i="106"/>
  <c r="D1746" i="106" s="1"/>
  <c r="H109" i="5"/>
  <c r="F111" i="34"/>
  <c r="F131" i="34"/>
  <c r="D13" i="7"/>
  <c r="B3726" i="106" s="1"/>
  <c r="D3726" i="106" s="1"/>
  <c r="D24" i="37"/>
  <c r="B4270" i="106" s="1"/>
  <c r="D4270" i="106" s="1"/>
  <c r="G5" i="4"/>
  <c r="B3409" i="106" s="1"/>
  <c r="D3409" i="106" s="1"/>
  <c r="B7041" i="106"/>
  <c r="D7041" i="106" s="1"/>
  <c r="L312" i="29"/>
  <c r="F45" i="34"/>
  <c r="F36" i="34"/>
  <c r="G39" i="108"/>
  <c r="G29" i="108"/>
  <c r="K76" i="4"/>
  <c r="B3586" i="106" s="1"/>
  <c r="D3586" i="106" s="1"/>
  <c r="B1223" i="106"/>
  <c r="D1223" i="106" s="1"/>
  <c r="B1126" i="106"/>
  <c r="D1126" i="106" s="1"/>
  <c r="E13" i="145"/>
  <c r="G13" i="145" s="1"/>
  <c r="B2724" i="106"/>
  <c r="D2724" i="106" s="1"/>
  <c r="J77" i="4"/>
  <c r="B6262" i="106" s="1"/>
  <c r="D6262" i="106" s="1"/>
  <c r="B3668" i="106"/>
  <c r="D3668" i="106" s="1"/>
  <c r="K350" i="29"/>
  <c r="B3621" i="106"/>
  <c r="D3621" i="106" s="1"/>
  <c r="C367" i="29"/>
  <c r="B3622" i="106" s="1"/>
  <c r="D3622" i="106" s="1"/>
  <c r="B3454" i="106"/>
  <c r="D3454" i="106" s="1"/>
  <c r="L15" i="11"/>
  <c r="B3459" i="106" s="1"/>
  <c r="D3459" i="106" s="1"/>
  <c r="B3254" i="106"/>
  <c r="D3254" i="106" s="1"/>
  <c r="F77" i="4"/>
  <c r="B3255" i="106" s="1"/>
  <c r="D3255" i="106" s="1"/>
  <c r="F21" i="8"/>
  <c r="D109" i="5"/>
  <c r="K274" i="5"/>
  <c r="K7" i="4" s="1"/>
  <c r="B3718" i="106" s="1"/>
  <c r="D3718" i="106" s="1"/>
  <c r="I274" i="5"/>
  <c r="I7" i="4" s="1"/>
  <c r="B4444" i="106" s="1"/>
  <c r="D4444" i="106" s="1"/>
  <c r="C172" i="5"/>
  <c r="B5214" i="106" s="1"/>
  <c r="D5214" i="106" s="1"/>
  <c r="F127" i="34"/>
  <c r="D5" i="7"/>
  <c r="B1761" i="106" s="1"/>
  <c r="D1761" i="106" s="1"/>
  <c r="F14" i="4"/>
  <c r="B2597" i="106" s="1"/>
  <c r="D2597" i="106" s="1"/>
  <c r="K173" i="5"/>
  <c r="K6" i="4" s="1"/>
  <c r="B3570" i="106" s="1"/>
  <c r="D3570" i="106" s="1"/>
  <c r="G172" i="5"/>
  <c r="F172" i="5"/>
  <c r="B5644" i="106" s="1"/>
  <c r="D5644" i="106" s="1"/>
  <c r="F19" i="7"/>
  <c r="B1807" i="106" s="1"/>
  <c r="D1807" i="106" s="1"/>
  <c r="F67" i="34"/>
  <c r="F65" i="34"/>
  <c r="E29" i="108"/>
  <c r="F26" i="108"/>
  <c r="B6238" i="106"/>
  <c r="D6238" i="106" s="1"/>
  <c r="D6103" i="106"/>
  <c r="B4087" i="106"/>
  <c r="D4087" i="106" s="1"/>
  <c r="B1995" i="106"/>
  <c r="D1995" i="106" s="1"/>
  <c r="B1053" i="106"/>
  <c r="D1053" i="106" s="1"/>
  <c r="H112" i="29"/>
  <c r="B7018" i="106" s="1"/>
  <c r="D7018" i="106" s="1"/>
  <c r="K41" i="3"/>
  <c r="H76" i="4"/>
  <c r="B3298" i="106" s="1"/>
  <c r="D3298" i="106" s="1"/>
  <c r="K285" i="29"/>
  <c r="B1410" i="106"/>
  <c r="D1410" i="106" s="1"/>
  <c r="B1329" i="106"/>
  <c r="D1329" i="106" s="1"/>
  <c r="F61" i="34"/>
  <c r="D7" i="7"/>
  <c r="B1763" i="106" s="1"/>
  <c r="D1763" i="106" s="1"/>
  <c r="D11" i="7"/>
  <c r="B1768" i="106" s="1"/>
  <c r="D1768" i="106" s="1"/>
  <c r="C41" i="3"/>
  <c r="B93" i="106" s="1"/>
  <c r="D93" i="106" s="1"/>
  <c r="H295" i="29"/>
  <c r="B1454" i="106" s="1"/>
  <c r="D1454" i="106" s="1"/>
  <c r="B4156" i="106"/>
  <c r="D4156" i="106" s="1"/>
  <c r="H172" i="29"/>
  <c r="H174" i="29" s="1"/>
  <c r="B1318" i="106" s="1"/>
  <c r="D1318" i="106"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3" i="5"/>
  <c r="I6" i="4"/>
  <c r="B5011" i="106" s="1"/>
  <c r="D5011" i="106" s="1"/>
  <c r="F95" i="34"/>
  <c r="F129" i="34"/>
  <c r="D14" i="7"/>
  <c r="B1770" i="106" s="1"/>
  <c r="D1770"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F48" i="34"/>
  <c r="F40" i="34"/>
  <c r="B7200" i="106"/>
  <c r="D7200" i="106" s="1"/>
  <c r="D342" i="29"/>
  <c r="B7217" i="106" s="1"/>
  <c r="D7217" i="106" s="1"/>
  <c r="B7144" i="106"/>
  <c r="D7144" i="106" s="1"/>
  <c r="K330" i="29"/>
  <c r="B6901" i="106"/>
  <c r="D6901" i="106" s="1"/>
  <c r="F51" i="34"/>
  <c r="B6885" i="106"/>
  <c r="D6885" i="106" s="1"/>
  <c r="F43" i="34"/>
  <c r="B7211" i="106"/>
  <c r="D7211" i="106" s="1"/>
  <c r="K340" i="29"/>
  <c r="B7215" i="106" s="1"/>
  <c r="D7215" i="106" s="1"/>
  <c r="B6893" i="106"/>
  <c r="D6893" i="106" s="1"/>
  <c r="F47" i="34"/>
  <c r="B6877" i="106"/>
  <c r="D6877" i="106" s="1"/>
  <c r="F39" i="34"/>
  <c r="B6216" i="106"/>
  <c r="D6216" i="106" s="1"/>
  <c r="D51" i="36"/>
  <c r="B3703" i="106"/>
  <c r="D3703" i="106" s="1"/>
  <c r="K362" i="29"/>
  <c r="B3676" i="106" s="1"/>
  <c r="D3676"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B4435" i="106"/>
  <c r="D4435" i="106" s="1"/>
  <c r="F273" i="5"/>
  <c r="B5713" i="106" s="1"/>
  <c r="D5713" i="106" s="1"/>
  <c r="B4397" i="106"/>
  <c r="D4397" i="106" s="1"/>
  <c r="B4950" i="106"/>
  <c r="D4950" i="106" s="1"/>
  <c r="H274" i="5"/>
  <c r="H7" i="4" s="1"/>
  <c r="B2657" i="106" s="1"/>
  <c r="D2657" i="106" s="1"/>
  <c r="L210" i="29"/>
  <c r="L102" i="29"/>
  <c r="B1121" i="106"/>
  <c r="D1121" i="106" s="1"/>
  <c r="K53" i="29"/>
  <c r="E12" i="145"/>
  <c r="B731" i="106"/>
  <c r="D731" i="106" s="1"/>
  <c r="C74" i="29"/>
  <c r="B755" i="106" s="1"/>
  <c r="D755" i="106" s="1"/>
  <c r="B1116" i="106"/>
  <c r="D1116" i="106" s="1"/>
  <c r="K47" i="29"/>
  <c r="F161" i="34"/>
  <c r="B7600" i="106"/>
  <c r="L6" i="11"/>
  <c r="B7605" i="106" s="1"/>
  <c r="A7250" i="106"/>
  <c r="A7251" i="106" s="1"/>
  <c r="A7252" i="106" s="1"/>
  <c r="A7253" i="106" s="1"/>
  <c r="A7254" i="106" s="1"/>
  <c r="A7255" i="106" s="1"/>
  <c r="A7256" i="106" s="1"/>
  <c r="A7257" i="106" s="1"/>
  <c r="D7249" i="106"/>
  <c r="F274" i="5"/>
  <c r="E273" i="5"/>
  <c r="B6835" i="106"/>
  <c r="D6835" i="106" s="1"/>
  <c r="G273" i="5"/>
  <c r="B4398" i="106"/>
  <c r="D4398" i="106" s="1"/>
  <c r="B5537" i="106"/>
  <c r="D5537" i="106" s="1"/>
  <c r="E173" i="5"/>
  <c r="I109" i="5"/>
  <c r="B5527" i="106"/>
  <c r="D5527" i="106" s="1"/>
  <c r="L279" i="29"/>
  <c r="L295" i="29" s="1"/>
  <c r="L74" i="29"/>
  <c r="K33" i="29"/>
  <c r="B720" i="106"/>
  <c r="D720" i="106" s="1"/>
  <c r="B7618" i="106"/>
  <c r="L14" i="11"/>
  <c r="B7623" i="106" s="1"/>
  <c r="B7230" i="106"/>
  <c r="D7230" i="106" s="1"/>
  <c r="I352" i="29"/>
  <c r="I367" i="29" s="1"/>
  <c r="B7202" i="106"/>
  <c r="D7202" i="106" s="1"/>
  <c r="F342" i="29"/>
  <c r="B7219" i="106" s="1"/>
  <c r="D7219" i="106" s="1"/>
  <c r="B7503" i="106"/>
  <c r="B7531" i="106"/>
  <c r="B7214" i="106"/>
  <c r="D7214" i="106" s="1"/>
  <c r="B7221" i="106"/>
  <c r="D7221" i="106" s="1"/>
  <c r="B7201" i="106"/>
  <c r="D7201" i="106" s="1"/>
  <c r="E342" i="29"/>
  <c r="B7218" i="106" s="1"/>
  <c r="D7218" i="106" s="1"/>
  <c r="B6917" i="106"/>
  <c r="D6917" i="106" s="1"/>
  <c r="J74" i="29"/>
  <c r="D273" i="5"/>
  <c r="B5501" i="106" s="1"/>
  <c r="D5501" i="106" s="1"/>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8" i="106"/>
  <c r="D3628" i="106"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127" i="106"/>
  <c r="D1127" i="106" s="1"/>
  <c r="K65" i="29"/>
  <c r="B1133" i="106" s="1"/>
  <c r="D1133" i="106" s="1"/>
  <c r="B1123" i="106"/>
  <c r="D1123" i="106" s="1"/>
  <c r="K57" i="29"/>
  <c r="B3640" i="106"/>
  <c r="D3640" i="106" s="1"/>
  <c r="F352" i="29"/>
  <c r="F367" i="29" s="1"/>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73" i="5"/>
  <c r="B7270" i="106"/>
  <c r="J7" i="4" l="1"/>
  <c r="J16" i="4"/>
  <c r="B6226" i="106" s="1"/>
  <c r="D6226" i="106" s="1"/>
  <c r="D7252" i="106"/>
  <c r="K365" i="29"/>
  <c r="K16" i="4" s="1"/>
  <c r="F66" i="34"/>
  <c r="B7733" i="106"/>
  <c r="D7733" i="106" s="1"/>
  <c r="K26" i="12"/>
  <c r="B7743" i="106" s="1"/>
  <c r="D7743" i="106" s="1"/>
  <c r="B7235" i="106"/>
  <c r="D7235" i="106" s="1"/>
  <c r="B7730" i="106"/>
  <c r="D7730" i="106" s="1"/>
  <c r="F173" i="5"/>
  <c r="B5653" i="106" s="1"/>
  <c r="D5653" i="106" s="1"/>
  <c r="D41" i="108"/>
  <c r="E43" i="108" s="1"/>
  <c r="B6022" i="106"/>
  <c r="D6022" i="106" s="1"/>
  <c r="B5906" i="106"/>
  <c r="D5906" i="106" s="1"/>
  <c r="H6" i="4"/>
  <c r="B2656" i="106" s="1"/>
  <c r="D2656" i="106" s="1"/>
  <c r="H367" i="29"/>
  <c r="B3660" i="106" s="1"/>
  <c r="D3660" i="106" s="1"/>
  <c r="B1317" i="106"/>
  <c r="D1317" i="106" s="1"/>
  <c r="D7254" i="106"/>
  <c r="H151" i="29"/>
  <c r="B1273" i="106" s="1"/>
  <c r="D1273" i="106" s="1"/>
  <c r="B5914" i="106"/>
  <c r="D5914" i="106" s="1"/>
  <c r="D7255" i="106"/>
  <c r="D7253" i="106"/>
  <c r="B1328" i="106"/>
  <c r="D1328" i="106" s="1"/>
  <c r="D7250" i="106"/>
  <c r="B6014" i="106"/>
  <c r="D6014" i="106" s="1"/>
  <c r="N23" i="3"/>
  <c r="B284" i="106" s="1"/>
  <c r="D284" i="106" s="1"/>
  <c r="L16" i="11"/>
  <c r="B2061" i="106" s="1"/>
  <c r="D2061" i="106" s="1"/>
  <c r="B2031" i="106"/>
  <c r="D2031" i="106" s="1"/>
  <c r="L114" i="29"/>
  <c r="D44" i="36"/>
  <c r="K77" i="4"/>
  <c r="B3587" i="106" s="1"/>
  <c r="D3587" i="106" s="1"/>
  <c r="H77" i="4"/>
  <c r="B3299" i="106" s="1"/>
  <c r="D3299" i="106" s="1"/>
  <c r="K342" i="29"/>
  <c r="F13" i="34" s="1"/>
  <c r="F41" i="108"/>
  <c r="G43" i="108" s="1"/>
  <c r="F275" i="5"/>
  <c r="B5720" i="106" s="1"/>
  <c r="D5720" i="106" s="1"/>
  <c r="C4" i="4"/>
  <c r="B2551" i="106" s="1"/>
  <c r="D2551" i="106" s="1"/>
  <c r="F73" i="34"/>
  <c r="G15" i="4"/>
  <c r="B6032" i="106" s="1"/>
  <c r="D6032" i="106" s="1"/>
  <c r="B6024" i="106"/>
  <c r="D6024" i="106" s="1"/>
  <c r="G4" i="4"/>
  <c r="B2603" i="106" s="1"/>
  <c r="D2603" i="106" s="1"/>
  <c r="B1879" i="106"/>
  <c r="D1879" i="106" s="1"/>
  <c r="H22" i="37"/>
  <c r="B3649" i="106"/>
  <c r="D3649" i="106" s="1"/>
  <c r="G367" i="29"/>
  <c r="B3650" i="106" s="1"/>
  <c r="D3650" i="106" s="1"/>
  <c r="B5356" i="106"/>
  <c r="D5356" i="106" s="1"/>
  <c r="D4" i="4"/>
  <c r="B2564" i="106" s="1"/>
  <c r="D2564" i="106" s="1"/>
  <c r="D19" i="7"/>
  <c r="B1775" i="106" s="1"/>
  <c r="D1775" i="106" s="1"/>
  <c r="H275" i="5"/>
  <c r="B5915" i="106" s="1"/>
  <c r="D5915" i="106" s="1"/>
  <c r="B3724" i="106"/>
  <c r="D3724" i="106" s="1"/>
  <c r="B3568" i="106"/>
  <c r="D3568" i="106" s="1"/>
  <c r="D52" i="36"/>
  <c r="G173" i="5"/>
  <c r="B5770" i="106"/>
  <c r="D5770" i="106" s="1"/>
  <c r="B3670" i="106"/>
  <c r="D3670" i="106" s="1"/>
  <c r="K352" i="29"/>
  <c r="D274" i="5"/>
  <c r="B5507" i="106" s="1"/>
  <c r="D5507" i="106" s="1"/>
  <c r="D7256" i="106"/>
  <c r="D7251" i="106"/>
  <c r="C114" i="29"/>
  <c r="B757" i="106" s="1"/>
  <c r="D757" i="106" s="1"/>
  <c r="B6025" i="106"/>
  <c r="D6025" i="106" s="1"/>
  <c r="H4" i="4"/>
  <c r="C173" i="5"/>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75" i="5"/>
  <c r="B5946" i="106" s="1"/>
  <c r="D5946" i="106" s="1"/>
  <c r="G274" i="5"/>
  <c r="B5863" i="106"/>
  <c r="D5863" i="106" s="1"/>
  <c r="B7747" i="106"/>
  <c r="D7747" i="106" s="1"/>
  <c r="E274"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B7243" i="106"/>
  <c r="D72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B5719" i="106"/>
  <c r="D5719" i="106" s="1"/>
  <c r="F7" i="4"/>
  <c r="B2594" i="106" s="1"/>
  <c r="D2594" i="106" s="1"/>
  <c r="G22" i="108"/>
  <c r="B1119" i="106"/>
  <c r="D1119" i="106" s="1"/>
  <c r="E22" i="108"/>
  <c r="G12" i="145"/>
  <c r="G19" i="145" s="1"/>
  <c r="J20" i="145" s="1"/>
  <c r="E19" i="145"/>
  <c r="B6222" i="106"/>
  <c r="D6222" i="106" s="1"/>
  <c r="D7" i="4"/>
  <c r="B7298" i="106"/>
  <c r="B7299" i="106"/>
  <c r="F6" i="4" l="1"/>
  <c r="B2593" i="106" s="1"/>
  <c r="D2593" i="106" s="1"/>
  <c r="D275" i="5"/>
  <c r="F24" i="37"/>
  <c r="B7224" i="106"/>
  <c r="D7224" i="106" s="1"/>
  <c r="B1145" i="106"/>
  <c r="D1145" i="106" s="1"/>
  <c r="B5223" i="106"/>
  <c r="D5223" i="106" s="1"/>
  <c r="C6" i="4"/>
  <c r="B2553" i="106" s="1"/>
  <c r="D2553" i="106" s="1"/>
  <c r="K13" i="4"/>
  <c r="B3572" i="106" s="1"/>
  <c r="D3572" i="106" s="1"/>
  <c r="B3672" i="106"/>
  <c r="D3672" i="106" s="1"/>
  <c r="J8" i="4"/>
  <c r="B6223" i="106" s="1"/>
  <c r="D6223" i="106" s="1"/>
  <c r="F8" i="4"/>
  <c r="B2595" i="106" s="1"/>
  <c r="D2595" i="106" s="1"/>
  <c r="B2655" i="106"/>
  <c r="D2655" i="106" s="1"/>
  <c r="H8" i="4"/>
  <c r="B5778" i="106"/>
  <c r="D5778" i="106" s="1"/>
  <c r="G6" i="4"/>
  <c r="B2604" i="106" s="1"/>
  <c r="D2604" i="106" s="1"/>
  <c r="K367" i="29"/>
  <c r="K368" i="29" s="1"/>
  <c r="B3681" i="106" s="1"/>
  <c r="D3681" i="106" s="1"/>
  <c r="G41" i="108"/>
  <c r="G44" i="108" s="1"/>
  <c r="G45" i="108" s="1"/>
  <c r="E41" i="108"/>
  <c r="E44" i="108" s="1"/>
  <c r="E45" i="108" s="1"/>
  <c r="J17" i="4"/>
  <c r="J19" i="4" s="1"/>
  <c r="B6229" i="106" s="1"/>
  <c r="D6229"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H37" i="37"/>
  <c r="B285" i="106"/>
  <c r="D285" i="106" s="1"/>
  <c r="N37" i="3"/>
  <c r="B1510" i="106"/>
  <c r="D1510" i="106" s="1"/>
  <c r="K295" i="29"/>
  <c r="F12" i="34" s="1"/>
  <c r="G13" i="4"/>
  <c r="B3574" i="106"/>
  <c r="D3574" i="106" s="1"/>
  <c r="B1282" i="106"/>
  <c r="D1282" i="106" s="1"/>
  <c r="D15" i="4"/>
  <c r="B2571" i="106" s="1"/>
  <c r="D2571" i="106" s="1"/>
  <c r="B5869" i="106"/>
  <c r="D5869" i="106" s="1"/>
  <c r="G275"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10" i="4"/>
  <c r="B6225" i="106" s="1"/>
  <c r="D6225" i="106" s="1"/>
  <c r="B5508" i="106"/>
  <c r="D5508" i="106" s="1"/>
  <c r="B2567" i="106"/>
  <c r="D2567" i="106" s="1"/>
  <c r="D8" i="4" l="1"/>
  <c r="K17" i="4"/>
  <c r="K20" i="4" s="1"/>
  <c r="B3678" i="106"/>
  <c r="D3678" i="106" s="1"/>
  <c r="J20" i="4"/>
  <c r="B6230" i="106" s="1"/>
  <c r="D6230" i="106" s="1"/>
  <c r="B6227" i="106"/>
  <c r="D6227" i="106" s="1"/>
  <c r="F10" i="4"/>
  <c r="B4125" i="106" s="1"/>
  <c r="D4125" i="106" s="1"/>
  <c r="D8" i="146"/>
  <c r="H10" i="4"/>
  <c r="B4127" i="106" s="1"/>
  <c r="D4127" i="106" s="1"/>
  <c r="B2658" i="106"/>
  <c r="D2658" i="106" s="1"/>
  <c r="D10" i="171"/>
  <c r="D19" i="171" s="1"/>
  <c r="D32" i="171" s="1"/>
  <c r="D49" i="171" s="1"/>
  <c r="F76" i="34"/>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D20" i="4" s="1"/>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H13" i="118" s="1"/>
  <c r="B5327" i="106"/>
  <c r="D5327" i="106" s="1"/>
  <c r="K115" i="29"/>
  <c r="B1153" i="106" s="1"/>
  <c r="D1153" i="106" s="1"/>
  <c r="B5552" i="106"/>
  <c r="D5552" i="106" s="1"/>
  <c r="K175" i="29"/>
  <c r="B1333" i="106" s="1"/>
  <c r="D1333" i="106" s="1"/>
  <c r="A7260" i="106"/>
  <c r="D7259" i="106"/>
  <c r="E8" i="4"/>
  <c r="C8" i="146"/>
  <c r="D10" i="4"/>
  <c r="B4123" i="106" s="1"/>
  <c r="D4123" i="106" s="1"/>
  <c r="B2568" i="106"/>
  <c r="D2568" i="106" s="1"/>
  <c r="J78" i="4" l="1"/>
  <c r="J81" i="4" s="1"/>
  <c r="F14" i="34"/>
  <c r="F77" i="34" s="1"/>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D78" i="4"/>
  <c r="B2574" i="106"/>
  <c r="D2574" i="106" s="1"/>
  <c r="B6263" i="106" l="1"/>
  <c r="D6263" i="106" s="1"/>
  <c r="F179" i="34"/>
  <c r="F79" i="34"/>
  <c r="B3588" i="106"/>
  <c r="D3588" i="106" s="1"/>
  <c r="K81" i="4"/>
  <c r="F78" i="4"/>
  <c r="B2601" i="106"/>
  <c r="D2601" i="106" s="1"/>
  <c r="B3320" i="106"/>
  <c r="D3320" i="106" s="1"/>
  <c r="I81" i="4"/>
  <c r="K17" i="118"/>
  <c r="B3300" i="106"/>
  <c r="D3300" i="106" s="1"/>
  <c r="H81" i="4"/>
  <c r="B7631" i="106"/>
  <c r="F180" i="34"/>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F181" i="34" l="1"/>
  <c r="F183" i="34" s="1"/>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<sst xmlns="http://schemas.openxmlformats.org/spreadsheetml/2006/main" count="6326" uniqueCount="2353">
  <si>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</si>
  <si>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</si>
  <si>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</si>
  <si>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</si>
  <si>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</si>
  <si>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</si>
  <si>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</si>
  <si>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</si>
  <si>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</si>
  <si>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</si>
  <si>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</si>
  <si>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</si>
  <si>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</si>
  <si>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</si>
  <si>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</si>
  <si>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</si>
  <si>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</si>
  <si>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</si>
  <si>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</si>
  <si>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</si>
  <si>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</si>
  <si>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</si>
  <si>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</si>
  <si>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</si>
  <si>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</si>
  <si>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</si>
  <si>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</si>
  <si>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</si>
  <si>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</si>
  <si>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</si>
  <si>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</si>
  <si>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</si>
  <si>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</si>
  <si>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</si>
  <si>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</si>
  <si>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</si>
  <si>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</si>
  <si>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</si>
  <si>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</si>
  <si>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</si>
  <si>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</si>
  <si>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</si>
  <si>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</si>
  <si>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</si>
  <si>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</si>
  <si>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</si>
  <si>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</si>
  <si>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</si>
  <si>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</si>
  <si>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</si>
  <si>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</si>
  <si>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</si>
  <si>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</si>
  <si>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</si>
  <si>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</si>
  <si>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</si>
  <si>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</si>
  <si>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</si>
  <si>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</si>
  <si>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</si>
  <si>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</si>
  <si>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</si>
  <si>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</si>
  <si>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</si>
  <si>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</si>
  <si>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</si>
  <si>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</si>
  <si>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</si>
  <si>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</si>
  <si>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</si>
  <si>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</si>
  <si>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</si>
  <si>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</si>
  <si>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</si>
  <si>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</si>
  <si>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</si>
  <si>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</si>
  <si>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</si>
  <si>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</si>
  <si>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</si>
  <si>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</si>
  <si>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</si>
  <si>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</si>
  <si>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</si>
  <si>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</si>
  <si>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</si>
  <si>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</si>
  <si>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</si>
  <si>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</si>
  <si>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</si>
  <si>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</si>
  <si>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</si>
  <si>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</si>
  <si>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</si>
  <si>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</si>
  <si>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</si>
  <si>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</si>
  <si>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</si>
  <si>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</si>
  <si>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</si>
  <si>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</si>
  <si>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</si>
  <si>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</si>
  <si>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</si>
  <si>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</si>
  <si>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</si>
  <si>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</si>
  <si>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</si>
  <si>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</si>
  <si>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</si>
  <si>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</si>
  <si>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</si>
  <si>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</si>
  <si>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</si>
  <si>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</si>
  <si>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</si>
  <si>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</si>
  <si>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</si>
  <si>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</si>
  <si>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</si>
  <si>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</si>
  <si>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</si>
  <si>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</si>
  <si>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</si>
  <si>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</si>
  <si>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</si>
  <si>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</si>
  <si>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</si>
  <si>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</si>
  <si>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</si>
  <si>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</si>
  <si>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</si>
  <si>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</si>
  <si>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</si>
  <si>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</si>
  <si>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</si>
  <si>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</si>
  <si>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</si>
  <si>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</si>
  <si>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</si>
  <si>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</si>
  <si>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</si>
  <si>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</si>
  <si>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</si>
  <si>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</si>
  <si>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</si>
  <si>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</si>
  <si>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</si>
  <si>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</si>
  <si>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</si>
  <si>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</si>
  <si>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</si>
  <si>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</si>
  <si>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</si>
  <si>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</si>
  <si>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</si>
  <si>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</si>
  <si>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</si>
  <si>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</si>
  <si>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</si>
  <si>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</si>
  <si>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</si>
  <si>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</si>
  <si>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</si>
  <si>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</si>
  <si>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</si>
  <si>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</si>
  <si>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</si>
  <si>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</si>
  <si>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</si>
  <si>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</si>
  <si>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</si>
  <si>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</si>
  <si>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</si>
  <si>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</si>
  <si>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</si>
  <si>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</si>
  <si>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</si>
  <si>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</si>
  <si>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</si>
  <si>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</si>
  <si>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</si>
  <si>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</si>
  <si>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</si>
  <si>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</si>
  <si>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</si>
  <si>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</si>
  <si>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</si>
  <si>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</si>
  <si>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</si>
  <si>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</si>
  <si>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</si>
  <si>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</si>
  <si>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</si>
  <si>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</si>
  <si>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</si>
  <si>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</si>
  <si>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</si>
  <si>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</si>
  <si>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</si>
  <si>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</si>
  <si>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</si>
  <si>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</si>
  <si>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</si>
  <si>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</si>
  <si>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</si>
  <si>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</si>
  <si>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</si>
  <si>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</si>
  <si>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</si>
  <si>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</si>
  <si>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</si>
  <si>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</si>
  <si>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</si>
  <si>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</si>
  <si>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</si>
  <si>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</si>
  <si>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</si>
  <si>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</si>
  <si>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</si>
  <si>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</si>
  <si>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</si>
  <si>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</si>
  <si>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</si>
  <si>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</si>
  <si>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</si>
  <si>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</si>
  <si>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</si>
  <si>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</si>
  <si>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</si>
  <si>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</si>
  <si>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</si>
  <si>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</si>
  <si>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</si>
  <si>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</si>
  <si>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</si>
  <si>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</si>
  <si>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</si>
  <si>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</si>
  <si>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</si>
  <si>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</si>
  <si>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</si>
  <si>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</si>
  <si>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</si>
  <si>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</si>
  <si>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</si>
  <si>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</si>
  <si>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</si>
  <si>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</si>
  <si>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</si>
  <si>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</si>
  <si>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</si>
  <si>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</si>
  <si>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</si>
  <si>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</si>
  <si>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</si>
  <si>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</si>
  <si>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</si>
  <si>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</si>
  <si>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</si>
  <si>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</si>
  <si>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</si>
  <si>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</si>
  <si>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</si>
  <si>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</si>
  <si>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</si>
  <si>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</si>
  <si>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</si>
  <si>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</si>
  <si>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</si>
  <si>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</si>
  <si>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</si>
  <si>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</si>
  <si>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</si>
  <si>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</si>
  <si>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</si>
  <si>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</si>
  <si>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</si>
  <si>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</si>
  <si>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</si>
  <si>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</si>
  <si>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</si>
  <si>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</si>
  <si>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</si>
  <si>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</si>
  <si>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</si>
  <si>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</si>
  <si>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</si>
  <si>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</si>
  <si>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</si>
  <si>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</si>
  <si>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</si>
  <si>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</si>
  <si>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</si>
  <si>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</si>
  <si>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</si>
  <si>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</si>
  <si>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</si>
  <si>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</si>
  <si>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</si>
  <si>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</si>
  <si>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</si>
  <si>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</si>
  <si>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</si>
  <si>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</si>
  <si>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</si>
  <si>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</si>
  <si>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</si>
  <si>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</si>
  <si>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</si>
  <si>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</si>
  <si>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</si>
  <si>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</si>
  <si>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</si>
  <si>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</si>
  <si>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</si>
  <si>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</si>
  <si>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</si>
  <si>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</si>
  <si>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</si>
  <si>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</si>
  <si>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</si>
  <si>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</si>
  <si>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</si>
  <si>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</si>
  <si>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</si>
  <si>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</si>
  <si>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</si>
  <si>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</si>
  <si>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</si>
  <si>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</si>
  <si>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</si>
  <si>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</si>
  <si>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</si>
  <si>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</si>
  <si>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</si>
  <si>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</si>
  <si>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</si>
  <si>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</si>
  <si>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</si>
  <si>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</si>
  <si>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</si>
  <si>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</si>
  <si>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</si>
  <si>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</si>
  <si>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</si>
  <si>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</si>
  <si>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</si>
  <si>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</si>
  <si>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</si>
  <si>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</si>
  <si>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</si>
  <si>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</si>
  <si>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</si>
  <si>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</si>
  <si>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</si>
  <si>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</si>
  <si>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</si>
  <si>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</si>
  <si>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</si>
  <si>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</si>
  <si>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</si>
  <si>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</si>
  <si>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</si>
  <si>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</si>
  <si>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</si>
  <si>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</si>
  <si>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</si>
  <si>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</si>
  <si>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</si>
  <si>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</si>
  <si>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</si>
  <si>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</si>
  <si>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</si>
  <si>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</si>
  <si>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</si>
  <si>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</si>
  <si>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</si>
  <si>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</si>
  <si>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</si>
  <si>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</si>
  <si>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</si>
  <si>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</si>
  <si>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</si>
  <si>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</si>
  <si>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</si>
  <si>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</si>
  <si>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</si>
  <si>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</si>
  <si>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</si>
  <si>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</si>
  <si>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</si>
  <si>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</si>
  <si>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</si>
  <si>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</si>
  <si>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</si>
  <si>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</si>
  <si>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</si>
  <si>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</si>
  <si>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</si>
  <si>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</si>
  <si>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</si>
  <si>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</si>
  <si>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</si>
  <si>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</si>
  <si>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</si>
  <si>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</si>
  <si>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</si>
  <si>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</si>
  <si>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</si>
  <si>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</si>
  <si>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</si>
  <si>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</si>
  <si>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</si>
  <si>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</si>
  <si>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</si>
  <si>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</si>
  <si>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</si>
  <si>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</si>
  <si>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</si>
  <si>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</si>
  <si>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</si>
  <si>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</si>
  <si>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</si>
  <si>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</si>
  <si>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</si>
  <si>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</si>
  <si>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</si>
  <si>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</si>
  <si>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</si>
  <si>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</si>
  <si>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</si>
  <si>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</si>
  <si>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</si>
  <si>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</si>
  <si>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</si>
  <si>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</si>
  <si>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</si>
  <si>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</si>
  <si>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</si>
  <si>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</si>
  <si>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</si>
  <si>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</si>
  <si>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</si>
  <si>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</si>
  <si>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</si>
  <si>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</si>
  <si>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</si>
  <si>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</si>
  <si>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</si>
  <si>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</si>
  <si>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</si>
  <si>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</si>
  <si>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</si>
  <si>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</si>
  <si>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</si>
  <si>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</si>
  <si>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</si>
  <si>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</si>
  <si>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</si>
  <si>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</si>
  <si>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</si>
  <si>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</si>
  <si>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</si>
  <si>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</si>
  <si>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</si>
  <si>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</si>
  <si>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</si>
  <si>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</si>
  <si>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</si>
  <si>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</si>
  <si>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</si>
  <si>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</si>
  <si>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</si>
  <si>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</si>
  <si>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</si>
  <si>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</si>
  <si>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</si>
  <si>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</si>
  <si>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</si>
  <si>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</si>
  <si>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</si>
  <si>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</si>
  <si>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</si>
  <si>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</si>
  <si>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</si>
  <si>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</si>
  <si>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</si>
  <si>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</si>
  <si>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</si>
  <si>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</si>
  <si>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</si>
  <si>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</si>
  <si>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</si>
  <si>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</si>
  <si>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</si>
  <si>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</si>
  <si>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</si>
  <si>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</si>
  <si>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</si>
  <si>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</si>
  <si>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</si>
  <si>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</si>
  <si>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</si>
  <si>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</si>
  <si>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</si>
  <si>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</si>
  <si>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</si>
  <si>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</si>
  <si>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</si>
  <si>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</si>
  <si>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</si>
  <si>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</si>
  <si>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</si>
  <si>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</si>
  <si>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</si>
  <si>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</si>
  <si>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</si>
  <si>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</si>
  <si>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</si>
  <si>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</si>
  <si>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</si>
  <si>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</si>
  <si>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</si>
  <si>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</si>
  <si>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</si>
  <si>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</si>
  <si>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</si>
  <si>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</si>
  <si>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</si>
  <si>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</si>
  <si>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</si>
  <si>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</si>
  <si>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</si>
  <si>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</si>
  <si>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</si>
  <si>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</si>
  <si>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</si>
  <si>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</si>
  <si>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</si>
  <si>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</si>
  <si>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</si>
  <si>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</si>
  <si>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</si>
  <si>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</si>
  <si>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</si>
  <si>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</si>
  <si>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</si>
  <si>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</si>
  <si>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</si>
  <si>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</si>
  <si>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</si>
  <si>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</si>
  <si>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</si>
  <si>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</si>
  <si>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</si>
  <si>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</si>
  <si>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</si>
  <si>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</si>
  <si>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</si>
  <si>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</si>
  <si>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</si>
  <si>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</si>
  <si>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</si>
  <si>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</si>
  <si>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</si>
  <si>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</si>
  <si>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</si>
  <si>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</si>
  <si>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</si>
  <si>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</si>
  <si>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</si>
  <si>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</si>
  <si>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</si>
  <si>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</si>
  <si>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</si>
  <si>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</si>
  <si>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</si>
  <si>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</si>
  <si>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</si>
  <si>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</si>
  <si>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</si>
  <si>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</si>
  <si>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</si>
  <si>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</si>
  <si>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</si>
  <si>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</si>
  <si>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</si>
  <si>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</si>
  <si>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</si>
  <si>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</si>
  <si>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</si>
  <si>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</si>
  <si>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</si>
  <si>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</si>
  <si>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</si>
  <si>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</si>
  <si>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</si>
  <si>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</si>
  <si>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</si>
  <si>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</si>
  <si>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</si>
  <si>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</si>
  <si>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</si>
  <si>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</si>
  <si>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</si>
  <si>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</si>
  <si>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</si>
  <si>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</si>
  <si>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</si>
  <si>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</si>
  <si>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</si>
  <si>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</si>
  <si>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</si>
  <si>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</si>
  <si>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</si>
  <si>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</si>
  <si>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</si>
  <si>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</si>
  <si>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</si>
  <si>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</si>
  <si>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</si>
  <si>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</si>
  <si>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</si>
  <si>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</si>
  <si>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</si>
  <si>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</si>
  <si>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</si>
  <si>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</si>
  <si>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</si>
  <si>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</si>
  <si>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</si>
  <si>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</si>
  <si>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</si>
  <si>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</si>
  <si>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</si>
  <si>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</si>
  <si>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</si>
  <si>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</si>
  <si>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</si>
  <si>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</si>
  <si>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</si>
  <si>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</si>
  <si>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</si>
  <si>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</si>
  <si>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</si>
  <si>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</si>
  <si>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</si>
  <si>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</si>
  <si>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</si>
  <si>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</si>
  <si>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</si>
  <si>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</si>
  <si>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</si>
  <si>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</si>
  <si>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</si>
  <si>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</si>
  <si>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</si>
  <si>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</si>
  <si>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</si>
  <si>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</si>
  <si>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</si>
  <si>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</si>
  <si>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</si>
  <si>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</si>
  <si>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</si>
  <si>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</si>
  <si>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</si>
  <si>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</si>
  <si>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</si>
  <si>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</si>
  <si>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</si>
  <si>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</si>
  <si>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</si>
  <si>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</si>
  <si>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</si>
  <si>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</si>
  <si>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</si>
  <si>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</si>
  <si>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</si>
  <si>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</si>
  <si>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</si>
  <si>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</si>
  <si>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</si>
  <si>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</si>
  <si>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</si>
  <si>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</si>
  <si>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</si>
  <si>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</si>
  <si>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</si>
  <si>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</si>
  <si>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</si>
  <si>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</si>
  <si>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</si>
  <si>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</si>
  <si>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</si>
  <si>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</si>
  <si>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</si>
  <si>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</si>
  <si>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</si>
  <si>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</si>
  <si>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</si>
  <si>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</si>
  <si>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</si>
  <si>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</si>
  <si>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</si>
  <si>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</si>
  <si>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</si>
  <si>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</si>
  <si>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</si>
  <si>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</si>
  <si>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</si>
  <si>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</si>
  <si>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</si>
  <si>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</si>
  <si>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</si>
  <si>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</si>
  <si>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</si>
  <si>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</si>
  <si>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</si>
  <si>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</si>
  <si>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</si>
  <si>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</si>
  <si>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</si>
  <si>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</si>
  <si>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</si>
  <si>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</si>
  <si>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</si>
  <si>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</si>
  <si>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</si>
  <si>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</si>
  <si>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</si>
  <si>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</si>
  <si>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</si>
  <si>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</si>
  <si>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</si>
  <si>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</si>
  <si>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</si>
  <si>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</si>
  <si>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</si>
  <si>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</si>
  <si>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</si>
  <si>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</si>
  <si>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</si>
  <si>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</si>
  <si>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</si>
  <si>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</si>
  <si>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</si>
  <si>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</si>
  <si>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</si>
  <si>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</si>
  <si>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</si>
  <si>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</si>
  <si>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</si>
  <si>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</si>
  <si>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</si>
  <si>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</si>
  <si>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</si>
  <si>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</si>
  <si>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</si>
  <si>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</si>
  <si>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</si>
  <si>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</si>
  <si>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</si>
  <si>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</si>
  <si>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</si>
  <si>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</si>
  <si>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</si>
  <si>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</si>
  <si>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</si>
  <si>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</si>
  <si>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</si>
  <si>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</si>
  <si>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</si>
  <si>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</si>
  <si>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</si>
  <si>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</si>
  <si>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</si>
  <si>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</si>
  <si>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</si>
  <si>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</si>
  <si>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</si>
  <si>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</si>
  <si>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</si>
  <si>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</si>
  <si>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</si>
  <si>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</si>
  <si>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</si>
  <si>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</si>
  <si>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</si>
  <si>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</si>
  <si>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</si>
  <si>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</si>
  <si>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</si>
  <si>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</si>
  <si>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</si>
  <si>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</si>
  <si>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</si>
  <si>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</si>
  <si>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</si>
  <si>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</si>
  <si>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</si>
  <si>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</si>
  <si>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</si>
  <si>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</si>
  <si>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</si>
  <si>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</si>
  <si>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</si>
  <si>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</si>
  <si>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</si>
  <si>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</si>
  <si>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</si>
  <si>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</si>
  <si>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</si>
  <si>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</si>
  <si>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</si>
  <si>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</si>
  <si>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</si>
  <si>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</si>
  <si>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</si>
  <si>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</si>
  <si>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</si>
  <si>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</si>
  <si>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</si>
  <si>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</si>
  <si>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</si>
  <si>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</si>
  <si>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</si>
  <si>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</si>
  <si>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</si>
  <si>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</si>
  <si>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</si>
  <si>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</si>
  <si>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</si>
  <si>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</si>
  <si>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</si>
  <si>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</si>
  <si>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</si>
  <si>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</si>
  <si>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</si>
  <si>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</si>
  <si>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</si>
  <si>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</si>
  <si>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</si>
  <si>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</si>
  <si>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</si>
  <si>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</si>
  <si>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</si>
  <si>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</si>
  <si>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</si>
  <si>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</si>
  <si>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</si>
  <si>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</si>
  <si>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</si>
  <si>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</si>
  <si>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</si>
  <si>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</si>
  <si>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</si>
  <si>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</si>
  <si>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</si>
  <si>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</si>
  <si>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</si>
  <si>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</si>
  <si>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</si>
  <si>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</si>
  <si>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</si>
  <si>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</si>
  <si>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</si>
  <si>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</si>
  <si>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</si>
  <si>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</si>
  <si>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</si>
  <si>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</si>
  <si>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</si>
  <si>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</si>
  <si>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</si>
  <si>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</si>
  <si>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</si>
  <si>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</si>
  <si>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</si>
  <si>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</si>
  <si>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</si>
  <si>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</si>
  <si>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</si>
  <si>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</si>
  <si>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</si>
  <si>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</si>
  <si>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</si>
  <si>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</si>
  <si>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</si>
  <si>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</si>
  <si>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</si>
  <si>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</si>
  <si>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</si>
  <si>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</si>
  <si>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</si>
  <si>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</si>
  <si>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</si>
  <si>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</si>
  <si>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</si>
  <si>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</si>
  <si>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</si>
  <si>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</si>
  <si>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</si>
  <si>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</si>
  <si>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</si>
  <si>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</si>
  <si>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</si>
  <si>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</si>
  <si>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</si>
  <si>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</si>
  <si>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</si>
  <si>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</si>
  <si>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</si>
  <si>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</si>
  <si>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</si>
  <si>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</si>
  <si>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</si>
  <si>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</si>
  <si>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</si>
  <si>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</si>
  <si>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</si>
  <si>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</si>
  <si>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</si>
  <si>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</si>
  <si>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</si>
  <si>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</si>
  <si>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</si>
  <si>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</si>
  <si>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</si>
  <si>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</si>
  <si>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</si>
  <si>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</si>
  <si>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</si>
  <si>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</si>
  <si>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</si>
  <si>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</si>
  <si>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</si>
  <si>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</si>
  <si>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</si>
  <si>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</si>
  <si>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</si>
  <si>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</si>
  <si>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</si>
  <si>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</si>
  <si>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</si>
  <si>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</si>
  <si>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</si>
  <si>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</si>
  <si>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</si>
  <si>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</si>
  <si>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</si>
  <si>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</si>
  <si>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</si>
  <si>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</si>
  <si>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</si>
  <si>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</si>
  <si>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</si>
  <si>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</si>
  <si>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</si>
  <si>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</si>
  <si>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</si>
  <si>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</si>
  <si>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</si>
  <si>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</si>
  <si>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</si>
  <si>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</si>
  <si>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</si>
  <si>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</si>
  <si>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</si>
  <si>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</si>
  <si>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</si>
  <si>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</si>
  <si>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</si>
  <si>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</si>
  <si>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</si>
  <si>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</si>
  <si>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</si>
  <si>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</si>
  <si>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</si>
  <si>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</si>
  <si>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</si>
  <si>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</si>
  <si>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</si>
  <si>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</si>
  <si>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</si>
  <si>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</si>
  <si>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</si>
  <si>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</si>
  <si>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</si>
  <si>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</si>
  <si>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</si>
  <si>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</si>
  <si>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</si>
  <si>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</si>
  <si>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</si>
  <si>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</si>
  <si>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</si>
  <si>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</si>
  <si>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</si>
  <si>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</si>
  <si>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</si>
  <si>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</si>
  <si>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</si>
  <si>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</si>
  <si>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</si>
  <si>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</si>
  <si>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</si>
  <si>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</si>
  <si>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</si>
  <si>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</si>
  <si>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</si>
  <si>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</si>
  <si>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</si>
  <si>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</si>
  <si>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</si>
  <si>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</si>
  <si>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</si>
  <si>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</si>
  <si>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</si>
  <si>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</si>
  <si>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</si>
  <si>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</si>
  <si>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</si>
  <si>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</si>
  <si>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</si>
  <si>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</si>
  <si>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</si>
  <si>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</si>
  <si>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</si>
  <si>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</si>
  <si>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</si>
  <si>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</si>
  <si>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</si>
  <si>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</si>
  <si>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</si>
  <si>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</si>
  <si>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</si>
  <si>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</si>
  <si>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</si>
  <si>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</si>
  <si>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</si>
  <si>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</si>
  <si>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</si>
  <si>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</si>
  <si>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</si>
  <si>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</si>
  <si>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</si>
  <si>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</si>
  <si>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</si>
  <si>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</si>
  <si>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</si>
  <si>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</si>
  <si>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</si>
  <si>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</si>
  <si>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</si>
  <si>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</si>
  <si>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</si>
  <si>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</si>
  <si>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</si>
  <si>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</si>
  <si>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</si>
  <si>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</si>
  <si>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</si>
  <si>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</si>
  <si>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</si>
  <si>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</si>
  <si>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</si>
  <si>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</si>
  <si>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</si>
  <si>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</si>
  <si>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</si>
  <si>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</si>
  <si>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</si>
  <si>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</si>
  <si>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</si>
  <si>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</si>
  <si>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</si>
  <si>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</si>
  <si>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</si>
  <si>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</si>
  <si>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</si>
  <si>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</si>
  <si>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</si>
  <si>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</si>
  <si>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</si>
  <si>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</si>
  <si>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</si>
  <si>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</si>
  <si>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</si>
  <si>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</si>
  <si>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</si>
  <si>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</si>
  <si>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</si>
  <si>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</si>
  <si>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</si>
  <si>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</si>
  <si>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</si>
  <si>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</si>
  <si>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</si>
  <si>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</si>
  <si>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</si>
  <si>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</si>
  <si>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</si>
  <si>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</si>
  <si>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</si>
  <si>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</si>
  <si>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</si>
  <si>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</si>
  <si>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</si>
  <si>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</si>
  <si>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</si>
  <si>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</si>
  <si>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</si>
  <si>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</si>
  <si>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</si>
  <si>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</si>
  <si>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</si>
  <si>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</si>
  <si>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</si>
  <si>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</si>
  <si>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</si>
  <si>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</si>
  <si>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</si>
  <si>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</si>
  <si>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</si>
  <si>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</si>
  <si>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</si>
  <si>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</si>
  <si>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</si>
  <si>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</si>
  <si>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</si>
  <si>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</si>
  <si>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</si>
  <si>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</si>
  <si>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</si>
  <si>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</si>
  <si>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</si>
  <si>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</si>
  <si>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</si>
  <si>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</si>
  <si>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</si>
  <si>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</si>
  <si>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</si>
  <si>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</si>
  <si>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</si>
  <si>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</si>
  <si>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</si>
  <si>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</si>
  <si>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</si>
  <si>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</si>
  <si>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</si>
  <si>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</si>
  <si>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</si>
  <si>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</si>
  <si>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</si>
  <si>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</si>
  <si>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</si>
  <si>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</si>
  <si>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</si>
  <si>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</si>
  <si>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</si>
  <si>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</si>
  <si>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</si>
  <si>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</si>
  <si>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</si>
  <si>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</si>
  <si>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</si>
  <si>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</si>
  <si>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</si>
  <si>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</si>
  <si>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</si>
  <si>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</si>
  <si>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</si>
  <si>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</si>
  <si>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</si>
  <si>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</si>
  <si>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</si>
  <si>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</si>
  <si>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</si>
  <si>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</si>
  <si>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</si>
  <si>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</si>
  <si>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</si>
  <si>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</si>
  <si>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</si>
  <si>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</si>
  <si>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</si>
  <si>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</si>
  <si>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</si>
  <si>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</si>
  <si>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</si>
  <si>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</si>
  <si>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</si>
  <si>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</si>
  <si>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</si>
  <si>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</si>
  <si>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</si>
  <si>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</si>
  <si>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</si>
  <si>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</si>
  <si>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</si>
  <si>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</si>
  <si>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</si>
  <si>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</si>
  <si>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</si>
  <si>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</si>
  <si>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</si>
  <si>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</si>
  <si>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</si>
  <si>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</si>
  <si>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</si>
  <si>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</si>
  <si>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</si>
  <si>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</si>
  <si>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</si>
  <si>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</si>
  <si>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</si>
  <si>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</si>
  <si>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</si>
  <si>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</si>
  <si>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</si>
  <si>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</si>
  <si>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</si>
  <si>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</si>
  <si>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</si>
  <si>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</si>
  <si>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</si>
  <si>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</si>
  <si>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</si>
  <si>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</si>
  <si>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</si>
  <si>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</si>
  <si>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</si>
  <si>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</si>
  <si>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</si>
  <si>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</si>
  <si>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</si>
  <si>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</si>
  <si>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</si>
  <si>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</si>
  <si>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</si>
  <si>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</si>
  <si>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</si>
  <si>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</si>
  <si>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</si>
  <si>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</si>
  <si>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</si>
  <si>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</si>
  <si>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</si>
  <si>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</si>
  <si>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</si>
  <si>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</si>
  <si>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</si>
  <si>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</si>
  <si>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</si>
  <si>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</si>
  <si>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</si>
  <si>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</si>
  <si>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</si>
  <si>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</si>
  <si>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</si>
  <si>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</si>
  <si>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</si>
  <si>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</si>
  <si>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</si>
  <si>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</si>
  <si>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</si>
  <si>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</si>
  <si>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</si>
  <si>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</si>
  <si>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</si>
  <si>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</si>
  <si>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</si>
  <si>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</si>
  <si>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</si>
  <si>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</si>
  <si>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</si>
  <si>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</si>
  <si>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</si>
  <si>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</si>
  <si>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</si>
  <si>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</si>
  <si>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</si>
  <si>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</si>
  <si>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</si>
  <si>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</si>
  <si>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</si>
  <si>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</si>
  <si>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</si>
  <si>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</si>
  <si>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</si>
  <si>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</si>
  <si>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</si>
  <si>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</si>
  <si>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</si>
  <si>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</si>
  <si>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</si>
  <si>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</si>
  <si>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</si>
  <si>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</si>
  <si>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</si>
  <si>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</si>
  <si>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</si>
  <si>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</si>
  <si>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</si>
  <si>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</si>
  <si>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</si>
  <si>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</si>
  <si>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</si>
  <si>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</si>
  <si>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</si>
  <si>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</si>
  <si>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</si>
  <si>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</si>
  <si>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</si>
  <si>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</si>
  <si>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</si>
  <si>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</si>
  <si>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</si>
  <si>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</si>
  <si>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</si>
  <si>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</si>
  <si>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</si>
  <si>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</si>
  <si>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</si>
  <si>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</si>
  <si>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</si>
  <si>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</si>
  <si>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</si>
  <si>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</si>
  <si>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</si>
  <si>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</si>
  <si>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</si>
  <si>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</si>
  <si>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</si>
  <si>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</si>
  <si>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</si>
  <si>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</si>
  <si>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</si>
  <si>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</si>
  <si>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</si>
  <si>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</si>
  <si>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</si>
  <si>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</si>
  <si>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</si>
  <si>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</si>
  <si>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</si>
  <si>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</si>
  <si>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</si>
  <si>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</si>
  <si>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</si>
  <si>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</si>
  <si>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</si>
  <si>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</si>
  <si>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</si>
  <si>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</si>
  <si>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</si>
  <si>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</si>
  <si>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</si>
  <si>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</si>
  <si>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</si>
  <si>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</si>
  <si>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</si>
  <si>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</si>
  <si>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</si>
  <si>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</si>
  <si>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</si>
  <si>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</si>
  <si>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</si>
  <si>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</si>
  <si>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</si>
  <si>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</si>
  <si>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</si>
  <si>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</si>
  <si>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</si>
  <si>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</si>
  <si>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</si>
  <si>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</si>
  <si>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</si>
  <si>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</si>
  <si>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</si>
  <si>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</si>
  <si>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</si>
  <si>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</si>
  <si>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</si>
  <si>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</si>
  <si>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</si>
  <si>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</si>
  <si>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</si>
  <si>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</si>
  <si>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</si>
  <si>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</si>
  <si>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</si>
  <si>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</si>
  <si>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</si>
  <si>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</si>
  <si>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</si>
  <si>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</si>
  <si>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</si>
  <si>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</si>
  <si>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</si>
  <si>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</si>
  <si>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</si>
  <si>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</si>
  <si>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</si>
  <si>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</si>
  <si>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</si>
  <si>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</si>
  <si>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</si>
  <si>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</si>
  <si>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</si>
  <si>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</si>
  <si>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</si>
  <si>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</si>
  <si>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</si>
  <si>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</si>
  <si>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</si>
  <si>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</si>
  <si>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</si>
  <si>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</si>
  <si>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</si>
  <si>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</si>
  <si>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</si>
  <si>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</si>
  <si>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</si>
  <si>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</si>
  <si>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</si>
  <si>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</si>
  <si>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</si>
  <si>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</si>
  <si>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</si>
  <si>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</si>
  <si>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</si>
  <si>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</si>
  <si>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</si>
  <si>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</si>
  <si>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</si>
  <si>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</si>
  <si>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</si>
  <si>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</si>
  <si>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</si>
  <si>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</si>
  <si>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</si>
  <si>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</si>
  <si>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</si>
  <si>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</si>
  <si>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</si>
  <si>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</si>
  <si>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</si>
  <si>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</si>
  <si>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</si>
  <si>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</si>
  <si>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</si>
  <si>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</si>
  <si>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</si>
  <si>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</si>
  <si>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</si>
  <si>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</si>
  <si>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</si>
  <si>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</si>
  <si>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</si>
  <si>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</si>
  <si>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</si>
  <si>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</si>
  <si>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</si>
  <si>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</si>
  <si>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</si>
  <si>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</si>
  <si>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</si>
  <si>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</si>
  <si>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</si>
  <si>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</si>
  <si>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</si>
  <si>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</si>
  <si>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</si>
  <si>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</si>
  <si>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</si>
  <si>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</si>
  <si>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</si>
  <si>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</si>
  <si>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</si>
  <si>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</si>
  <si>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</si>
  <si>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</si>
  <si>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</si>
  <si>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</si>
  <si>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</si>
  <si>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</si>
  <si>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</si>
  <si>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</si>
  <si>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</si>
  <si>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</si>
  <si>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</si>
  <si>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</si>
  <si>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</si>
  <si>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</si>
  <si>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</si>
  <si>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</si>
  <si>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</si>
  <si>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</si>
  <si>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</si>
  <si>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</si>
  <si>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</si>
  <si>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</si>
  <si>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</si>
  <si>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</si>
  <si>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</si>
  <si>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</si>
  <si>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</si>
  <si>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</si>
  <si>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</si>
  <si>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</si>
  <si>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</si>
  <si>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</si>
  <si>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</si>
  <si>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</si>
  <si>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</si>
  <si>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</si>
  <si>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</si>
  <si>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</si>
  <si>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</si>
  <si>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</si>
  <si>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</si>
  <si>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</si>
  <si>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</si>
  <si>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</si>
  <si>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</si>
  <si>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</si>
  <si>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</si>
  <si>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</si>
  <si>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</si>
  <si>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</si>
  <si>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</si>
  <si>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</si>
  <si>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</si>
  <si>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</si>
  <si>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</si>
  <si>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</si>
  <si>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</si>
  <si>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</si>
  <si>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</si>
  <si>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</si>
  <si>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</si>
  <si>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</si>
  <si>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</si>
  <si>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</si>
  <si>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</si>
  <si>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</si>
  <si>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</si>
  <si>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</si>
  <si>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</si>
  <si>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</si>
  <si>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</si>
  <si>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</si>
  <si>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</si>
  <si>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</si>
  <si>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</si>
  <si>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</si>
  <si>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</si>
  <si>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</si>
  <si>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</si>
  <si>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</si>
  <si>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</si>
  <si>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</si>
  <si>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</si>
  <si>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</si>
  <si>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</si>
  <si>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</si>
  <si>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</si>
  <si>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</si>
  <si>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</si>
  <si>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</si>
  <si>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</si>
  <si>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</si>
  <si>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</si>
  <si>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</si>
  <si>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</si>
  <si>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</si>
  <si>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</si>
  <si>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</si>
  <si>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</si>
  <si>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</si>
  <si>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</si>
  <si>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</si>
  <si>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</si>
  <si>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</si>
  <si>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</si>
  <si>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</si>
  <si>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</si>
  <si>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</si>
  <si>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</si>
  <si>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</si>
  <si>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</si>
  <si>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</si>
  <si>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</si>
  <si>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</si>
  <si>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</si>
  <si>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</si>
  <si>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</si>
  <si>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</si>
  <si>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</si>
  <si>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</si>
  <si>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</si>
  <si>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</si>
  <si>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</si>
  <si>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</si>
  <si>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</si>
  <si>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</si>
  <si>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</si>
  <si>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</si>
  <si>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</si>
  <si>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</si>
  <si>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</si>
  <si>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</si>
  <si>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</si>
  <si>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</si>
  <si>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</si>
  <si>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</si>
  <si>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</si>
  <si>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</si>
  <si>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</si>
  <si>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</si>
  <si>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</si>
  <si>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</si>
  <si>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</si>
  <si>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</si>
  <si>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</si>
  <si>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</si>
  <si>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</si>
  <si>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</si>
  <si>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</si>
  <si>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</si>
  <si>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</si>
  <si>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</si>
  <si>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</si>
  <si>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</si>
  <si>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</si>
  <si>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</si>
  <si>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</si>
  <si>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</si>
  <si>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</si>
  <si>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</si>
  <si>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</si>
  <si>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</si>
  <si>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</si>
  <si>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</si>
  <si>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</si>
  <si>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</si>
  <si>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</si>
  <si>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</si>
  <si>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</si>
  <si>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</si>
  <si>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</si>
  <si>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</si>
  <si>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</si>
  <si>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</si>
  <si>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</si>
  <si>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</si>
  <si>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</si>
  <si>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</si>
  <si>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</si>
  <si>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</si>
  <si>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</si>
  <si>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</si>
  <si>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</si>
  <si>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</si>
  <si>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</si>
  <si>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</si>
  <si>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</si>
  <si>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</si>
  <si>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</si>
  <si>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</si>
  <si>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</si>
  <si>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</si>
  <si>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</si>
  <si>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</si>
  <si>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</si>
  <si>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</si>
  <si>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</si>
  <si>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</si>
  <si>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</si>
  <si>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</si>
  <si>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</si>
  <si>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</si>
  <si>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</si>
  <si>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</si>
  <si>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</si>
  <si>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</si>
  <si>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</si>
  <si>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</si>
  <si>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</si>
  <si>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</si>
  <si>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</si>
  <si>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</si>
  <si>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</si>
  <si>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</si>
  <si>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</si>
  <si>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</si>
  <si>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</si>
  <si>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</si>
  <si>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</si>
  <si>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</si>
  <si>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</si>
  <si>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</si>
  <si>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</si>
  <si>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</si>
  <si>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</si>
  <si>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</si>
  <si>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</si>
  <si>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</si>
  <si>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</si>
  <si>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</si>
  <si>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</si>
  <si>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</si>
  <si>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</si>
  <si>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</si>
  <si>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</si>
  <si>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</si>
  <si>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</si>
  <si>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</si>
  <si>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</si>
  <si>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</si>
  <si>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</si>
  <si>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</si>
  <si>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</si>
  <si>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</si>
  <si>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</si>
  <si>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</si>
  <si>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</si>
  <si>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</si>
  <si>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</si>
  <si>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</si>
  <si>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</si>
  <si>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</si>
  <si>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</si>
  <si>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</si>
  <si>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</si>
  <si>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</si>
  <si>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</si>
  <si>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</si>
  <si>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</si>
  <si>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</si>
  <si>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</si>
  <si>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</si>
  <si>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</si>
  <si>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</si>
  <si>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</si>
  <si>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</si>
  <si>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</si>
  <si>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</si>
  <si>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</si>
  <si>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</si>
  <si>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</si>
  <si>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</si>
  <si>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</si>
  <si>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</si>
  <si>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</si>
  <si>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</si>
  <si>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</si>
  <si>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</si>
  <si>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</si>
  <si>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</si>
  <si>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</si>
  <si>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</si>
  <si>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</si>
  <si>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</si>
  <si>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</si>
  <si>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</si>
  <si>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</si>
  <si>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</si>
  <si>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</si>
  <si>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</si>
  <si>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</si>
  <si>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</si>
  <si>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</si>
  <si>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</si>
  <si>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</si>
  <si>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</si>
  <si>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</si>
  <si>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</si>
  <si>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</si>
  <si>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</si>
  <si>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</si>
  <si>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</si>
  <si>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</si>
  <si>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</si>
  <si>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</si>
  <si>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</si>
  <si>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</si>
  <si>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</si>
  <si>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</si>
  <si>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</si>
  <si>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</si>
  <si>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</si>
  <si>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</si>
  <si>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</si>
  <si>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</si>
  <si>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</si>
  <si>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</si>
  <si>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</si>
  <si>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</si>
  <si>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</si>
  <si>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</si>
  <si>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</si>
  <si>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</si>
  <si>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</si>
  <si>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</si>
  <si>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</si>
  <si>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</si>
  <si>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</si>
  <si>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</si>
  <si>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</si>
  <si>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</si>
  <si>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</si>
  <si>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</si>
  <si>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</si>
  <si>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</si>
  <si>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</si>
  <si>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</si>
  <si>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</si>
  <si>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</si>
  <si>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</si>
  <si>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</si>
  <si>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</si>
  <si>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</si>
  <si>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</si>
  <si>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</si>
  <si>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</si>
  <si>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</si>
  <si>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</si>
  <si>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</si>
  <si>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</si>
  <si>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</si>
  <si>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</si>
  <si>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</si>
  <si>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</si>
  <si>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</si>
  <si>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</si>
  <si>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</si>
  <si>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</si>
  <si>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</si>
  <si>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</si>
  <si>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</si>
  <si>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</si>
  <si>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</si>
  <si>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</si>
  <si>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</si>
  <si>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</si>
  <si>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</si>
  <si>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</si>
  <si>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</si>
  <si>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</si>
  <si>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</si>
  <si>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</si>
  <si>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</si>
  <si>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</si>
  <si>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</si>
  <si>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</si>
  <si>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</si>
  <si>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</si>
  <si>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</si>
  <si>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</si>
  <si>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</si>
  <si>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</si>
  <si>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</si>
  <si>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</si>
  <si>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</si>
  <si>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</si>
  <si>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</si>
  <si>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</si>
  <si>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</si>
  <si>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</si>
  <si>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</si>
  <si>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</si>
  <si>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</si>
  <si>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</si>
  <si>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</si>
  <si>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</si>
  <si>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</si>
  <si>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</si>
  <si>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</si>
  <si>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</si>
  <si>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</si>
  <si>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</si>
  <si>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</si>
  <si>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</si>
  <si>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</si>
  <si>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</si>
  <si>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</si>
  <si>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</si>
  <si>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</si>
  <si>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</si>
  <si>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</si>
  <si>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</si>
  <si>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</si>
  <si>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</si>
  <si>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</si>
  <si>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</si>
  <si>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</si>
  <si>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</si>
  <si>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</si>
  <si>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</si>
  <si>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</si>
  <si>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</si>
  <si>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</si>
  <si>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</si>
  <si>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</si>
  <si>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</si>
  <si>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</si>
  <si>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</si>
  <si>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</si>
  <si>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</si>
  <si>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</si>
  <si>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</si>
  <si>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</si>
  <si>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</si>
  <si>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</si>
  <si>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</si>
  <si>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</si>
  <si>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</si>
  <si>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</si>
  <si>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</si>
  <si>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</si>
  <si>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</si>
  <si>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</si>
  <si>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</si>
  <si>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</si>
  <si>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</si>
  <si>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</si>
  <si>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</si>
  <si>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</si>
  <si>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</si>
  <si>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</si>
  <si>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</si>
  <si>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</si>
  <si>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</si>
  <si>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</si>
  <si>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</si>
  <si>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</si>
  <si>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</si>
  <si>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</si>
  <si>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</si>
  <si>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</si>
  <si>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</si>
  <si>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</si>
  <si>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</si>
  <si>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</si>
  <si>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</si>
  <si>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</si>
  <si>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</si>
  <si>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</si>
  <si>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</si>
  <si>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</si>
  <si>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</si>
  <si>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</si>
  <si>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</si>
  <si>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</si>
  <si>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</si>
  <si>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</si>
  <si>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</si>
  <si>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</si>
  <si>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</si>
  <si>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</si>
  <si>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</si>
  <si>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</si>
  <si>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</si>
  <si>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</si>
  <si>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</si>
  <si>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</si>
  <si>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</si>
  <si>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</si>
  <si>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</si>
  <si>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</si>
  <si>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</si>
  <si>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</si>
  <si>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</si>
  <si>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</si>
  <si>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</si>
  <si>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</si>
  <si>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</si>
  <si>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</si>
  <si>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</si>
  <si>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</si>
  <si>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</si>
  <si>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</si>
  <si>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</si>
  <si>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</si>
  <si>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</si>
  <si>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</si>
  <si>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</si>
  <si>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</si>
  <si>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</si>
  <si>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</si>
  <si>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</si>
  <si>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</si>
  <si>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</si>
  <si>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</si>
  <si>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</si>
  <si>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</si>
  <si>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</si>
  <si>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</si>
  <si>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</si>
  <si>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</si>
  <si>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</si>
  <si>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</si>
  <si>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</si>
  <si>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</si>
  <si>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</si>
  <si>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</si>
  <si>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</si>
  <si>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</si>
  <si>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</si>
  <si>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</si>
  <si>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</si>
  <si>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</si>
  <si>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</si>
  <si>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</si>
  <si>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</si>
  <si>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</si>
  <si>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</si>
  <si>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</si>
  <si>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</si>
  <si>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</si>
  <si>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</si>
  <si>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</si>
  <si>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</si>
  <si>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</si>
  <si>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</si>
  <si>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</si>
  <si>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</si>
  <si>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</si>
  <si>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</si>
  <si>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</si>
  <si>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</si>
  <si>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</si>
  <si>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</si>
  <si>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</si>
  <si>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</si>
  <si>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</si>
  <si>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</si>
  <si>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</si>
  <si>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</si>
  <si>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</si>
  <si>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</si>
  <si>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</si>
  <si>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</si>
  <si>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</si>
  <si>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</si>
  <si>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</si>
  <si>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</si>
  <si>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</si>
  <si>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</si>
  <si>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</si>
  <si>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</si>
  <si>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</si>
  <si>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</si>
  <si>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</si>
  <si>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</si>
  <si>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</si>
  <si>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</si>
  <si>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</si>
  <si>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</si>
  <si>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</si>
  <si>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</si>
  <si>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</si>
  <si>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</si>
  <si>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</si>
  <si>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</si>
  <si>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</si>
  <si>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</si>
  <si>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</si>
  <si>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</si>
  <si>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Jersey and Greene</t>
  </si>
  <si>
    <t>100 Lincoln Street</t>
  </si>
  <si>
    <t>Jerseyville</t>
  </si>
  <si>
    <t>X</t>
  </si>
  <si>
    <t>Scheffel Boyle</t>
  </si>
  <si>
    <t>106 W. County Road</t>
  </si>
  <si>
    <t>IL</t>
  </si>
  <si>
    <t>618-498-6841</t>
  </si>
  <si>
    <t>618-498-6842</t>
  </si>
  <si>
    <t>danny.phipps@scheffelboyle.com</t>
  </si>
  <si>
    <t>Brad Tuttle</t>
  </si>
  <si>
    <t>brad.tuttle@jersey100.org</t>
  </si>
  <si>
    <t>618-498-5561</t>
  </si>
  <si>
    <t>618-498-5265</t>
  </si>
  <si>
    <t>x</t>
  </si>
  <si>
    <t>2003 Series Health Life Safety Bonds</t>
  </si>
  <si>
    <t>2003A Series Qualified Zone Academy Bonds</t>
  </si>
  <si>
    <t>2004 Series General Obligation Bonds</t>
  </si>
  <si>
    <t>2010 Series General Obligation Refunding Bonds</t>
  </si>
  <si>
    <t>2011 Series General Obligation Bonds</t>
  </si>
  <si>
    <t>2016 Series General Obligation Bonds</t>
  </si>
  <si>
    <t>Qualified Zone Academy Bonds</t>
  </si>
  <si>
    <t>General Obligation Bonds</t>
  </si>
  <si>
    <t>2018B Series General Oblication Debt Certificates</t>
  </si>
  <si>
    <t>2018A Series General Obligation Bonds</t>
  </si>
  <si>
    <t>Transportation Lease</t>
  </si>
  <si>
    <t>Mower Lease</t>
  </si>
  <si>
    <t>Laptop Lease</t>
  </si>
  <si>
    <t>Tylex and Commercial Energy Consultants LLC</t>
  </si>
  <si>
    <t>Sangamon Area Purchasing Co-op</t>
  </si>
  <si>
    <t>Illinois Counties Risk Management Trust</t>
  </si>
  <si>
    <t>Region III Special Education Coop</t>
  </si>
  <si>
    <t>Southwestern, Calhoun, Alton-Inter-Gov. Agreements</t>
  </si>
  <si>
    <t>Southwestern-Inter-Gov. Agreement for Special Education</t>
  </si>
  <si>
    <t>No barriers to implementation</t>
  </si>
  <si>
    <t>Loan Payable</t>
  </si>
  <si>
    <t>9A</t>
  </si>
  <si>
    <t>9B</t>
  </si>
  <si>
    <t>Return of net overstated costs related to Block Grants for Prevention</t>
  </si>
  <si>
    <t>4% Admin Assessment Fee is netted from amount rec'd by the district</t>
  </si>
  <si>
    <t xml:space="preserve">     gross amount is $32,047.54 actual amount rec'd is $30,765.64</t>
  </si>
  <si>
    <t xml:space="preserve">    and Treatment of Substance Abuse questioned cost in PY</t>
  </si>
  <si>
    <t>US Department of Education</t>
  </si>
  <si>
    <t>2014-4300</t>
  </si>
  <si>
    <t>2016-4300</t>
  </si>
  <si>
    <t>2017-4300</t>
  </si>
  <si>
    <t>2014-4932</t>
  </si>
  <si>
    <t>2016-4932</t>
  </si>
  <si>
    <t>2017-4932</t>
  </si>
  <si>
    <t>2018-4932</t>
  </si>
  <si>
    <t xml:space="preserve">    Total Title I - Low Income - CFDA 84.010</t>
  </si>
  <si>
    <t xml:space="preserve">  Title I - Low Income</t>
  </si>
  <si>
    <t xml:space="preserve">  Title II - Teacher Quality</t>
  </si>
  <si>
    <t xml:space="preserve">    Total Title II - Teacher Quality - CFDA 84.367</t>
  </si>
  <si>
    <t>US Department of Education ( Continued)</t>
  </si>
  <si>
    <t xml:space="preserve">  CTE - Perkins - Secondary</t>
  </si>
  <si>
    <t>2017-4745</t>
  </si>
  <si>
    <t>2018-4745</t>
  </si>
  <si>
    <t xml:space="preserve">    Total CTE - Perkins - Secondary - CFDA 84.048</t>
  </si>
  <si>
    <t>Passed Through Illinois Department of Human Services</t>
  </si>
  <si>
    <t xml:space="preserve">  Step Grant</t>
  </si>
  <si>
    <t>46CVF00068</t>
  </si>
  <si>
    <t>46CWF00068</t>
  </si>
  <si>
    <t xml:space="preserve">    Total Step Grant - CFDA 84.126</t>
  </si>
  <si>
    <t xml:space="preserve"> Passed Through Illinois Valley Vocational System</t>
  </si>
  <si>
    <t xml:space="preserve">    Total Passed Through Illinois Valley Vocational System</t>
  </si>
  <si>
    <t xml:space="preserve">    Total Passed Through Illinois Department of Human Services</t>
  </si>
  <si>
    <t xml:space="preserve"> Passed Through Illinois Department of Human Services</t>
  </si>
  <si>
    <t xml:space="preserve"> Passed Through Illinois State Board of Education</t>
  </si>
  <si>
    <t xml:space="preserve">    Total Passed Through Illinois State Board of Education</t>
  </si>
  <si>
    <t xml:space="preserve"> Special Education Cluster (IDEA)</t>
  </si>
  <si>
    <t xml:space="preserve"> Passed Through Region III Special Ed Cooperative</t>
  </si>
  <si>
    <t xml:space="preserve">  Special Education - IDEA Preschool </t>
  </si>
  <si>
    <t xml:space="preserve">  Special Education - IDEA Preschool (M)</t>
  </si>
  <si>
    <t>2016-4600</t>
  </si>
  <si>
    <t>2017-4600</t>
  </si>
  <si>
    <t>2018-4600</t>
  </si>
  <si>
    <t xml:space="preserve">    Total Special Education - IDEA Preschool - CFDA 84.173</t>
  </si>
  <si>
    <t xml:space="preserve">  Special Education - IDEA Part B</t>
  </si>
  <si>
    <t xml:space="preserve">  Special Education - IDEA Part B (M)</t>
  </si>
  <si>
    <t>2015-4620</t>
  </si>
  <si>
    <t>2016-4620</t>
  </si>
  <si>
    <t>2017-4620</t>
  </si>
  <si>
    <t>2018-4620</t>
  </si>
  <si>
    <t xml:space="preserve">    Total Special Education Cluster (IDEA)</t>
  </si>
  <si>
    <t xml:space="preserve">    Total Passed Through Region III Special Ed Cooperative</t>
  </si>
  <si>
    <t>TOTAL US DEPARTMENT OF EDUCATION</t>
  </si>
  <si>
    <t>US Department of Agriculture</t>
  </si>
  <si>
    <t xml:space="preserve"> Child Nutrition Cluster</t>
  </si>
  <si>
    <t xml:space="preserve">  National School Lunch Program</t>
  </si>
  <si>
    <t xml:space="preserve">  National School Lunch Program (M)</t>
  </si>
  <si>
    <t xml:space="preserve">    Total National School Lunch Program - CFDA 10.555</t>
  </si>
  <si>
    <t>2016-4210</t>
  </si>
  <si>
    <t>2017-4210</t>
  </si>
  <si>
    <t>2018-4210</t>
  </si>
  <si>
    <t>School Breakfast Program (M)</t>
  </si>
  <si>
    <t>2016-4220</t>
  </si>
  <si>
    <t>2017-4220</t>
  </si>
  <si>
    <t>2018-4220</t>
  </si>
  <si>
    <t xml:space="preserve">    Total School Breakfast Program - CFDA 10.553</t>
  </si>
  <si>
    <t>Department of Defense Commodities (M)</t>
  </si>
  <si>
    <t>2017-4250</t>
  </si>
  <si>
    <t>2018-4250</t>
  </si>
  <si>
    <t>US Department of Agriculture ( Continued)</t>
  </si>
  <si>
    <t xml:space="preserve"> Child Nutrition Cluster (Continued)</t>
  </si>
  <si>
    <t xml:space="preserve">  School Lunch Commodities (M)</t>
  </si>
  <si>
    <t xml:space="preserve">    Total School Lunch Commodities - CFDA - 10.555</t>
  </si>
  <si>
    <t xml:space="preserve">    Total Child Nutrition Cluster</t>
  </si>
  <si>
    <t>TOTAL US DEPARTMENT OF AGRICULTURE</t>
  </si>
  <si>
    <t>US Department of Health &amp; Human Services</t>
  </si>
  <si>
    <t xml:space="preserve"> Passed Through Illinois Department of Healthcare &amp; Family Services</t>
  </si>
  <si>
    <t xml:space="preserve">  Administrative Outreach</t>
  </si>
  <si>
    <t>2017-4991</t>
  </si>
  <si>
    <t>2018-4991</t>
  </si>
  <si>
    <t xml:space="preserve">    Total Administrative Outreach - CFDA 93.778</t>
  </si>
  <si>
    <t>Total Passed Through Illinois Department of Healthcare &amp; Family Services</t>
  </si>
  <si>
    <t>Block Grants for Prevention and Treatment of Substance Abuse</t>
  </si>
  <si>
    <t>FCSUP03958</t>
  </si>
  <si>
    <t>FCSVP03958</t>
  </si>
  <si>
    <t>43CWZ03244</t>
  </si>
  <si>
    <t xml:space="preserve">    Total Block Grants for Prevention and Treatment of Substance Abuse</t>
  </si>
  <si>
    <t>TOTAL US DEPARTMENT OF HEALTH &amp; HUMAN SERVICES</t>
  </si>
  <si>
    <t>TOTAL FEDERAL AWARDS</t>
  </si>
  <si>
    <t>Unmodified</t>
  </si>
  <si>
    <t>84.027, 84.173</t>
  </si>
  <si>
    <t>Special Education Cluster (IDEA)</t>
  </si>
  <si>
    <t>10.553, 10.555</t>
  </si>
  <si>
    <t>Child Nutrition Cluster</t>
  </si>
  <si>
    <t>The District does not have the personnel or the staff with sufficient training or expertise to ensure the District's annual financial statements are prepared in accordance with regulatory provisions prescribed by the Illinois State Board of Education and include all required disclosures.</t>
  </si>
  <si>
    <t>No questioned costs.</t>
  </si>
  <si>
    <t>Inaccurate or incomplete financial statements could be issued to the public and other third parties.</t>
  </si>
  <si>
    <t>Fixed Asset and Associated Depreciation Expense Schedule</t>
  </si>
  <si>
    <t>The District does not maintain a fixed asset and associated depreciation expense schedule for their capital assets.</t>
  </si>
  <si>
    <t>A list is provided but items need to be removed or added and no depreciable lives are present on the list.</t>
  </si>
  <si>
    <t>The District needs to continue to improve on the list they are currently providing in order to decrease the amount of changes that need to be made during the audit.</t>
  </si>
  <si>
    <t>The District is currently providing a schedule of the current year additions to be capitalized and will continue to improve the accurateness of the schedule in the future.  The District does not believe it is cost beneficial to hire additional accounting expertise to maintain these schedules.</t>
  </si>
  <si>
    <t>Significant Auditor Adjustments</t>
  </si>
  <si>
    <t>Significant auditor-prepared adjustments were necessary to materially correct the financials statements due to various adjusting and reclassifying entries.</t>
  </si>
  <si>
    <t>Significant auditor-prepared adjustments were necessary to materially correct the financial statements due to various adjusting and reclassifying entries.</t>
  </si>
  <si>
    <t>The District should consider reviewing the financial statements and adjust items accordingly in order to properly present the financial statements.</t>
  </si>
  <si>
    <t>The District will work to properly record transactions in order to properly present the financial statements and avoid this finding in the future.</t>
  </si>
  <si>
    <t>Reporting</t>
  </si>
  <si>
    <t>The District did not submit accurate periodic expenditure reports.</t>
  </si>
  <si>
    <t>None.</t>
  </si>
  <si>
    <t>Inaccurate reports.</t>
  </si>
  <si>
    <t>District needs to ensure that all records accurately reflect the appropriate expenditures of the grant program and appropriate expenditure reports are filed.</t>
  </si>
  <si>
    <t>2018-4300</t>
  </si>
  <si>
    <t>US DEPARTMENT OF EDUCATION</t>
  </si>
  <si>
    <t>Inaccurate reports</t>
  </si>
  <si>
    <t>84.010</t>
  </si>
  <si>
    <t>84.367</t>
  </si>
  <si>
    <t>National School Lunch Program (Child Nutrition Cluster)</t>
  </si>
  <si>
    <t>US DEPARTMENT OF AGRICULTURE</t>
  </si>
  <si>
    <t>The prior year lunch count numbers were not changed.</t>
  </si>
  <si>
    <t>The District did not use the correct lunch counts to calculate weighted average price on the Paid Lunch Equity worksheet.  Scheffel Boyle recalculated paid lunch equity based on the correct accounts and determined there were no changes to the final results of the calculation.</t>
  </si>
  <si>
    <t>The District needs to ensure that all reports are filed with the correct information.</t>
  </si>
  <si>
    <t>The District is aware of the discrepancy and will work to ensure that the reports are accurate in the future.</t>
  </si>
  <si>
    <t>Special Education Cluster (IDEA) - Special Education - IDEA Preschool</t>
  </si>
  <si>
    <t>REGION III SPECIAL EDUCATION COOPERATIVE</t>
  </si>
  <si>
    <t>Compliance</t>
  </si>
  <si>
    <t>The District did not maintain time and effort documentation.</t>
  </si>
  <si>
    <t>The District was unaware that time and effort documentation was required if the individuals' salaries charged to the grant spent 100% of their time performing grant approved activities.</t>
  </si>
  <si>
    <t>The District did not complete the required time and effort documentation for salaries that were charged to the grant for fiscal year 2017-2018 .</t>
  </si>
  <si>
    <t>Incorrect salary amounts could be charged to the grant.</t>
  </si>
  <si>
    <t>The District needs to start completing time and effort documentation on it's salaries that are charged to the grant.</t>
  </si>
  <si>
    <t>Special Education Cluster (IDEA) - Special Education - IDEA Part B</t>
  </si>
  <si>
    <t>Page 12, Line 171 - Other Restricted Revenue From State Sources</t>
  </si>
  <si>
    <t>Page 14, Line 272 - Other Restricted Revenue From Federal Sources</t>
  </si>
  <si>
    <t>Page 15, Line 41 - Other Support Services - Pupils</t>
  </si>
  <si>
    <t>Page 16, Educational Fund, Line 73 - Other Support Services</t>
  </si>
  <si>
    <t xml:space="preserve">   Reimbursements &amp; Miscellaneous  - $108,060</t>
  </si>
  <si>
    <t xml:space="preserve">   Reimbursements &amp; Miscellaneous  - $5,622</t>
  </si>
  <si>
    <t xml:space="preserve">   Reimbursements &amp; Miscellaneous - $272,805</t>
  </si>
  <si>
    <t xml:space="preserve">   Library Grant - $4,371</t>
  </si>
  <si>
    <t xml:space="preserve">   Federal Portion of STEP Grant - $32,239</t>
  </si>
  <si>
    <t xml:space="preserve">   Substance Abuse Prevention Reimbursement Grant - $64,964</t>
  </si>
  <si>
    <t xml:space="preserve">   Cap and Gown - $200</t>
  </si>
  <si>
    <t>Page 18, Debt Services Fund, Line 171 - Debt Services - Other</t>
  </si>
  <si>
    <t xml:space="preserve">   Bond Issuance Costs - $269,731</t>
  </si>
  <si>
    <t xml:space="preserve">   Bond Admin Fee - $777</t>
  </si>
  <si>
    <t>Page 20, Municipal Retirement/Social Security Fund, Line 237 - Other Support Services - Pupils</t>
  </si>
  <si>
    <t xml:space="preserve">   Substance Abuse Prevention Employee Benefits - $8,923</t>
  </si>
  <si>
    <t>Audit Checklist #8, Total Long-Term Debt Issued (P24, Cell F49) must = Principal on Long-Term Debt Sold (P8, Cells C33:F33) - ERROR.  Cell F49 on page 24, Total Debt Issued, does not equal page 8, cells C33:F33, Principal on Bonds Sold, because the principal issued on page 24 includes a $436,900 capital lease debt issued and a $150,000 loan payable issued.</t>
  </si>
  <si>
    <t>ED-Support Services-General Admin.</t>
  </si>
  <si>
    <t>10-2300-300</t>
  </si>
  <si>
    <t>Skyward</t>
  </si>
  <si>
    <t>10-2400-300</t>
  </si>
  <si>
    <t>ED-Support Services-School Admin.</t>
  </si>
  <si>
    <t>Transportation-Business-Pupil Transportation</t>
  </si>
  <si>
    <t>40-2550-300</t>
  </si>
  <si>
    <t>Central States</t>
  </si>
  <si>
    <t>Tort-Support Services-General Admin.</t>
  </si>
  <si>
    <t>80-2300-300</t>
  </si>
  <si>
    <t>City of Jerseyville</t>
  </si>
  <si>
    <t>Warma, Witter, Kreisler &amp; Assoc.</t>
  </si>
  <si>
    <t>Illinois Counties Risk Management</t>
  </si>
  <si>
    <t>Discrepancies were due to incorrect reporting.</t>
  </si>
  <si>
    <t>As a result of a Federal and State Monitoring audit, the grant recipient did not submit timely periodic expenditure reports.  The district submitted the June 30, 2017 expenditure report on August 10, 2017, which was submitted more than 20 days from the expenditure date.</t>
  </si>
  <si>
    <t>Untimely reports filed</t>
  </si>
  <si>
    <t>The District did not submit timely expenditure reports</t>
  </si>
  <si>
    <t>The grant recipient must submit timely periodic expenditure reports.</t>
  </si>
  <si>
    <t>As a result of a Federal and State Monitoring audit, the District did not submit accurate periodic expenditure reports.  The district claimed Instructional Capital Outlay expenditures for 16 mobile carts totaling $13,819, per check #62982, dated June 15, 2017, under function/object code 1000-400 (Instruction Supplies and Materials), instead of claiming these items under Instruction Capital Outlay, function/object code 1000-500.  Correcting the error, resulted in the district exceeding the Capital Outlay budget cell's allowable ceiling by $4,005.</t>
  </si>
  <si>
    <t>The District is aware of the discrepancy and will work to ensure that the reports are timely filed in the future.</t>
  </si>
  <si>
    <t>The District must submit accurate periodic expenditure reports.</t>
  </si>
  <si>
    <t>Untimely reports filed.</t>
  </si>
  <si>
    <t>Discrepancies were due to a report inadvertently being filed late.</t>
  </si>
  <si>
    <t xml:space="preserve"> Discrepancies were due to expenses being posted to the general ledger after the submission of the grant expenditure report.</t>
  </si>
  <si>
    <t>N/A</t>
  </si>
  <si>
    <t>2017-001</t>
  </si>
  <si>
    <t>The District believes their accounting staff maintains adequate books and records of the school's transactions.  Additionally, the District does not believe it is cost beneficial to hire additional accounting expertise to ensure the District's annual financial statements are prepared in accordance with the regulatory provisions discussed herein.</t>
  </si>
  <si>
    <t>2017-002</t>
  </si>
  <si>
    <t>The District is currently providing a schedule of the current year additions to be capitalized and will continue to improve the accurateness of the schedule in the future.  The District does not  believe it is cost beneficial to hire additional accounting expertise to maintain these schedules.</t>
  </si>
  <si>
    <t>2017-003</t>
  </si>
  <si>
    <t>Significant auditor-prepared journal entries were necessary to materially correct the financial statements.</t>
  </si>
  <si>
    <t>The District will work to properly record transactions in order to properly present the financial statement and avoid this finding in the future.</t>
  </si>
  <si>
    <t>2017-004</t>
  </si>
  <si>
    <t>2017-005</t>
  </si>
  <si>
    <t>2017-006</t>
  </si>
  <si>
    <t>District reported obligations of $3,759 in grant year 2016, fiscal year 2015-2016, when actual obligations per the general ledger were $3,790.  Discrepancies were due to a math error and did not result in any additional grant funds being received.  The District was only reimbursed for the $3,759 of obligations that was requested rather than the $3,790.</t>
  </si>
  <si>
    <t>The District is aware of the discrepancy and contacted Region III.  They were instructed that no further reimbursement will be made on the $31 due to the final report being filed and will work to ensure that the reports are accurate in the future.</t>
  </si>
  <si>
    <t>District reported expenditures $49,687 in grant year 2016, fiscal year 2015-2016, when actual expenses were $59,658.  In addition, some amounts were reported in the month prior to payment of the expenditure, when the expense was incurred or charged.  No amounts in error were received by the District due to the underreporting of expenses.</t>
  </si>
  <si>
    <t>The District is aware of the discrepancy and will be monitoring the reports prepared by the grant coordinator.  The District will work to ensure that the reports are accurate in the future.</t>
  </si>
  <si>
    <t>District reported expenditures $69,303 in grant year 2017, fiscal year 2016-2017, when actual expenses were $60,732.  In addition, some amounts were reported in the month prior to payment of the expenditure, when the expense was incurred or charged.  The budgeted amount and the amount received by the District for this grant year was $66,292, therefore, the District has been overpaid by $5,560.</t>
  </si>
  <si>
    <t>Page 10, Line 107 - Other Local Revenues</t>
  </si>
  <si>
    <t xml:space="preserve">   Supplies &amp; Materials - $7,482</t>
  </si>
  <si>
    <t xml:space="preserve">   Block Grant for Prevention and Treatment of Substance Abuse - Salaries - $50,015; Employee Benefits - $8,202; Purchase Services - $4,695;</t>
  </si>
  <si>
    <t>The District did not request budget amendments for additional aides who were charged to the grant.</t>
  </si>
  <si>
    <t>There were three teacher's aides found during testing that were not included on the grant budget but should have been.  These aides were additional aides, not replacements to ones who were on the grant budget already.</t>
  </si>
  <si>
    <t>Incorrect salaries could be charged to the grant.</t>
  </si>
  <si>
    <t>The District needs to contacting Region III to amend the grant budget if additional individual's salaries are to be charged to the grant.</t>
  </si>
  <si>
    <t>The District was unaware that they had to contact Region III to amend the grant budget for any additional individual's salaries that were added to the grant during the year.</t>
  </si>
  <si>
    <t>This District is aware of the discrepancy and will correct this in the future.</t>
  </si>
  <si>
    <t>Daniel E. Phipps</t>
  </si>
  <si>
    <t>066-005101</t>
  </si>
  <si>
    <t xml:space="preserve">Audit Checklist, #8, Total Long-Term Debt (Principal) Retired must = Debt Service-Long-Term Debt (Principal) Retired - ERROR.  On Page 24, cells H39 and H41, the principal retired on the District's Transportation leases, totals $183,259.  This amount was paid out of the Transportation fund and can be referenced to Transportation Fund, page 20, cell H206, Debt Services-Payment of Principal on Long-Term Debt (Lease/Purchase Principal Retired). On Page 24, cell H40, the principal retired on the District's Mower Lease totals $9,019. This amount was paid out of the Operations &amp; Maintenance fund and can be referenced to Operations &amp; Maintenance Fund, page 17, cell H124, Support Services - Operation and Maintenance of Plant Services.  The remaining principal retired on Page 24, cells H31:H43,  $1,659,297, was paid out of the Debt Service Fund and can be referenced to Page 18, H170, Debt Services-Payment of Principal on Long-Term Debt (Lease/Purchase Principal Retired).  The total of the three amounts, $1,851,575, agrees to Total-Long Term Debt (Principal) Retired on Page 24, cell H49. </t>
  </si>
  <si>
    <t>Department of Defense Commodities</t>
  </si>
  <si>
    <t xml:space="preserve">    Total Department of Defense Commodities - CFDA 10.555</t>
  </si>
  <si>
    <t xml:space="preserve">  School Lunch Commodities</t>
  </si>
  <si>
    <r>
      <t xml:space="preserve">The accompanying Schedule of Expenditures of Federal Awards includes the federal grant activity of </t>
    </r>
    <r>
      <rPr>
        <b/>
        <sz val="9"/>
        <rFont val="Calibri"/>
        <family val="2"/>
        <scheme val="minor"/>
      </rPr>
      <t>Community Unit School District #100</t>
    </r>
    <r>
      <rPr>
        <sz val="9"/>
        <rFont val="Calibri"/>
        <family val="2"/>
        <scheme val="minor"/>
      </rPr>
      <t xml:space="preserve"> and is presented on the </t>
    </r>
    <r>
      <rPr>
        <b/>
        <sz val="9"/>
        <rFont val="Calibri"/>
        <family val="2"/>
        <scheme val="minor"/>
      </rPr>
      <t>modified cash basis of accounting</t>
    </r>
    <r>
      <rPr>
        <sz val="9"/>
        <rFont val="Calibri"/>
        <family val="2"/>
        <scheme val="minor"/>
      </rPr>
      <t xml:space="preserve">.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basic</t>
    </r>
    <r>
      <rPr>
        <sz val="9"/>
        <rFont val="Calibri"/>
        <family val="2"/>
        <scheme val="minor"/>
      </rPr>
      <t xml:space="preserve"> financial statements.</t>
    </r>
  </si>
  <si>
    <r>
      <t xml:space="preserve">Of the federal expenditures presented in the schedule, </t>
    </r>
    <r>
      <rPr>
        <b/>
        <sz val="9"/>
        <rFont val="Calibri"/>
        <family val="2"/>
        <scheme val="minor"/>
      </rPr>
      <t>Community Unit School District #100</t>
    </r>
    <r>
      <rPr>
        <sz val="9"/>
        <rFont val="Calibri"/>
        <family val="2"/>
        <scheme val="minor"/>
      </rPr>
      <t xml:space="preserve"> provided federal awards to subrecipients as follows:</t>
    </r>
  </si>
  <si>
    <t>None in the current year.</t>
  </si>
  <si>
    <t>The District's restricted indirect cost rate is 3.50% and the unrestricted cost rate is 17.89%</t>
  </si>
  <si>
    <r>
      <t xml:space="preserve">The following amounts were expended in the form of non-cash assistance by </t>
    </r>
    <r>
      <rPr>
        <b/>
        <sz val="9"/>
        <rFont val="Calibri"/>
        <family val="2"/>
        <scheme val="minor"/>
      </rPr>
      <t>Community Unit School District #100</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</si>
  <si>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t>The District is required to have staff with sufficient training or expertise to complete the financial statements on the modified cash basis and all the required disclosures.</t>
  </si>
  <si>
    <t>The District relies on the external audit firm to prepare the financial statements and all required disclosures in accordance with the modified cash basis of accounting principles.</t>
  </si>
  <si>
    <t>As a result of a Federal and State Monitoring audit, the District did not submit accurate periodic expenditure reports.  The District claimed Improvement of Instructional TRS Benefits totaling $251 under function/object code 2210-200 that was not traced to an eligible teacher or staff.</t>
  </si>
  <si>
    <t>The District did not adjust its paid lunch price according to the results of the paid lunch equity calculation.</t>
  </si>
  <si>
    <t xml:space="preserve">    Total Special Education - IDEA Part B - CFDA 84.027</t>
  </si>
  <si>
    <t>The paid lunch equity calculation resulted in an increase of $.10 to the weighted average price of paid school lunches and there was no adjustment to the paid lunch prices.</t>
  </si>
  <si>
    <t>Incorrect amounts charged for paid lunches.</t>
  </si>
  <si>
    <t>An adjustment to paid lunch prices was not made in response to the results of the paid lunch equity calculation.</t>
  </si>
  <si>
    <t>The District needs to adjust its paid lunch prices according to the results of the paid lunch equity calculation.</t>
  </si>
  <si>
    <t>The District is aware of the discrepancy and will fix this going forward.</t>
  </si>
  <si>
    <t>The District did not complete the required time and effort documentation for salaries that were charged to the grant for fiscal year 2017-2018.</t>
  </si>
  <si>
    <t>The District will amend its budget to avoid having expenditures in excess of the budget in the future.</t>
  </si>
  <si>
    <t>The District was not in spending compliance by overexpending its budget for the year.</t>
  </si>
  <si>
    <t>The District should adopt a reasonable budget and amend the budget as necessary in order to stay compliant.</t>
  </si>
  <si>
    <t>As of 6/30/18, it was noted that the District had overexpended its approved budget in the Debt Service Fund by $262,256, the Transportation Fund by $108,391, the Capital Projects Fund by $182,033, and the Fire Prevention and Safety Fund by $735,702.</t>
  </si>
  <si>
    <t>The District did not amend its budget for overexpending that occurred during the year.</t>
  </si>
  <si>
    <t>The District should enter all additions and disposals in the system and ensure these entries are checked and have been entered with the correct cost values.</t>
  </si>
  <si>
    <t>The District did not delegate an employee to take responsibility for adding and disposing of assets on the State Board of Education website.</t>
  </si>
  <si>
    <t>The District has not entered all additions and disposals of assets on the State Board of Education website for Pupil Transportation Claims &amp; Reimbursements.</t>
  </si>
  <si>
    <t>Inaccurate reports are submitted to the Illinois State Board of Education which could result in incorrect Transportation claims being remitted to the District.</t>
  </si>
  <si>
    <t>Inaccurate or incomplete financial statements or various grant reports could be issued to the public and other third parties.</t>
  </si>
  <si>
    <t>The District needs improvement over the financial reporting of grants and corresponding grant expenditures.</t>
  </si>
  <si>
    <t>There were numerous findings and questioned costs related to federal awards.</t>
  </si>
  <si>
    <t>The District believes their accounting staff maintains adequate books and records of the District's transactions.  Additionally, the District does not believe it is cost beneficial to hire additional accounting expertise to ensure the District's annual financial statements are prepared in accordance with the modified cash basis of accounting.  The District will continue to reevaluate on an ongoing basis.</t>
  </si>
  <si>
    <t>The District should consider the costs and benefits of hiring additional expertise or training existing accounting staff to ensure the District's annual financial statements are prepared in accordance with the modified cash basis of accounting and include all required disclosures.</t>
  </si>
  <si>
    <t>The District should consider the costs and benefits of hiring additional expertise or training existing accounting staff to ensure the District's various grant reporting and spending are in accordance with the applicable grant rules.</t>
  </si>
  <si>
    <t>The District believes their accounting staff maintains adequate books and records of the District's transactions.  Additionally, the District does not believe it is cost beneficial to hire additional accounting expertise to ensure the District's various grant reporting and spending are in accordance with the applicable grant rules.  The District will continue to reevaluate on an ongoing basis.</t>
  </si>
  <si>
    <t>The District is required to spend within its legal budgetary authority.</t>
  </si>
  <si>
    <t xml:space="preserve"> Discrepancies were due to expenses being posted to the general ledger after the submission of the grant expenditure report and inadvertent omission of expenses from the grant expenditure report.</t>
  </si>
  <si>
    <t>The District did not submit timely expenditure reports.</t>
  </si>
  <si>
    <t>A - Lease      B - Contractual Agreement</t>
  </si>
  <si>
    <t>District reported expenditures of $397,797 in grant year 2018, fiscal year 2017-2018, when actual expenditures per the general ledger were $402,997.  Discrepancies were due to $3,890 of expenditures being posted to the general ledger after the submission of the June 30,2018 grant expenditure report and $1,310 additional expenditures per the general ledger inadvertently omitted from the June 30, 2018  grant expenditure report.  The expenses were, however, included on the final grant year 2018 expenditure report, therefore, there is no questioned cost, only an error in reporting expenditures in the wrong reporting period.</t>
  </si>
  <si>
    <t>This District is aware of the discrepancy and has designated an employee to begin performing time and effort studies.</t>
  </si>
  <si>
    <t>The District will work to properly record additions and disposals of assets on the State Board of Education website and avoid this finding in the future.  The District has designated an employee to oversee this.</t>
  </si>
  <si>
    <t>District reported expenditures of $51,421 in grant year 2018, fiscal year 2017-2018, when actual expenditures per the general ledger were $51,497.  Discrepancies were due to $76 of expenditures being posted to the general ledger after the submission of the grant expenditure report.  The expenses were, however, included on the final grant year 2018 expenditure report, therefore, there is no questioned cost, only an error in reporting expenditures in the wrong reporting period.</t>
  </si>
  <si>
    <t>A PDF of signature page is located at opinion/notes tab titled Signature Page</t>
  </si>
  <si>
    <t>Jersey CUSD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</si>
</sst>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sz val="10"/>
      <name val="Times New Roman"/>
      <family val="1"/>
    </font>
    <font>
      <sz val="8"/>
      <name val="Times New Roman"/>
      <family val="1"/>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22">
    <xf numFmtId="0" fontId="0" fillId="0" borderId="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9" fillId="0" borderId="0"/>
    <xf numFmtId="0" fontId="4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8" fillId="0" borderId="0"/>
    <xf numFmtId="0" fontId="51" fillId="0" borderId="0" applyNumberFormat="0" applyFill="0" applyBorder="0" applyAlignment="0" applyProtection="0"/>
    <xf numFmtId="0" fontId="7" fillId="0" borderId="0"/>
    <xf numFmtId="0" fontId="6" fillId="0" borderId="0"/>
    <xf numFmtId="0" fontId="3" fillId="0" borderId="0"/>
    <xf numFmtId="0" fontId="2" fillId="0" borderId="0"/>
    <xf numFmtId="0" fontId="2" fillId="0" borderId="0"/>
    <xf numFmtId="0" fontId="2" fillId="0" borderId="0"/>
  </cellStyleXfs>
  <cellXfs count="2514">
    <xf numFmtId="0" fontId="0" fillId="0" borderId="0" xfId="0"/>
    <xf numFmtId="0" fontId="9" fillId="0" borderId="0" xfId="0" applyFont="1"/>
    <xf numFmtId="0" fontId="14" fillId="0" borderId="0" xfId="0" applyFont="1"/>
    <xf numFmtId="0" fontId="0" fillId="0" borderId="0" xfId="0" applyAlignment="1">
      <alignment horizontal="left" vertical="center"/>
    </xf>
    <xf numFmtId="0" fontId="10" fillId="0" borderId="0" xfId="0" applyFont="1"/>
    <xf numFmtId="0" fontId="0" fillId="0" borderId="0" xfId="0" applyProtection="1"/>
    <xf numFmtId="0" fontId="0" fillId="0" borderId="0" xfId="0" applyBorder="1" applyProtection="1"/>
    <xf numFmtId="0" fontId="14" fillId="0" borderId="0" xfId="0" applyFont="1" applyAlignment="1"/>
    <xf numFmtId="0" fontId="0" fillId="0" borderId="0" xfId="0" applyFill="1"/>
    <xf numFmtId="0" fontId="14" fillId="0" borderId="0" xfId="0" applyFont="1" applyFill="1"/>
    <xf numFmtId="0" fontId="23" fillId="0" borderId="0" xfId="0" applyFont="1" applyProtection="1"/>
    <xf numFmtId="0" fontId="23" fillId="0" borderId="0" xfId="0" applyFont="1" applyProtection="1">
      <protection locked="0"/>
    </xf>
    <xf numFmtId="0" fontId="9" fillId="0" borderId="0" xfId="0" applyFont="1" applyProtection="1"/>
    <xf numFmtId="0" fontId="0" fillId="0" borderId="0" xfId="0" applyFill="1" applyProtection="1"/>
    <xf numFmtId="0" fontId="25" fillId="0" borderId="0" xfId="0" applyFont="1" applyAlignment="1" applyProtection="1">
      <alignment horizontal="right" vertical="top"/>
    </xf>
    <xf numFmtId="164" fontId="14" fillId="0" borderId="0" xfId="0" applyNumberFormat="1" applyFont="1" applyAlignment="1" applyProtection="1">
      <alignment horizontal="left" wrapText="1"/>
    </xf>
    <xf numFmtId="0" fontId="14" fillId="0" borderId="0" xfId="0" applyFont="1" applyAlignment="1">
      <alignment horizontal="left" wrapText="1"/>
    </xf>
    <xf numFmtId="49" fontId="27" fillId="0" borderId="0" xfId="0" applyNumberFormat="1" applyFont="1" applyAlignment="1">
      <alignment horizontal="right" vertical="top" indent="1"/>
    </xf>
    <xf numFmtId="49" fontId="27" fillId="0" borderId="0" xfId="0" applyNumberFormat="1" applyFont="1" applyAlignment="1">
      <alignment horizontal="right" vertical="top"/>
    </xf>
    <xf numFmtId="0" fontId="0" fillId="0" borderId="0" xfId="0" applyAlignment="1"/>
    <xf numFmtId="0" fontId="14" fillId="0" borderId="0" xfId="0" applyFont="1" applyAlignment="1">
      <alignment horizontal="left"/>
    </xf>
    <xf numFmtId="0" fontId="24" fillId="0" borderId="0" xfId="0" applyFont="1"/>
    <xf numFmtId="49" fontId="29" fillId="0" borderId="0" xfId="0" applyNumberFormat="1" applyFont="1" applyAlignment="1">
      <alignment horizontal="right" vertical="top" indent="1"/>
    </xf>
    <xf numFmtId="0" fontId="25" fillId="0" borderId="0" xfId="0" applyFont="1" applyAlignment="1" applyProtection="1">
      <alignment horizontal="left" vertical="center" wrapText="1"/>
    </xf>
    <xf numFmtId="0" fontId="0" fillId="0" borderId="0" xfId="0" applyAlignment="1">
      <alignment horizontal="left" vertical="center" wrapText="1"/>
    </xf>
    <xf numFmtId="49" fontId="27" fillId="0" borderId="0" xfId="0" applyNumberFormat="1" applyFont="1" applyAlignment="1">
      <alignment horizontal="right" vertical="center"/>
    </xf>
    <xf numFmtId="0" fontId="13" fillId="0" borderId="0" xfId="12" applyFont="1" applyBorder="1" applyAlignment="1" applyProtection="1">
      <alignment vertical="center"/>
    </xf>
    <xf numFmtId="0" fontId="15" fillId="0" borderId="0" xfId="12" applyNumberFormat="1" applyFont="1" applyBorder="1" applyAlignment="1" applyProtection="1">
      <alignment horizontal="left" vertical="center"/>
    </xf>
    <xf numFmtId="0" fontId="15"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3" fillId="0" borderId="0" xfId="12" applyNumberFormat="1" applyFont="1" applyBorder="1" applyAlignment="1" applyProtection="1">
      <alignment horizontal="left" vertical="center"/>
    </xf>
    <xf numFmtId="0" fontId="10" fillId="0" borderId="0" xfId="12" applyNumberFormat="1" applyFont="1" applyBorder="1" applyAlignment="1" applyProtection="1">
      <alignment horizontal="left" vertical="center"/>
    </xf>
    <xf numFmtId="0" fontId="13" fillId="0" borderId="0" xfId="0" applyNumberFormat="1" applyFont="1" applyBorder="1" applyAlignment="1" applyProtection="1">
      <alignment vertical="center"/>
    </xf>
    <xf numFmtId="0" fontId="13" fillId="0" borderId="0" xfId="12" applyNumberFormat="1" applyFont="1" applyBorder="1" applyAlignment="1" applyProtection="1">
      <alignment horizontal="centerContinuous" vertical="center"/>
    </xf>
    <xf numFmtId="0" fontId="23" fillId="0" borderId="0" xfId="0" applyFont="1" applyFill="1" applyProtection="1"/>
    <xf numFmtId="0" fontId="13" fillId="0" borderId="0" xfId="12" applyFont="1" applyBorder="1" applyAlignment="1" applyProtection="1">
      <alignment horizontal="left" vertical="center"/>
    </xf>
    <xf numFmtId="0" fontId="31" fillId="0" borderId="0" xfId="12" applyFont="1" applyBorder="1" applyAlignment="1" applyProtection="1">
      <alignment vertical="center"/>
    </xf>
    <xf numFmtId="0" fontId="12" fillId="0" borderId="0" xfId="12" applyFont="1" applyBorder="1" applyAlignment="1" applyProtection="1">
      <alignment horizontal="center" vertical="center"/>
    </xf>
    <xf numFmtId="0" fontId="12" fillId="0" borderId="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11" fillId="0" borderId="0" xfId="12" applyFont="1" applyBorder="1" applyAlignment="1" applyProtection="1">
      <alignment horizontal="left" vertical="center"/>
    </xf>
    <xf numFmtId="0" fontId="13" fillId="0" borderId="0" xfId="12" quotePrefix="1" applyNumberFormat="1" applyFont="1" applyBorder="1" applyAlignment="1" applyProtection="1">
      <alignment horizontal="left" vertical="center"/>
    </xf>
    <xf numFmtId="0" fontId="10" fillId="0" borderId="12" xfId="12" applyFont="1" applyBorder="1" applyAlignment="1" applyProtection="1">
      <alignment vertical="center"/>
    </xf>
    <xf numFmtId="0" fontId="13" fillId="0" borderId="16" xfId="12" applyFont="1" applyBorder="1" applyAlignment="1" applyProtection="1">
      <alignment vertical="center"/>
    </xf>
    <xf numFmtId="0" fontId="13" fillId="0" borderId="10" xfId="12" applyFont="1" applyBorder="1" applyAlignment="1" applyProtection="1">
      <alignment vertical="center"/>
    </xf>
    <xf numFmtId="0" fontId="10" fillId="0" borderId="17" xfId="12" applyFont="1" applyBorder="1" applyAlignment="1" applyProtection="1">
      <alignment vertical="center"/>
    </xf>
    <xf numFmtId="0" fontId="13" fillId="0" borderId="18" xfId="12" applyFont="1" applyBorder="1" applyAlignment="1" applyProtection="1">
      <alignment vertical="center"/>
    </xf>
    <xf numFmtId="0" fontId="15" fillId="0" borderId="0" xfId="0" applyNumberFormat="1" applyFont="1" applyFill="1" applyBorder="1" applyAlignment="1" applyProtection="1">
      <alignment vertical="center"/>
    </xf>
    <xf numFmtId="0" fontId="10" fillId="0" borderId="16" xfId="12" applyNumberFormat="1" applyFont="1" applyBorder="1" applyAlignment="1" applyProtection="1">
      <alignment vertical="center"/>
    </xf>
    <xf numFmtId="0" fontId="13" fillId="0" borderId="16" xfId="12" applyNumberFormat="1" applyFont="1" applyBorder="1" applyAlignment="1" applyProtection="1">
      <alignment vertical="center"/>
    </xf>
    <xf numFmtId="0" fontId="13" fillId="0" borderId="20"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3" fillId="0" borderId="17" xfId="12" applyNumberFormat="1" applyFont="1" applyBorder="1" applyAlignment="1" applyProtection="1">
      <alignment vertical="center"/>
    </xf>
    <xf numFmtId="0" fontId="13" fillId="0" borderId="18"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3" fillId="0" borderId="10" xfId="12" applyNumberFormat="1" applyFont="1" applyBorder="1" applyAlignment="1" applyProtection="1">
      <alignment vertical="center"/>
    </xf>
    <xf numFmtId="0" fontId="13" fillId="0" borderId="16" xfId="12" applyNumberFormat="1" applyFont="1" applyFill="1" applyBorder="1" applyAlignment="1" applyProtection="1">
      <alignment vertical="center"/>
    </xf>
    <xf numFmtId="0" fontId="15" fillId="0" borderId="16"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15" fillId="0" borderId="18" xfId="0" applyNumberFormat="1" applyFont="1" applyFill="1" applyBorder="1" applyAlignment="1" applyProtection="1">
      <alignment vertical="center"/>
    </xf>
    <xf numFmtId="0" fontId="10" fillId="0" borderId="10" xfId="12" applyNumberFormat="1" applyFont="1" applyFill="1" applyBorder="1" applyAlignment="1" applyProtection="1">
      <alignment vertical="center"/>
    </xf>
    <xf numFmtId="0" fontId="10" fillId="0" borderId="12" xfId="12" quotePrefix="1" applyNumberFormat="1" applyFont="1" applyBorder="1" applyAlignment="1" applyProtection="1">
      <alignment horizontal="left" vertical="center"/>
    </xf>
    <xf numFmtId="0" fontId="13" fillId="0" borderId="17" xfId="12" applyNumberFormat="1" applyFont="1" applyBorder="1" applyAlignment="1" applyProtection="1">
      <alignment horizontal="right" vertical="center"/>
    </xf>
    <xf numFmtId="0" fontId="10" fillId="0" borderId="0" xfId="0" applyFont="1" applyAlignment="1">
      <alignment horizontal="left" vertical="center"/>
    </xf>
    <xf numFmtId="0" fontId="10" fillId="0" borderId="0" xfId="0" applyFont="1" applyAlignment="1"/>
    <xf numFmtId="0" fontId="0" fillId="0" borderId="16" xfId="0" applyNumberFormat="1" applyBorder="1" applyAlignment="1">
      <alignment horizontal="left" vertical="center"/>
    </xf>
    <xf numFmtId="0" fontId="13" fillId="0" borderId="12" xfId="12" applyFont="1" applyBorder="1" applyAlignment="1" applyProtection="1">
      <alignment vertical="center"/>
    </xf>
    <xf numFmtId="0" fontId="10" fillId="0" borderId="16" xfId="0" applyNumberFormat="1" applyFont="1" applyBorder="1" applyAlignment="1">
      <alignment horizontal="left" vertical="center"/>
    </xf>
    <xf numFmtId="0" fontId="10" fillId="0" borderId="18" xfId="12" applyNumberFormat="1" applyFont="1" applyBorder="1" applyAlignment="1" applyProtection="1">
      <alignment vertical="center"/>
    </xf>
    <xf numFmtId="0" fontId="10" fillId="0" borderId="10" xfId="12" applyNumberFormat="1"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3" fillId="0" borderId="0" xfId="12"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13"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3" fillId="0" borderId="16" xfId="12" applyFont="1" applyBorder="1" applyAlignment="1" applyProtection="1">
      <alignment horizontal="left" vertical="center"/>
    </xf>
    <xf numFmtId="0" fontId="10" fillId="0" borderId="16" xfId="12" applyFont="1" applyBorder="1" applyAlignment="1" applyProtection="1">
      <alignment horizontal="left" vertical="center"/>
    </xf>
    <xf numFmtId="0" fontId="13" fillId="0" borderId="1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0" fillId="0" borderId="12" xfId="12" applyNumberFormat="1" applyFont="1" applyBorder="1" applyAlignment="1" applyProtection="1">
      <alignment horizontal="left" vertical="center"/>
    </xf>
    <xf numFmtId="0" fontId="10" fillId="0" borderId="12" xfId="12" applyNumberFormat="1" applyFont="1" applyFill="1" applyBorder="1" applyAlignment="1" applyProtection="1">
      <alignment vertical="center"/>
    </xf>
    <xf numFmtId="0" fontId="10" fillId="0" borderId="12"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0" fillId="0" borderId="12" xfId="12" applyNumberFormat="1" applyFont="1" applyBorder="1" applyAlignment="1" applyProtection="1">
      <alignment vertical="center"/>
    </xf>
    <xf numFmtId="0" fontId="10" fillId="0" borderId="17" xfId="12" applyNumberFormat="1" applyFont="1" applyBorder="1" applyAlignment="1" applyProtection="1">
      <alignment horizontal="left" vertical="center"/>
    </xf>
    <xf numFmtId="0" fontId="10" fillId="0" borderId="16" xfId="12" quotePrefix="1" applyNumberFormat="1" applyFont="1" applyBorder="1" applyAlignment="1" applyProtection="1">
      <alignment horizontal="left" vertical="center"/>
    </xf>
    <xf numFmtId="0" fontId="13" fillId="0" borderId="16" xfId="0" applyNumberFormat="1" applyFont="1" applyBorder="1" applyAlignment="1">
      <alignment vertical="center"/>
    </xf>
    <xf numFmtId="0" fontId="10" fillId="0" borderId="0" xfId="12" applyNumberFormat="1" applyFont="1" applyBorder="1" applyAlignment="1" applyProtection="1">
      <alignment horizontal="left" vertical="center" indent="1"/>
    </xf>
    <xf numFmtId="0" fontId="13" fillId="0" borderId="19" xfId="12" applyNumberFormat="1" applyFont="1" applyBorder="1" applyAlignment="1" applyProtection="1">
      <alignment vertical="center"/>
    </xf>
    <xf numFmtId="0" fontId="10" fillId="0" borderId="20" xfId="12" applyNumberFormat="1" applyFont="1" applyBorder="1" applyAlignment="1" applyProtection="1">
      <alignment vertical="top"/>
    </xf>
    <xf numFmtId="0" fontId="10" fillId="0" borderId="20" xfId="12" quotePrefix="1" applyNumberFormat="1" applyFont="1" applyBorder="1" applyAlignment="1" applyProtection="1">
      <alignment horizontal="left" vertical="center"/>
    </xf>
    <xf numFmtId="0" fontId="13" fillId="0" borderId="11" xfId="12" applyNumberFormat="1" applyFont="1" applyBorder="1" applyAlignment="1" applyProtection="1">
      <alignment vertical="center"/>
    </xf>
    <xf numFmtId="0" fontId="35" fillId="0" borderId="18" xfId="0" applyFont="1" applyBorder="1" applyAlignment="1">
      <alignment horizontal="left" vertical="center" indent="1"/>
    </xf>
    <xf numFmtId="0" fontId="20" fillId="0" borderId="0" xfId="12" applyNumberFormat="1" applyFont="1" applyBorder="1" applyAlignment="1" applyProtection="1">
      <alignment horizontal="center" vertical="center"/>
    </xf>
    <xf numFmtId="0" fontId="15" fillId="0" borderId="0" xfId="12" applyNumberFormat="1" applyFont="1" applyBorder="1" applyAlignment="1" applyProtection="1">
      <alignment horizontal="left" vertical="center" indent="2"/>
    </xf>
    <xf numFmtId="0" fontId="20" fillId="0" borderId="2" xfId="12" applyFont="1" applyBorder="1" applyAlignment="1" applyProtection="1">
      <alignment horizontal="center" vertical="center"/>
      <protection locked="0"/>
    </xf>
    <xf numFmtId="0" fontId="20" fillId="0" borderId="2" xfId="12" applyNumberFormat="1" applyFont="1" applyBorder="1" applyAlignment="1" applyProtection="1">
      <alignment horizontal="center" vertical="center"/>
      <protection locked="0"/>
    </xf>
    <xf numFmtId="0" fontId="30" fillId="0" borderId="0" xfId="12" applyFont="1" applyBorder="1" applyAlignment="1" applyProtection="1">
      <alignment horizontal="left" vertical="center"/>
    </xf>
    <xf numFmtId="0" fontId="12" fillId="0" borderId="2" xfId="12" applyFont="1" applyBorder="1" applyAlignment="1" applyProtection="1">
      <alignment horizontal="center" vertical="center"/>
      <protection locked="0"/>
    </xf>
    <xf numFmtId="0" fontId="10" fillId="0" borderId="12" xfId="0" applyNumberFormat="1" applyFont="1" applyBorder="1" applyAlignment="1" applyProtection="1">
      <alignment horizontal="left" vertical="center"/>
    </xf>
    <xf numFmtId="0" fontId="12" fillId="0" borderId="16" xfId="0" applyFont="1" applyBorder="1" applyAlignment="1" applyProtection="1">
      <alignment horizontal="left" vertical="center"/>
    </xf>
    <xf numFmtId="49" fontId="12" fillId="0" borderId="16"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left" vertical="center" wrapText="1"/>
    </xf>
    <xf numFmtId="0" fontId="12" fillId="0" borderId="12" xfId="12" applyNumberFormat="1" applyFont="1" applyFill="1" applyBorder="1" applyAlignment="1" applyProtection="1">
      <alignment horizontal="left" vertical="center" indent="1"/>
    </xf>
    <xf numFmtId="0" fontId="12" fillId="0" borderId="16" xfId="0" applyFont="1" applyBorder="1" applyAlignment="1" applyProtection="1">
      <alignment horizontal="left" vertical="center" indent="1"/>
    </xf>
    <xf numFmtId="0" fontId="13" fillId="0" borderId="0" xfId="12" applyFont="1" applyBorder="1" applyAlignment="1" applyProtection="1">
      <alignment horizontal="left" vertical="center" indent="1"/>
    </xf>
    <xf numFmtId="0" fontId="22" fillId="0" borderId="0" xfId="12" applyNumberFormat="1" applyFont="1" applyBorder="1" applyAlignment="1" applyProtection="1">
      <alignment horizontal="left" vertical="center" indent="1"/>
    </xf>
    <xf numFmtId="0" fontId="13" fillId="0" borderId="19" xfId="12" applyFont="1" applyBorder="1" applyAlignment="1" applyProtection="1">
      <alignment vertical="center"/>
    </xf>
    <xf numFmtId="0" fontId="12" fillId="0" borderId="0" xfId="0" applyFont="1" applyBorder="1" applyAlignment="1" applyProtection="1">
      <alignment horizontal="left" vertical="center" indent="1"/>
    </xf>
    <xf numFmtId="0" fontId="13" fillId="0" borderId="0" xfId="12" applyFont="1" applyFill="1" applyBorder="1" applyAlignment="1" applyProtection="1">
      <alignment vertical="center"/>
    </xf>
    <xf numFmtId="0" fontId="13" fillId="0" borderId="17" xfId="12" applyFont="1" applyBorder="1" applyAlignment="1" applyProtection="1">
      <alignment vertical="center"/>
    </xf>
    <xf numFmtId="0" fontId="15" fillId="0" borderId="20" xfId="12" applyNumberFormat="1" applyFont="1" applyBorder="1" applyAlignment="1" applyProtection="1">
      <alignment vertical="center"/>
    </xf>
    <xf numFmtId="0" fontId="10" fillId="0" borderId="0" xfId="12" applyNumberFormat="1" applyFont="1" applyBorder="1" applyAlignment="1" applyProtection="1">
      <alignment horizontal="center" vertical="center"/>
    </xf>
    <xf numFmtId="0" fontId="33" fillId="0" borderId="0" xfId="0" applyFont="1" applyBorder="1" applyAlignment="1" applyProtection="1">
      <alignment horizontal="left" vertical="center" indent="1"/>
    </xf>
    <xf numFmtId="0" fontId="13" fillId="0" borderId="12" xfId="12" applyFont="1" applyFill="1" applyBorder="1" applyAlignment="1" applyProtection="1">
      <alignment vertical="center"/>
    </xf>
    <xf numFmtId="0" fontId="13" fillId="0" borderId="16" xfId="12" applyFont="1" applyFill="1" applyBorder="1" applyAlignment="1" applyProtection="1">
      <alignment vertical="center"/>
    </xf>
    <xf numFmtId="0" fontId="13" fillId="0" borderId="10" xfId="12" applyFont="1" applyFill="1" applyBorder="1" applyAlignment="1" applyProtection="1">
      <alignment vertical="center"/>
    </xf>
    <xf numFmtId="0" fontId="13" fillId="0" borderId="18" xfId="0" applyNumberFormat="1" applyFont="1" applyBorder="1" applyAlignment="1" applyProtection="1">
      <alignment horizontal="left" vertical="center"/>
    </xf>
    <xf numFmtId="0" fontId="0" fillId="0" borderId="0" xfId="0" applyBorder="1" applyAlignment="1">
      <alignment horizontal="left" indent="2"/>
    </xf>
    <xf numFmtId="164" fontId="33" fillId="0" borderId="0" xfId="0"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23" fillId="0" borderId="0" xfId="0" applyFont="1" applyFill="1"/>
    <xf numFmtId="168" fontId="14" fillId="0" borderId="0" xfId="0" applyNumberFormat="1" applyFont="1"/>
    <xf numFmtId="0" fontId="23" fillId="0" borderId="0" xfId="0" applyFont="1"/>
    <xf numFmtId="0" fontId="34" fillId="0" borderId="0" xfId="2" applyFont="1" applyBorder="1" applyAlignment="1" applyProtection="1"/>
    <xf numFmtId="0" fontId="18" fillId="0" borderId="0" xfId="0" applyFont="1" applyBorder="1" applyProtection="1"/>
    <xf numFmtId="0" fontId="18" fillId="0" borderId="18" xfId="0" applyFont="1" applyBorder="1" applyProtection="1"/>
    <xf numFmtId="0" fontId="40" fillId="0" borderId="0" xfId="0" applyFont="1" applyBorder="1" applyProtection="1"/>
    <xf numFmtId="0" fontId="0" fillId="0" borderId="19" xfId="0" applyBorder="1" applyProtection="1"/>
    <xf numFmtId="0" fontId="0" fillId="0" borderId="20" xfId="0" applyBorder="1" applyProtection="1"/>
    <xf numFmtId="0" fontId="12" fillId="0" borderId="22" xfId="0" applyFont="1" applyBorder="1" applyAlignment="1" applyProtection="1">
      <alignment horizontal="center"/>
      <protection locked="0"/>
    </xf>
    <xf numFmtId="0" fontId="16" fillId="0" borderId="0" xfId="12" applyFont="1" applyBorder="1" applyAlignment="1" applyProtection="1">
      <alignment horizontal="left" vertical="center" indent="1"/>
    </xf>
    <xf numFmtId="1" fontId="9" fillId="0" borderId="0" xfId="0" applyNumberFormat="1" applyFont="1" applyAlignment="1">
      <alignment horizontal="right"/>
    </xf>
    <xf numFmtId="1" fontId="9" fillId="0" borderId="0" xfId="0" applyNumberFormat="1" applyFont="1" applyFill="1" applyAlignment="1">
      <alignment horizontal="right"/>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0" borderId="0" xfId="0" applyFont="1" applyAlignment="1">
      <alignment horizontal="left" wrapText="1"/>
    </xf>
    <xf numFmtId="49" fontId="26" fillId="0" borderId="0" xfId="0" applyNumberFormat="1" applyFont="1" applyAlignment="1">
      <alignment horizontal="center" vertical="top"/>
    </xf>
    <xf numFmtId="49" fontId="26" fillId="0" borderId="0" xfId="0" applyNumberFormat="1" applyFont="1" applyAlignment="1">
      <alignment horizontal="right" vertical="top"/>
    </xf>
    <xf numFmtId="0" fontId="10" fillId="0" borderId="0" xfId="0" applyNumberFormat="1" applyFont="1" applyAlignment="1">
      <alignment horizontal="left" wrapText="1"/>
    </xf>
    <xf numFmtId="49" fontId="26" fillId="0" borderId="0" xfId="0" applyNumberFormat="1" applyFont="1" applyAlignment="1">
      <alignment horizontal="right" vertical="center"/>
    </xf>
    <xf numFmtId="0" fontId="49" fillId="0" borderId="0" xfId="0" applyFont="1" applyAlignment="1">
      <alignment horizontal="left" wrapText="1" indent="4"/>
    </xf>
    <xf numFmtId="0" fontId="19" fillId="0" borderId="2" xfId="12" applyNumberFormat="1"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14" fontId="9" fillId="0" borderId="0" xfId="0" applyNumberFormat="1" applyFont="1" applyAlignment="1">
      <alignment horizontal="right"/>
    </xf>
    <xf numFmtId="0" fontId="33" fillId="0" borderId="17" xfId="12" applyNumberFormat="1" applyFont="1" applyFill="1" applyBorder="1" applyAlignment="1" applyProtection="1">
      <alignment horizontal="left" vertical="center" indent="1"/>
    </xf>
    <xf numFmtId="0" fontId="12" fillId="0" borderId="17" xfId="12" applyNumberFormat="1" applyFont="1" applyFill="1" applyBorder="1" applyAlignment="1" applyProtection="1">
      <alignment horizontal="left" vertical="center" indent="1"/>
    </xf>
    <xf numFmtId="0" fontId="15" fillId="0" borderId="17" xfId="12" applyNumberFormat="1" applyFont="1" applyBorder="1" applyAlignment="1" applyProtection="1">
      <alignment vertical="center"/>
    </xf>
    <xf numFmtId="0" fontId="13" fillId="0" borderId="126" xfId="12" applyNumberFormat="1" applyFont="1" applyBorder="1" applyAlignment="1" applyProtection="1">
      <alignment horizontal="right" vertical="center"/>
    </xf>
    <xf numFmtId="0" fontId="10" fillId="0" borderId="126" xfId="12" applyFont="1" applyBorder="1" applyAlignment="1" applyProtection="1">
      <alignment vertical="center"/>
    </xf>
    <xf numFmtId="0" fontId="13" fillId="0" borderId="129" xfId="12" applyFont="1" applyBorder="1" applyAlignment="1" applyProtection="1">
      <alignment vertical="center"/>
    </xf>
    <xf numFmtId="0" fontId="13" fillId="0" borderId="127" xfId="12" applyFont="1" applyBorder="1" applyAlignment="1" applyProtection="1">
      <alignment vertical="center"/>
    </xf>
    <xf numFmtId="1" fontId="9" fillId="0" borderId="0" xfId="0" applyNumberFormat="1" applyFont="1" applyAlignment="1">
      <alignment horizontal="center" vertical="center"/>
    </xf>
    <xf numFmtId="0" fontId="10" fillId="0" borderId="136" xfId="12" applyFont="1" applyBorder="1" applyAlignment="1" applyProtection="1">
      <alignment vertical="center"/>
    </xf>
    <xf numFmtId="0" fontId="10" fillId="0" borderId="12" xfId="12" applyFont="1" applyBorder="1" applyAlignment="1" applyProtection="1">
      <alignment horizontal="left" vertical="center"/>
    </xf>
    <xf numFmtId="0" fontId="53" fillId="0" borderId="47" xfId="0" applyFont="1" applyFill="1" applyBorder="1" applyAlignment="1">
      <alignment horizontal="left" vertical="center"/>
    </xf>
    <xf numFmtId="0" fontId="54" fillId="0" borderId="0" xfId="0" applyFont="1" applyBorder="1"/>
    <xf numFmtId="0" fontId="54" fillId="0" borderId="47" xfId="0" applyFont="1" applyBorder="1" applyAlignment="1">
      <alignment horizontal="centerContinuous" vertical="center"/>
    </xf>
    <xf numFmtId="0" fontId="54" fillId="0" borderId="25" xfId="0" applyFont="1" applyBorder="1"/>
    <xf numFmtId="0" fontId="53" fillId="0" borderId="25" xfId="0" applyFont="1" applyBorder="1" applyAlignment="1">
      <alignment horizontal="left" vertical="center"/>
    </xf>
    <xf numFmtId="0" fontId="53" fillId="0" borderId="25" xfId="0" applyFont="1" applyBorder="1" applyAlignment="1">
      <alignment horizontal="center" vertical="center" wrapText="1"/>
    </xf>
    <xf numFmtId="0" fontId="54" fillId="0" borderId="0" xfId="0" applyFont="1" applyBorder="1" applyAlignment="1">
      <alignment horizontal="left"/>
    </xf>
    <xf numFmtId="0" fontId="53" fillId="0" borderId="0" xfId="0" applyFont="1" applyBorder="1"/>
    <xf numFmtId="49" fontId="54" fillId="0" borderId="0" xfId="0" applyNumberFormat="1" applyFont="1" applyBorder="1" applyAlignment="1">
      <alignment horizontal="left"/>
    </xf>
    <xf numFmtId="49" fontId="55" fillId="0" borderId="0" xfId="2" applyNumberFormat="1" applyFont="1" applyBorder="1" applyAlignment="1" applyProtection="1">
      <alignment horizontal="center"/>
    </xf>
    <xf numFmtId="49" fontId="54" fillId="0" borderId="0" xfId="0" applyNumberFormat="1" applyFont="1" applyBorder="1" applyAlignment="1">
      <alignment horizontal="center"/>
    </xf>
    <xf numFmtId="0" fontId="54" fillId="0" borderId="0" xfId="0" applyFont="1" applyBorder="1" applyAlignment="1">
      <alignment horizontal="left" indent="1"/>
    </xf>
    <xf numFmtId="0" fontId="53" fillId="0" borderId="0" xfId="0" applyFont="1" applyBorder="1" applyAlignment="1">
      <alignment horizontal="left"/>
    </xf>
    <xf numFmtId="0" fontId="54" fillId="0" borderId="0" xfId="0" applyFont="1" applyBorder="1" applyAlignment="1">
      <alignment horizontal="centerContinuous" vertical="center"/>
    </xf>
    <xf numFmtId="0" fontId="54" fillId="0" borderId="0" xfId="0" applyFont="1" applyBorder="1" applyAlignment="1">
      <alignment vertical="center"/>
    </xf>
    <xf numFmtId="0" fontId="57" fillId="0" borderId="0" xfId="2" applyFont="1" applyBorder="1" applyAlignment="1" applyProtection="1">
      <alignment horizontal="left" indent="2"/>
    </xf>
    <xf numFmtId="0" fontId="58" fillId="0" borderId="0" xfId="0" applyFont="1" applyBorder="1"/>
    <xf numFmtId="0" fontId="61" fillId="0" borderId="0" xfId="0" applyFont="1" applyBorder="1"/>
    <xf numFmtId="164" fontId="63" fillId="0" borderId="0" xfId="0" applyNumberFormat="1" applyFont="1" applyBorder="1" applyAlignment="1" applyProtection="1">
      <alignment vertical="center"/>
    </xf>
    <xf numFmtId="0" fontId="56" fillId="0" borderId="0" xfId="0" applyFont="1" applyBorder="1"/>
    <xf numFmtId="0" fontId="56" fillId="0" borderId="0" xfId="0" applyFont="1" applyBorder="1" applyAlignment="1" applyProtection="1">
      <alignment vertical="center"/>
    </xf>
    <xf numFmtId="0" fontId="54" fillId="0" borderId="0" xfId="0" applyFont="1" applyBorder="1" applyAlignment="1" applyProtection="1">
      <alignment horizontal="left" vertical="top"/>
      <protection locked="0"/>
    </xf>
    <xf numFmtId="0" fontId="54" fillId="0" borderId="0" xfId="0" applyFont="1" applyFill="1" applyBorder="1"/>
    <xf numFmtId="0" fontId="61" fillId="0" borderId="0" xfId="0" applyFont="1" applyBorder="1" applyAlignment="1">
      <alignment vertical="center"/>
    </xf>
    <xf numFmtId="49" fontId="54" fillId="0" borderId="0" xfId="0" applyNumberFormat="1" applyFont="1" applyBorder="1" applyAlignment="1">
      <alignment horizontal="center" vertical="center"/>
    </xf>
    <xf numFmtId="49" fontId="54" fillId="0" borderId="0" xfId="0" applyNumberFormat="1" applyFont="1" applyBorder="1" applyAlignment="1">
      <alignment vertical="center"/>
    </xf>
    <xf numFmtId="49" fontId="66" fillId="0" borderId="0" xfId="0" applyNumberFormat="1" applyFont="1" applyBorder="1" applyAlignment="1">
      <alignment horizontal="left" vertical="center"/>
    </xf>
    <xf numFmtId="49" fontId="54" fillId="0" borderId="0" xfId="0" applyNumberFormat="1" applyFont="1" applyBorder="1" applyAlignment="1">
      <alignment horizontal="left" indent="2"/>
    </xf>
    <xf numFmtId="49" fontId="54" fillId="0" borderId="0" xfId="0" applyNumberFormat="1" applyFont="1" applyBorder="1"/>
    <xf numFmtId="49" fontId="54" fillId="0" borderId="0" xfId="0" applyNumberFormat="1" applyFont="1" applyBorder="1" applyAlignment="1">
      <alignment horizontal="left" indent="1"/>
    </xf>
    <xf numFmtId="49" fontId="57" fillId="0" borderId="0" xfId="2" applyNumberFormat="1" applyFont="1" applyBorder="1" applyAlignment="1" applyProtection="1">
      <alignment horizontal="left" indent="1"/>
    </xf>
    <xf numFmtId="49" fontId="54" fillId="0" borderId="0" xfId="0" applyNumberFormat="1" applyFont="1" applyFill="1" applyBorder="1" applyAlignment="1">
      <alignment horizontal="left" indent="1"/>
    </xf>
    <xf numFmtId="49" fontId="54" fillId="0" borderId="0" xfId="0" applyNumberFormat="1" applyFont="1" applyFill="1" applyBorder="1" applyAlignment="1">
      <alignment horizontal="left" indent="2"/>
    </xf>
    <xf numFmtId="49" fontId="54" fillId="0" borderId="0" xfId="0" applyNumberFormat="1" applyFont="1" applyFill="1" applyBorder="1" applyAlignment="1">
      <alignment horizontal="left" indent="3"/>
    </xf>
    <xf numFmtId="49" fontId="60" fillId="0" borderId="0" xfId="0" applyNumberFormat="1" applyFont="1" applyBorder="1" applyAlignment="1">
      <alignment horizontal="left" indent="2"/>
    </xf>
    <xf numFmtId="49" fontId="62" fillId="0" borderId="0" xfId="0" applyNumberFormat="1" applyFont="1" applyBorder="1" applyAlignment="1">
      <alignment horizontal="left" indent="5"/>
    </xf>
    <xf numFmtId="49" fontId="62" fillId="0" borderId="0" xfId="0" applyNumberFormat="1" applyFont="1" applyBorder="1" applyAlignment="1">
      <alignment horizontal="left" indent="3"/>
    </xf>
    <xf numFmtId="49" fontId="59" fillId="0" borderId="0" xfId="0" applyNumberFormat="1" applyFont="1" applyBorder="1" applyAlignment="1">
      <alignment horizontal="left"/>
    </xf>
    <xf numFmtId="49" fontId="57" fillId="0" borderId="0" xfId="2" applyNumberFormat="1" applyFont="1" applyBorder="1" applyAlignment="1" applyProtection="1">
      <alignment horizontal="left" indent="3"/>
    </xf>
    <xf numFmtId="49" fontId="54" fillId="0" borderId="0" xfId="0" applyNumberFormat="1" applyFont="1" applyFill="1" applyBorder="1"/>
    <xf numFmtId="49" fontId="57" fillId="0" borderId="0" xfId="2" applyNumberFormat="1" applyFont="1" applyBorder="1" applyAlignment="1" applyProtection="1">
      <alignment horizontal="left" indent="2"/>
    </xf>
    <xf numFmtId="0" fontId="56" fillId="0" borderId="0" xfId="0" applyFont="1" applyBorder="1" applyProtection="1"/>
    <xf numFmtId="0" fontId="56" fillId="0" borderId="0" xfId="0" applyFont="1" applyBorder="1" applyAlignment="1" applyProtection="1">
      <alignment horizontal="left"/>
    </xf>
    <xf numFmtId="164" fontId="61" fillId="0" borderId="0" xfId="0" applyNumberFormat="1" applyFont="1" applyBorder="1" applyAlignment="1" applyProtection="1">
      <alignment horizontal="left"/>
    </xf>
    <xf numFmtId="0" fontId="56" fillId="0" borderId="0" xfId="0" applyFont="1" applyBorder="1" applyAlignment="1" applyProtection="1">
      <alignment horizontal="center" vertical="top" textRotation="180"/>
    </xf>
    <xf numFmtId="0" fontId="56" fillId="0" borderId="0" xfId="0" applyFont="1" applyBorder="1" applyAlignment="1" applyProtection="1"/>
    <xf numFmtId="0" fontId="70" fillId="0" borderId="0" xfId="0" applyFont="1" applyBorder="1" applyAlignment="1" applyProtection="1">
      <alignment horizontal="centerContinuous" vertical="center"/>
    </xf>
    <xf numFmtId="164" fontId="63"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center"/>
    </xf>
    <xf numFmtId="0" fontId="56" fillId="0" borderId="0" xfId="0" applyFont="1" applyBorder="1" applyAlignment="1"/>
    <xf numFmtId="0" fontId="70" fillId="0" borderId="0" xfId="0" applyFont="1" applyBorder="1" applyAlignment="1" applyProtection="1">
      <alignment horizontal="center" vertical="center"/>
    </xf>
    <xf numFmtId="0" fontId="61" fillId="0" borderId="0" xfId="0" applyFont="1" applyBorder="1" applyAlignment="1">
      <alignment horizontal="left" vertical="top"/>
    </xf>
    <xf numFmtId="164" fontId="61" fillId="0" borderId="0" xfId="0" applyNumberFormat="1" applyFont="1" applyBorder="1" applyAlignment="1">
      <alignment horizontal="left" vertical="top"/>
    </xf>
    <xf numFmtId="0" fontId="65" fillId="0" borderId="0" xfId="0" applyFont="1" applyBorder="1" applyAlignment="1" applyProtection="1">
      <alignment horizontal="left" vertical="center"/>
    </xf>
    <xf numFmtId="0" fontId="71" fillId="0" borderId="0" xfId="0" applyFont="1" applyBorder="1" applyAlignment="1">
      <alignment horizontal="left" vertical="top"/>
    </xf>
    <xf numFmtId="0" fontId="54" fillId="0" borderId="0" xfId="0" applyFont="1" applyBorder="1" applyProtection="1"/>
    <xf numFmtId="0" fontId="54" fillId="0" borderId="0" xfId="0" applyFont="1" applyBorder="1" applyAlignment="1" applyProtection="1">
      <alignment horizontal="left"/>
    </xf>
    <xf numFmtId="0" fontId="61" fillId="0" borderId="0" xfId="0" applyFont="1" applyBorder="1" applyProtection="1"/>
    <xf numFmtId="0" fontId="53" fillId="0" borderId="0" xfId="0" applyFont="1" applyBorder="1" applyAlignment="1" applyProtection="1">
      <alignment horizontal="center" vertical="center"/>
    </xf>
    <xf numFmtId="164" fontId="53" fillId="0" borderId="2" xfId="0" applyNumberFormat="1" applyFont="1" applyBorder="1" applyAlignment="1" applyProtection="1">
      <alignment horizontal="center" vertical="center"/>
      <protection locked="0"/>
    </xf>
    <xf numFmtId="0" fontId="61" fillId="0" borderId="0" xfId="0" applyFont="1" applyBorder="1" applyAlignment="1">
      <alignment horizontal="left" vertical="center"/>
    </xf>
    <xf numFmtId="0" fontId="54" fillId="0" borderId="0" xfId="0" applyFont="1" applyBorder="1" applyAlignment="1" applyProtection="1">
      <alignment vertical="center"/>
    </xf>
    <xf numFmtId="164" fontId="63" fillId="0" borderId="0" xfId="0" applyNumberFormat="1" applyFont="1" applyBorder="1" applyAlignment="1" applyProtection="1">
      <alignment horizontal="right" vertical="center"/>
    </xf>
    <xf numFmtId="164" fontId="61" fillId="0" borderId="0" xfId="0" applyNumberFormat="1" applyFont="1" applyBorder="1" applyAlignment="1" applyProtection="1">
      <alignment vertical="center"/>
    </xf>
    <xf numFmtId="0" fontId="61" fillId="0" borderId="0" xfId="0" applyFont="1" applyBorder="1" applyAlignment="1" applyProtection="1">
      <alignment horizontal="left" vertical="center" indent="1"/>
    </xf>
    <xf numFmtId="0" fontId="53" fillId="0" borderId="2" xfId="0" applyFont="1" applyBorder="1" applyAlignment="1" applyProtection="1">
      <alignment horizontal="center" vertical="center"/>
      <protection locked="0"/>
    </xf>
    <xf numFmtId="164" fontId="63" fillId="0" borderId="0" xfId="0" applyNumberFormat="1" applyFont="1" applyBorder="1" applyAlignment="1" applyProtection="1">
      <alignment horizontal="right" vertical="center" wrapText="1"/>
    </xf>
    <xf numFmtId="164" fontId="61" fillId="0" borderId="0" xfId="0" applyNumberFormat="1" applyFont="1" applyBorder="1" applyAlignment="1">
      <alignment horizontal="left" vertical="center"/>
    </xf>
    <xf numFmtId="0" fontId="53" fillId="0" borderId="0" xfId="0" applyFont="1" applyBorder="1" applyAlignment="1" applyProtection="1">
      <alignment horizontal="left" vertical="center"/>
    </xf>
    <xf numFmtId="164" fontId="72" fillId="0" borderId="0" xfId="0" applyNumberFormat="1" applyFont="1" applyBorder="1" applyAlignment="1" applyProtection="1">
      <alignment horizontal="left" vertical="center" indent="1"/>
    </xf>
    <xf numFmtId="0" fontId="61" fillId="0" borderId="0" xfId="0" applyFont="1" applyAlignment="1">
      <alignment horizontal="left" vertical="center"/>
    </xf>
    <xf numFmtId="0" fontId="61" fillId="0" borderId="0" xfId="0" applyFont="1" applyAlignment="1">
      <alignment horizontal="left" vertical="center" indent="1"/>
    </xf>
    <xf numFmtId="0" fontId="72" fillId="0" borderId="0" xfId="0" applyFont="1" applyAlignment="1">
      <alignment horizontal="left" vertical="center" indent="1"/>
    </xf>
    <xf numFmtId="0" fontId="53" fillId="0" borderId="21" xfId="0" applyFont="1" applyBorder="1" applyAlignment="1" applyProtection="1">
      <alignment horizontal="center" vertical="center"/>
      <protection locked="0"/>
    </xf>
    <xf numFmtId="0" fontId="61" fillId="0" borderId="0" xfId="0" applyFont="1" applyBorder="1" applyAlignment="1">
      <alignment horizontal="left" vertical="center" indent="1"/>
    </xf>
    <xf numFmtId="0" fontId="53"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72" fillId="0" borderId="0" xfId="0" applyFont="1" applyAlignment="1">
      <alignment horizontal="left" vertical="center"/>
    </xf>
    <xf numFmtId="0" fontId="61" fillId="0" borderId="0" xfId="0" applyFont="1" applyBorder="1" applyAlignment="1" applyProtection="1">
      <alignment horizontal="left" vertical="top"/>
    </xf>
    <xf numFmtId="0" fontId="61" fillId="0" borderId="0" xfId="0" applyFont="1" applyBorder="1" applyAlignment="1" applyProtection="1">
      <alignment horizontal="left" vertical="top" indent="1"/>
    </xf>
    <xf numFmtId="0" fontId="72" fillId="0" borderId="0" xfId="0" applyFont="1" applyBorder="1" applyAlignment="1" applyProtection="1">
      <alignment horizontal="left" vertical="top" indent="1"/>
    </xf>
    <xf numFmtId="0" fontId="61" fillId="0" borderId="0" xfId="0" applyFont="1" applyAlignment="1">
      <alignment vertical="top"/>
    </xf>
    <xf numFmtId="0" fontId="61" fillId="0" borderId="0" xfId="0" applyFont="1" applyBorder="1" applyAlignment="1" applyProtection="1">
      <alignment vertical="top"/>
    </xf>
    <xf numFmtId="0" fontId="64" fillId="0" borderId="2" xfId="0" applyFont="1" applyBorder="1" applyAlignment="1" applyProtection="1">
      <alignment horizontal="center"/>
      <protection locked="0"/>
    </xf>
    <xf numFmtId="164" fontId="63" fillId="0" borderId="0" xfId="0" applyNumberFormat="1" applyFont="1" applyBorder="1" applyAlignment="1" applyProtection="1">
      <alignment horizontal="right"/>
    </xf>
    <xf numFmtId="0" fontId="56" fillId="0" borderId="21" xfId="0" applyFont="1" applyBorder="1" applyAlignment="1" applyProtection="1">
      <alignment horizontal="left"/>
    </xf>
    <xf numFmtId="0" fontId="61" fillId="0" borderId="0" xfId="0" applyFont="1" applyBorder="1" applyAlignment="1" applyProtection="1">
      <alignment horizontal="left" vertical="center"/>
    </xf>
    <xf numFmtId="0" fontId="56" fillId="0" borderId="0" xfId="0" applyFont="1" applyBorder="1" applyAlignment="1" applyProtection="1">
      <alignment horizontal="left" vertical="center"/>
    </xf>
    <xf numFmtId="14" fontId="54" fillId="0" borderId="0" xfId="0" applyNumberFormat="1" applyFont="1" applyBorder="1" applyAlignment="1" applyProtection="1">
      <alignment horizontal="center" vertical="center"/>
    </xf>
    <xf numFmtId="14" fontId="64" fillId="0" borderId="78" xfId="0" applyNumberFormat="1" applyFont="1" applyBorder="1" applyAlignment="1" applyProtection="1">
      <alignment horizontal="center" vertical="center"/>
      <protection locked="0"/>
    </xf>
    <xf numFmtId="0" fontId="74" fillId="0" borderId="0" xfId="0" applyFont="1" applyAlignment="1">
      <alignment horizontal="left" vertical="center"/>
    </xf>
    <xf numFmtId="0" fontId="56" fillId="0" borderId="0" xfId="0" applyFont="1" applyAlignment="1">
      <alignment horizontal="left" vertical="center"/>
    </xf>
    <xf numFmtId="0" fontId="65" fillId="0" borderId="0" xfId="0" applyFont="1" applyBorder="1" applyAlignment="1" applyProtection="1">
      <alignment horizontal="left" vertical="center" wrapText="1"/>
    </xf>
    <xf numFmtId="0" fontId="53" fillId="0" borderId="0" xfId="0" applyFont="1" applyBorder="1" applyAlignment="1" applyProtection="1">
      <alignment horizontal="center" vertical="center" wrapText="1"/>
    </xf>
    <xf numFmtId="0" fontId="54" fillId="0" borderId="0" xfId="0" applyFont="1" applyBorder="1" applyAlignment="1" applyProtection="1">
      <alignment horizontal="left" vertical="top"/>
    </xf>
    <xf numFmtId="0" fontId="56" fillId="0" borderId="0" xfId="0" applyFont="1" applyBorder="1" applyAlignment="1">
      <alignment horizontal="left" vertical="top"/>
    </xf>
    <xf numFmtId="0" fontId="56" fillId="0" borderId="0" xfId="0" applyFont="1" applyBorder="1" applyAlignment="1">
      <alignment horizontal="center" vertical="top"/>
    </xf>
    <xf numFmtId="0" fontId="61" fillId="0" borderId="0" xfId="0" applyFont="1" applyAlignment="1">
      <alignment horizontal="left"/>
    </xf>
    <xf numFmtId="0" fontId="61" fillId="0" borderId="0" xfId="0" applyFont="1"/>
    <xf numFmtId="0" fontId="56" fillId="0" borderId="0" xfId="0" applyFont="1" applyBorder="1" applyAlignment="1" applyProtection="1">
      <alignment horizontal="right" vertical="center"/>
    </xf>
    <xf numFmtId="14" fontId="56" fillId="0" borderId="100" xfId="0" applyNumberFormat="1" applyFont="1" applyBorder="1" applyAlignment="1" applyProtection="1">
      <alignment vertical="center"/>
      <protection locked="0"/>
    </xf>
    <xf numFmtId="164" fontId="53" fillId="0" borderId="0" xfId="0" applyNumberFormat="1" applyFont="1" applyBorder="1" applyAlignment="1" applyProtection="1">
      <alignment horizontal="center" vertical="center"/>
    </xf>
    <xf numFmtId="0" fontId="75" fillId="10" borderId="101" xfId="0" applyFont="1" applyFill="1" applyBorder="1" applyAlignment="1">
      <alignment horizontal="center" vertical="center"/>
    </xf>
    <xf numFmtId="0" fontId="75" fillId="10" borderId="102" xfId="0" applyFont="1" applyFill="1" applyBorder="1" applyAlignment="1">
      <alignment horizontal="center" vertical="center"/>
    </xf>
    <xf numFmtId="0" fontId="53" fillId="18" borderId="122" xfId="0" applyFont="1" applyFill="1" applyBorder="1" applyAlignment="1" applyProtection="1">
      <alignment horizontal="left" vertical="center"/>
    </xf>
    <xf numFmtId="164" fontId="53" fillId="18" borderId="122" xfId="0" applyNumberFormat="1" applyFont="1" applyFill="1" applyBorder="1" applyAlignment="1" applyProtection="1">
      <alignment horizontal="center" vertical="center"/>
    </xf>
    <xf numFmtId="164" fontId="63" fillId="18" borderId="122" xfId="0" applyNumberFormat="1" applyFont="1" applyFill="1" applyBorder="1" applyAlignment="1" applyProtection="1">
      <alignment vertical="center"/>
    </xf>
    <xf numFmtId="0" fontId="76" fillId="11" borderId="123" xfId="0" applyFont="1" applyFill="1" applyBorder="1" applyAlignment="1">
      <alignment horizontal="left" vertical="center"/>
    </xf>
    <xf numFmtId="38" fontId="48" fillId="11" borderId="103" xfId="0" applyNumberFormat="1" applyFont="1" applyFill="1" applyBorder="1" applyAlignment="1">
      <alignment horizontal="right"/>
    </xf>
    <xf numFmtId="38" fontId="48" fillId="11" borderId="110" xfId="0" applyNumberFormat="1" applyFont="1" applyFill="1" applyBorder="1" applyAlignment="1">
      <alignment horizontal="right"/>
    </xf>
    <xf numFmtId="0" fontId="77" fillId="12" borderId="103" xfId="0" applyFont="1" applyFill="1" applyBorder="1" applyAlignment="1">
      <alignment vertical="center"/>
    </xf>
    <xf numFmtId="164" fontId="53" fillId="14" borderId="118" xfId="0" applyNumberFormat="1" applyFont="1" applyFill="1" applyBorder="1" applyAlignment="1" applyProtection="1">
      <alignment horizontal="center" vertical="center"/>
    </xf>
    <xf numFmtId="164" fontId="63" fillId="14" borderId="110" xfId="0" applyNumberFormat="1" applyFont="1" applyFill="1" applyBorder="1" applyAlignment="1" applyProtection="1">
      <alignment vertical="center"/>
    </xf>
    <xf numFmtId="0" fontId="56" fillId="14" borderId="103" xfId="0" applyFont="1" applyFill="1" applyBorder="1" applyAlignment="1" applyProtection="1">
      <alignment vertical="center"/>
    </xf>
    <xf numFmtId="38" fontId="48" fillId="12" borderId="121" xfId="0" applyNumberFormat="1" applyFont="1" applyFill="1" applyBorder="1" applyAlignment="1" applyProtection="1">
      <alignment horizontal="right"/>
      <protection locked="0"/>
    </xf>
    <xf numFmtId="38" fontId="48" fillId="12" borderId="103" xfId="0" applyNumberFormat="1" applyFont="1" applyFill="1" applyBorder="1" applyAlignment="1" applyProtection="1">
      <alignment horizontal="right"/>
      <protection locked="0"/>
    </xf>
    <xf numFmtId="38" fontId="48" fillId="12" borderId="110" xfId="0" applyNumberFormat="1" applyFont="1" applyFill="1" applyBorder="1" applyAlignment="1" applyProtection="1">
      <alignment horizontal="right"/>
      <protection locked="0"/>
    </xf>
    <xf numFmtId="0" fontId="53" fillId="18" borderId="110" xfId="0" applyFont="1" applyFill="1" applyBorder="1" applyAlignment="1" applyProtection="1">
      <alignment horizontal="center" vertical="center"/>
    </xf>
    <xf numFmtId="164" fontId="53" fillId="18" borderId="110" xfId="0" applyNumberFormat="1" applyFont="1" applyFill="1" applyBorder="1" applyAlignment="1" applyProtection="1">
      <alignment horizontal="center" vertical="center"/>
    </xf>
    <xf numFmtId="164" fontId="63" fillId="18" borderId="110" xfId="0" applyNumberFormat="1" applyFont="1" applyFill="1" applyBorder="1" applyAlignment="1" applyProtection="1">
      <alignment vertical="center"/>
    </xf>
    <xf numFmtId="0" fontId="76" fillId="11" borderId="103" xfId="0" applyFont="1" applyFill="1" applyBorder="1" applyAlignment="1">
      <alignment horizontal="left" vertical="center"/>
    </xf>
    <xf numFmtId="0" fontId="53" fillId="18" borderId="0" xfId="0" applyFont="1" applyFill="1" applyBorder="1" applyAlignment="1" applyProtection="1">
      <alignment horizontal="left" vertical="center"/>
    </xf>
    <xf numFmtId="164" fontId="53" fillId="18" borderId="0" xfId="0" applyNumberFormat="1" applyFont="1" applyFill="1" applyBorder="1" applyAlignment="1" applyProtection="1">
      <alignment horizontal="center" vertical="center"/>
    </xf>
    <xf numFmtId="164" fontId="63" fillId="18" borderId="0" xfId="0" applyNumberFormat="1" applyFont="1" applyFill="1" applyBorder="1" applyAlignment="1" applyProtection="1">
      <alignment vertical="center"/>
    </xf>
    <xf numFmtId="0" fontId="61" fillId="14" borderId="118" xfId="0" applyFont="1" applyFill="1" applyBorder="1" applyAlignment="1" applyProtection="1">
      <alignment horizontal="left" vertical="center"/>
    </xf>
    <xf numFmtId="164" fontId="53" fillId="14" borderId="110" xfId="0" applyNumberFormat="1" applyFont="1" applyFill="1" applyBorder="1" applyAlignment="1" applyProtection="1">
      <alignment horizontal="center" vertical="center"/>
    </xf>
    <xf numFmtId="164" fontId="61" fillId="14" borderId="110" xfId="0" applyNumberFormat="1" applyFont="1" applyFill="1" applyBorder="1" applyAlignment="1" applyProtection="1">
      <alignment vertical="center"/>
    </xf>
    <xf numFmtId="0" fontId="77" fillId="12" borderId="103" xfId="0" applyFont="1" applyFill="1" applyBorder="1" applyAlignment="1">
      <alignment horizontal="left" vertical="center"/>
    </xf>
    <xf numFmtId="0" fontId="53" fillId="14" borderId="119" xfId="0" applyFont="1" applyFill="1" applyBorder="1" applyAlignment="1" applyProtection="1">
      <alignment horizontal="center" vertical="center"/>
    </xf>
    <xf numFmtId="164" fontId="53" fillId="14" borderId="120" xfId="0" applyNumberFormat="1" applyFont="1" applyFill="1" applyBorder="1" applyAlignment="1" applyProtection="1">
      <alignment horizontal="center" vertical="center"/>
    </xf>
    <xf numFmtId="164" fontId="63" fillId="14" borderId="120" xfId="0" applyNumberFormat="1" applyFont="1" applyFill="1" applyBorder="1" applyAlignment="1" applyProtection="1">
      <alignment vertical="center"/>
    </xf>
    <xf numFmtId="38" fontId="48" fillId="12" borderId="110" xfId="0" applyNumberFormat="1" applyFont="1" applyFill="1" applyBorder="1" applyAlignment="1">
      <alignment horizontal="right"/>
    </xf>
    <xf numFmtId="0" fontId="76" fillId="11" borderId="104" xfId="0" applyFont="1" applyFill="1" applyBorder="1" applyAlignment="1">
      <alignment horizontal="left" vertical="center"/>
    </xf>
    <xf numFmtId="38" fontId="48" fillId="11" borderId="104" xfId="0" applyNumberFormat="1" applyFont="1" applyFill="1" applyBorder="1" applyAlignment="1">
      <alignment horizontal="right"/>
    </xf>
    <xf numFmtId="38" fontId="48" fillId="11" borderId="0" xfId="0" applyNumberFormat="1" applyFont="1" applyFill="1" applyBorder="1" applyAlignment="1" applyProtection="1">
      <alignment horizontal="right"/>
      <protection locked="0"/>
    </xf>
    <xf numFmtId="1" fontId="54" fillId="0" borderId="0" xfId="0" applyNumberFormat="1" applyFont="1" applyBorder="1" applyAlignment="1" applyProtection="1">
      <alignment horizontal="center" vertical="center"/>
    </xf>
    <xf numFmtId="0" fontId="56" fillId="0" borderId="0" xfId="0" applyFont="1" applyBorder="1" applyAlignment="1" applyProtection="1">
      <alignment horizontal="center" vertical="center"/>
    </xf>
    <xf numFmtId="164" fontId="54" fillId="0" borderId="0" xfId="0" applyNumberFormat="1" applyFont="1" applyBorder="1" applyAlignment="1" applyProtection="1">
      <alignment horizontal="left" vertical="center" indent="1"/>
    </xf>
    <xf numFmtId="0" fontId="65" fillId="0" borderId="0" xfId="3" applyFont="1" applyBorder="1" applyAlignment="1" applyProtection="1">
      <alignment horizontal="left" vertical="center"/>
    </xf>
    <xf numFmtId="0" fontId="74" fillId="0" borderId="0" xfId="3" applyFont="1" applyAlignment="1">
      <alignment horizontal="left" vertical="center"/>
    </xf>
    <xf numFmtId="0" fontId="63" fillId="0" borderId="0" xfId="3" applyFont="1" applyBorder="1" applyAlignment="1" applyProtection="1">
      <alignment horizontal="left" vertical="center"/>
    </xf>
    <xf numFmtId="0" fontId="56" fillId="0" borderId="0" xfId="3" applyFont="1" applyBorder="1" applyAlignment="1" applyProtection="1">
      <alignment horizontal="right" vertical="center"/>
    </xf>
    <xf numFmtId="1" fontId="54" fillId="0" borderId="0" xfId="3" applyNumberFormat="1" applyFont="1" applyBorder="1" applyAlignment="1" applyProtection="1">
      <alignment horizontal="center" vertical="center"/>
    </xf>
    <xf numFmtId="0" fontId="56" fillId="0" borderId="0" xfId="3" applyFont="1" applyBorder="1" applyAlignment="1" applyProtection="1">
      <alignment vertical="center"/>
    </xf>
    <xf numFmtId="0" fontId="56" fillId="0" borderId="0" xfId="3" applyFont="1" applyBorder="1" applyAlignment="1" applyProtection="1">
      <alignment horizontal="center" vertical="center"/>
    </xf>
    <xf numFmtId="0" fontId="56" fillId="0" borderId="0" xfId="3" applyNumberFormat="1" applyFont="1" applyBorder="1" applyAlignment="1" applyProtection="1">
      <alignment vertical="center"/>
    </xf>
    <xf numFmtId="0" fontId="61" fillId="0" borderId="0" xfId="3" applyFont="1" applyBorder="1" applyAlignment="1">
      <alignment horizontal="left" indent="1"/>
    </xf>
    <xf numFmtId="0" fontId="54" fillId="0" borderId="0" xfId="3" applyFont="1" applyBorder="1"/>
    <xf numFmtId="164" fontId="63" fillId="0" borderId="0" xfId="3" applyNumberFormat="1" applyFont="1" applyBorder="1" applyAlignment="1" applyProtection="1">
      <alignment vertical="center"/>
    </xf>
    <xf numFmtId="0" fontId="56" fillId="0" borderId="0" xfId="3" applyFont="1" applyBorder="1"/>
    <xf numFmtId="0" fontId="54" fillId="0" borderId="0" xfId="3" applyFont="1" applyBorder="1" applyAlignment="1" applyProtection="1">
      <alignment horizontal="left" vertical="top"/>
    </xf>
    <xf numFmtId="0" fontId="61" fillId="0" borderId="0" xfId="3" applyFont="1" applyBorder="1"/>
    <xf numFmtId="0" fontId="53" fillId="0" borderId="0" xfId="3" applyFont="1" applyBorder="1" applyAlignment="1" applyProtection="1">
      <alignment horizontal="center" vertical="center"/>
    </xf>
    <xf numFmtId="164" fontId="63" fillId="0" borderId="0" xfId="3" applyNumberFormat="1" applyFont="1" applyBorder="1" applyAlignment="1" applyProtection="1">
      <alignment horizontal="right" vertical="center"/>
    </xf>
    <xf numFmtId="0" fontId="78" fillId="0" borderId="0" xfId="3" applyFont="1" applyBorder="1"/>
    <xf numFmtId="0" fontId="56" fillId="0" borderId="0" xfId="3" applyFont="1"/>
    <xf numFmtId="0" fontId="56" fillId="0" borderId="0" xfId="3" applyFont="1" applyProtection="1"/>
    <xf numFmtId="0" fontId="72" fillId="0" borderId="0" xfId="3" applyFont="1" applyBorder="1"/>
    <xf numFmtId="0" fontId="72" fillId="0" borderId="0" xfId="3" applyFont="1" applyBorder="1" applyAlignment="1">
      <alignment horizontal="center" vertical="top"/>
    </xf>
    <xf numFmtId="171" fontId="56" fillId="0" borderId="0" xfId="3" applyNumberFormat="1" applyFont="1" applyBorder="1" applyAlignment="1" applyProtection="1">
      <alignment horizontal="center" vertical="center"/>
    </xf>
    <xf numFmtId="0" fontId="72" fillId="0" borderId="0" xfId="3" applyFont="1" applyBorder="1" applyAlignment="1">
      <alignment horizontal="center"/>
    </xf>
    <xf numFmtId="0" fontId="56" fillId="0" borderId="0" xfId="3" applyFont="1" applyBorder="1" applyProtection="1"/>
    <xf numFmtId="0" fontId="56" fillId="0" borderId="0" xfId="3" applyFont="1" applyProtection="1">
      <protection locked="0"/>
    </xf>
    <xf numFmtId="0" fontId="56" fillId="0" borderId="0" xfId="3" applyFont="1" applyBorder="1" applyProtection="1">
      <protection locked="0"/>
    </xf>
    <xf numFmtId="0" fontId="56" fillId="0" borderId="0" xfId="3" applyFont="1" applyBorder="1" applyAlignment="1">
      <alignment horizontal="center" vertical="center"/>
    </xf>
    <xf numFmtId="164" fontId="61" fillId="0" borderId="0" xfId="3" applyNumberFormat="1" applyFont="1" applyBorder="1"/>
    <xf numFmtId="0" fontId="72" fillId="0" borderId="15" xfId="3" applyFont="1" applyBorder="1" applyAlignment="1">
      <alignment horizontal="center"/>
    </xf>
    <xf numFmtId="0" fontId="54" fillId="0" borderId="0" xfId="3" applyFont="1" applyBorder="1" applyProtection="1"/>
    <xf numFmtId="0" fontId="56" fillId="0" borderId="0" xfId="0" applyFont="1"/>
    <xf numFmtId="0" fontId="72" fillId="0" borderId="0" xfId="0" applyFont="1" applyBorder="1"/>
    <xf numFmtId="0" fontId="72" fillId="0" borderId="0" xfId="0" applyFont="1" applyBorder="1" applyAlignment="1">
      <alignment horizontal="left" vertical="top" wrapText="1"/>
    </xf>
    <xf numFmtId="0" fontId="72" fillId="0" borderId="0" xfId="0" applyFont="1" applyBorder="1" applyAlignment="1">
      <alignment horizontal="center"/>
    </xf>
    <xf numFmtId="0" fontId="72" fillId="0" borderId="0" xfId="0" applyFont="1" applyBorder="1" applyAlignment="1" applyProtection="1">
      <alignment horizontal="center" vertical="top"/>
    </xf>
    <xf numFmtId="0" fontId="56" fillId="0" borderId="0" xfId="0" applyFont="1" applyBorder="1" applyAlignment="1">
      <alignment horizontal="center" vertical="center"/>
    </xf>
    <xf numFmtId="164" fontId="61" fillId="0" borderId="0" xfId="0" applyNumberFormat="1" applyFont="1" applyBorder="1"/>
    <xf numFmtId="0" fontId="53" fillId="0" borderId="0" xfId="0" applyFont="1" applyBorder="1" applyAlignment="1" applyProtection="1">
      <alignment horizontal="center"/>
    </xf>
    <xf numFmtId="0" fontId="72" fillId="0" borderId="0" xfId="0" applyFont="1" applyBorder="1" applyAlignment="1">
      <alignment horizontal="center" vertical="top"/>
    </xf>
    <xf numFmtId="171" fontId="56" fillId="0" borderId="0" xfId="0" applyNumberFormat="1" applyFont="1" applyBorder="1" applyAlignment="1" applyProtection="1">
      <alignment horizontal="center" vertical="center"/>
    </xf>
    <xf numFmtId="164" fontId="61" fillId="0" borderId="0" xfId="0" applyNumberFormat="1" applyFont="1" applyBorder="1" applyProtection="1"/>
    <xf numFmtId="0" fontId="79" fillId="0" borderId="0" xfId="0" applyFont="1" applyBorder="1" applyAlignment="1">
      <alignment horizontal="left" vertical="top" wrapText="1"/>
    </xf>
    <xf numFmtId="166" fontId="56" fillId="0" borderId="0" xfId="0" applyNumberFormat="1" applyFont="1" applyBorder="1" applyAlignment="1" applyProtection="1">
      <alignment horizontal="left" vertical="center"/>
    </xf>
    <xf numFmtId="164" fontId="61" fillId="0" borderId="0" xfId="0" applyNumberFormat="1" applyFont="1" applyBorder="1" applyAlignment="1" applyProtection="1">
      <alignment horizontal="left" vertical="center"/>
    </xf>
    <xf numFmtId="0" fontId="56" fillId="0" borderId="0" xfId="0" applyFont="1" applyAlignment="1">
      <alignment vertical="center"/>
    </xf>
    <xf numFmtId="0" fontId="63" fillId="0" borderId="0" xfId="0" applyFont="1" applyBorder="1" applyAlignment="1" applyProtection="1">
      <alignment vertical="center"/>
    </xf>
    <xf numFmtId="0" fontId="54" fillId="0" borderId="0" xfId="3" applyFont="1" applyBorder="1" applyAlignment="1">
      <alignment horizontal="left" indent="1"/>
    </xf>
    <xf numFmtId="0" fontId="59" fillId="0" borderId="0" xfId="0" applyFont="1" applyBorder="1" applyAlignment="1" applyProtection="1">
      <alignment horizontal="center" vertical="center"/>
    </xf>
    <xf numFmtId="0" fontId="54" fillId="0" borderId="0" xfId="0" applyFont="1" applyAlignment="1" applyProtection="1">
      <alignment vertical="center"/>
    </xf>
    <xf numFmtId="0" fontId="81" fillId="0" borderId="0" xfId="0" applyFont="1" applyBorder="1" applyAlignment="1" applyProtection="1">
      <alignment horizontal="left" vertical="center"/>
    </xf>
    <xf numFmtId="0" fontId="53" fillId="0" borderId="0" xfId="0" applyFont="1" applyBorder="1" applyAlignment="1" applyProtection="1">
      <alignment vertical="center"/>
    </xf>
    <xf numFmtId="0" fontId="82" fillId="0" borderId="0" xfId="0" applyFont="1" applyBorder="1" applyAlignment="1" applyProtection="1">
      <alignment vertical="center"/>
    </xf>
    <xf numFmtId="0" fontId="61" fillId="0" borderId="0" xfId="0" applyFont="1" applyBorder="1" applyAlignment="1" applyProtection="1">
      <alignment horizontal="left" vertical="center" indent="3"/>
    </xf>
    <xf numFmtId="38" fontId="56" fillId="0" borderId="2" xfId="0" applyNumberFormat="1" applyFont="1" applyBorder="1" applyAlignment="1" applyProtection="1">
      <alignment vertical="center"/>
      <protection locked="0"/>
    </xf>
    <xf numFmtId="0" fontId="63" fillId="0" borderId="0" xfId="0" applyFont="1" applyBorder="1" applyAlignment="1" applyProtection="1">
      <alignment horizontal="center" vertical="center"/>
    </xf>
    <xf numFmtId="0" fontId="63" fillId="0" borderId="0" xfId="0" applyFont="1" applyBorder="1" applyAlignment="1" applyProtection="1">
      <alignment horizontal="center" vertical="center" wrapText="1"/>
    </xf>
    <xf numFmtId="176" fontId="56" fillId="0" borderId="2" xfId="0" applyNumberFormat="1" applyFont="1" applyBorder="1" applyAlignment="1" applyProtection="1">
      <alignment vertical="center" wrapText="1"/>
      <protection locked="0"/>
    </xf>
    <xf numFmtId="0" fontId="54" fillId="0" borderId="0" xfId="0" applyFont="1" applyBorder="1" applyAlignment="1" applyProtection="1">
      <alignment horizontal="center" vertical="center"/>
    </xf>
    <xf numFmtId="0" fontId="84" fillId="0" borderId="0" xfId="0" applyFont="1" applyBorder="1" applyAlignment="1" applyProtection="1">
      <alignment horizontal="center" vertical="center" wrapText="1"/>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0" fontId="63" fillId="0" borderId="0" xfId="0" applyFont="1" applyBorder="1" applyAlignment="1" applyProtection="1">
      <alignment horizontal="center"/>
    </xf>
    <xf numFmtId="0" fontId="54" fillId="0" borderId="0" xfId="0" applyFont="1" applyBorder="1" applyAlignment="1" applyProtection="1"/>
    <xf numFmtId="0" fontId="63" fillId="0" borderId="0" xfId="0" applyFont="1" applyBorder="1" applyAlignment="1" applyProtection="1">
      <alignment horizontal="center" wrapText="1"/>
    </xf>
    <xf numFmtId="0" fontId="54" fillId="0" borderId="0" xfId="0" applyFont="1" applyBorder="1" applyAlignment="1" applyProtection="1">
      <alignment horizontal="right" vertical="center"/>
    </xf>
    <xf numFmtId="0" fontId="80" fillId="0" borderId="0" xfId="0" applyFont="1" applyBorder="1" applyAlignment="1" applyProtection="1">
      <alignment vertical="center"/>
    </xf>
    <xf numFmtId="0" fontId="72" fillId="0" borderId="0" xfId="0" applyFont="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4" fillId="0" borderId="0" xfId="0" applyFont="1" applyAlignment="1" applyProtection="1">
      <alignment horizontal="right" vertical="center"/>
    </xf>
    <xf numFmtId="0" fontId="61" fillId="0" borderId="17" xfId="0" applyFont="1" applyFill="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4" fillId="0" borderId="17" xfId="0" applyFont="1" applyBorder="1" applyAlignment="1" applyProtection="1">
      <alignment horizontal="right" vertical="center"/>
    </xf>
    <xf numFmtId="40" fontId="61" fillId="0" borderId="0" xfId="0" applyNumberFormat="1" applyFont="1" applyBorder="1" applyAlignment="1" applyProtection="1">
      <alignment horizontal="center" vertical="center"/>
    </xf>
    <xf numFmtId="0" fontId="86" fillId="0" borderId="0" xfId="0" applyFont="1" applyBorder="1" applyAlignment="1" applyProtection="1">
      <alignment vertical="center"/>
    </xf>
    <xf numFmtId="0" fontId="54" fillId="0" borderId="20" xfId="0" applyFont="1" applyFill="1" applyBorder="1" applyAlignment="1" applyProtection="1">
      <alignment vertical="center"/>
    </xf>
    <xf numFmtId="0" fontId="61" fillId="0" borderId="0" xfId="0" applyFont="1" applyBorder="1" applyAlignment="1" applyProtection="1">
      <alignment horizontal="right" vertical="center"/>
    </xf>
    <xf numFmtId="0" fontId="61" fillId="0" borderId="2" xfId="0" applyFont="1" applyBorder="1" applyAlignment="1" applyProtection="1">
      <alignment vertical="center"/>
    </xf>
    <xf numFmtId="38" fontId="56" fillId="6" borderId="2" xfId="0" applyNumberFormat="1" applyFont="1" applyFill="1" applyBorder="1" applyAlignment="1" applyProtection="1">
      <alignment vertical="center"/>
    </xf>
    <xf numFmtId="0" fontId="54" fillId="3" borderId="2" xfId="0" applyFont="1" applyFill="1" applyBorder="1" applyAlignment="1" applyProtection="1">
      <alignment vertical="center"/>
    </xf>
    <xf numFmtId="0" fontId="64" fillId="0" borderId="2" xfId="0" applyNumberFormat="1" applyFont="1" applyBorder="1" applyAlignment="1" applyProtection="1">
      <alignment horizontal="center" vertical="center"/>
      <protection locked="0"/>
    </xf>
    <xf numFmtId="38" fontId="56" fillId="0" borderId="0" xfId="0" applyNumberFormat="1" applyFont="1" applyBorder="1" applyAlignment="1" applyProtection="1">
      <alignment horizontal="center" vertical="center"/>
    </xf>
    <xf numFmtId="0" fontId="56" fillId="0" borderId="0" xfId="0" applyFont="1" applyBorder="1" applyAlignment="1" applyProtection="1">
      <alignment horizontal="left" vertical="top"/>
    </xf>
    <xf numFmtId="0" fontId="80" fillId="0" borderId="0" xfId="0" applyFont="1" applyBorder="1" applyAlignment="1" applyProtection="1">
      <alignment horizontal="left"/>
    </xf>
    <xf numFmtId="0" fontId="80" fillId="0" borderId="0" xfId="0" applyFont="1" applyBorder="1" applyAlignment="1" applyProtection="1"/>
    <xf numFmtId="0" fontId="87" fillId="0" borderId="0" xfId="0" applyFont="1" applyBorder="1" applyAlignment="1" applyProtection="1">
      <alignment horizontal="right" vertical="center"/>
    </xf>
    <xf numFmtId="0" fontId="56" fillId="0" borderId="0" xfId="0" applyFont="1" applyProtection="1"/>
    <xf numFmtId="0" fontId="54" fillId="0" borderId="0" xfId="0" applyFont="1" applyProtection="1"/>
    <xf numFmtId="0" fontId="88" fillId="0" borderId="0" xfId="2" applyFont="1" applyAlignment="1" applyProtection="1">
      <alignment horizontal="centerContinuous" vertical="center"/>
    </xf>
    <xf numFmtId="0" fontId="56" fillId="0" borderId="0" xfId="0" applyFont="1" applyAlignment="1">
      <alignment horizontal="centerContinuous" vertical="center"/>
    </xf>
    <xf numFmtId="0" fontId="54" fillId="0" borderId="0" xfId="0" applyFont="1" applyAlignment="1" applyProtection="1">
      <alignment horizontal="centerContinuous" vertical="center"/>
    </xf>
    <xf numFmtId="0" fontId="64" fillId="0" borderId="0" xfId="0" applyFont="1"/>
    <xf numFmtId="0" fontId="54" fillId="0" borderId="0" xfId="0" applyNumberFormat="1" applyFont="1" applyAlignment="1">
      <alignment horizontal="left"/>
    </xf>
    <xf numFmtId="0" fontId="56" fillId="0" borderId="0" xfId="0" applyFont="1" applyAlignment="1">
      <alignment horizontal="left"/>
    </xf>
    <xf numFmtId="174" fontId="54" fillId="0" borderId="0" xfId="0" applyNumberFormat="1" applyFont="1" applyAlignment="1">
      <alignment horizontal="left"/>
    </xf>
    <xf numFmtId="174" fontId="56" fillId="0" borderId="0" xfId="0" applyNumberFormat="1" applyFont="1" applyAlignment="1">
      <alignment horizontal="left"/>
    </xf>
    <xf numFmtId="0" fontId="54" fillId="0" borderId="0" xfId="0" applyNumberFormat="1" applyFont="1" applyBorder="1" applyAlignment="1" applyProtection="1">
      <alignment horizontal="left"/>
    </xf>
    <xf numFmtId="0" fontId="54" fillId="0" borderId="0" xfId="0" applyFont="1" applyBorder="1" applyAlignment="1" applyProtection="1">
      <alignment horizontal="right"/>
    </xf>
    <xf numFmtId="49" fontId="54" fillId="0" borderId="0" xfId="0" applyNumberFormat="1" applyFont="1" applyBorder="1" applyAlignment="1" applyProtection="1">
      <alignment horizontal="left" vertical="center"/>
    </xf>
    <xf numFmtId="49" fontId="53" fillId="0" borderId="0" xfId="0" applyNumberFormat="1" applyFont="1" applyBorder="1" applyAlignment="1" applyProtection="1">
      <alignment horizontal="left" vertical="center"/>
    </xf>
    <xf numFmtId="0" fontId="53" fillId="0" borderId="0" xfId="0" applyFont="1" applyBorder="1" applyProtection="1"/>
    <xf numFmtId="0" fontId="53" fillId="0" borderId="0" xfId="0" applyFont="1" applyBorder="1" applyAlignment="1" applyProtection="1">
      <alignment horizontal="right"/>
    </xf>
    <xf numFmtId="0" fontId="56" fillId="0" borderId="0" xfId="5" applyNumberFormat="1" applyFont="1" applyBorder="1" applyAlignment="1" applyProtection="1">
      <alignment horizontal="right"/>
    </xf>
    <xf numFmtId="49" fontId="61" fillId="0" borderId="0" xfId="0" applyNumberFormat="1" applyFont="1" applyBorder="1" applyAlignment="1" applyProtection="1">
      <alignment horizontal="left" vertical="center"/>
    </xf>
    <xf numFmtId="0" fontId="61" fillId="0" borderId="0" xfId="0" applyFont="1" applyFill="1" applyBorder="1" applyProtection="1"/>
    <xf numFmtId="40" fontId="61" fillId="0" borderId="0" xfId="0" applyNumberFormat="1" applyFont="1" applyBorder="1" applyAlignment="1" applyProtection="1">
      <alignment horizontal="right"/>
    </xf>
    <xf numFmtId="37" fontId="61" fillId="0" borderId="0" xfId="0" applyNumberFormat="1" applyFont="1" applyBorder="1" applyProtection="1"/>
    <xf numFmtId="175" fontId="61" fillId="0" borderId="0" xfId="0" applyNumberFormat="1" applyFont="1" applyFill="1" applyBorder="1" applyAlignment="1" applyProtection="1">
      <alignment horizontal="right"/>
    </xf>
    <xf numFmtId="173" fontId="61" fillId="0" borderId="0" xfId="0" applyNumberFormat="1" applyFont="1" applyBorder="1" applyProtection="1"/>
    <xf numFmtId="0" fontId="61" fillId="0" borderId="0" xfId="5" applyNumberFormat="1" applyFont="1" applyBorder="1" applyAlignment="1" applyProtection="1">
      <alignment horizontal="right"/>
    </xf>
    <xf numFmtId="0" fontId="61" fillId="0" borderId="0" xfId="0" applyFont="1" applyProtection="1"/>
    <xf numFmtId="0" fontId="61" fillId="0" borderId="0" xfId="0" applyFont="1" applyBorder="1" applyAlignment="1" applyProtection="1">
      <alignment vertical="center" wrapText="1"/>
    </xf>
    <xf numFmtId="0" fontId="61" fillId="0" borderId="0" xfId="0" applyFont="1" applyBorder="1" applyAlignment="1" applyProtection="1">
      <alignment horizontal="right"/>
    </xf>
    <xf numFmtId="2" fontId="61" fillId="0" borderId="0" xfId="0" applyNumberFormat="1" applyFont="1" applyBorder="1" applyAlignment="1" applyProtection="1">
      <alignment horizontal="right"/>
    </xf>
    <xf numFmtId="0" fontId="89" fillId="0" borderId="0" xfId="0" applyFont="1" applyAlignment="1" applyProtection="1">
      <alignment horizontal="left"/>
    </xf>
    <xf numFmtId="0" fontId="61" fillId="0" borderId="0" xfId="0" applyFont="1" applyAlignment="1">
      <alignment wrapText="1"/>
    </xf>
    <xf numFmtId="0" fontId="54" fillId="0" borderId="0" xfId="0" applyFont="1" applyFill="1" applyBorder="1" applyProtection="1"/>
    <xf numFmtId="0" fontId="54" fillId="0" borderId="0" xfId="0" applyFont="1" applyBorder="1" applyAlignment="1" applyProtection="1">
      <alignment horizontal="center"/>
    </xf>
    <xf numFmtId="175" fontId="61" fillId="0" borderId="0" xfId="0" quotePrefix="1" applyNumberFormat="1" applyFont="1" applyBorder="1" applyAlignment="1" applyProtection="1">
      <alignment horizontal="right"/>
    </xf>
    <xf numFmtId="0" fontId="63" fillId="0" borderId="0" xfId="0" applyFont="1" applyProtection="1"/>
    <xf numFmtId="0" fontId="61" fillId="0" borderId="0" xfId="5" quotePrefix="1" applyNumberFormat="1" applyFont="1" applyBorder="1" applyAlignment="1" applyProtection="1">
      <alignment horizontal="right"/>
    </xf>
    <xf numFmtId="0" fontId="61" fillId="0" borderId="0" xfId="0" applyFont="1" applyBorder="1" applyAlignment="1" applyProtection="1">
      <alignment vertical="top" wrapText="1"/>
    </xf>
    <xf numFmtId="37" fontId="61" fillId="0" borderId="0" xfId="0" applyNumberFormat="1" applyFont="1" applyBorder="1" applyAlignment="1" applyProtection="1">
      <alignment horizontal="right"/>
    </xf>
    <xf numFmtId="175" fontId="61" fillId="8" borderId="0" xfId="0" quotePrefix="1" applyNumberFormat="1" applyFont="1" applyFill="1" applyBorder="1" applyAlignment="1" applyProtection="1">
      <alignment horizontal="right"/>
    </xf>
    <xf numFmtId="38" fontId="61" fillId="0" borderId="0" xfId="0" applyNumberFormat="1" applyFont="1" applyBorder="1" applyProtection="1"/>
    <xf numFmtId="40" fontId="61" fillId="0" borderId="0" xfId="0" applyNumberFormat="1" applyFont="1" applyFill="1" applyBorder="1" applyAlignment="1" applyProtection="1">
      <alignment horizontal="right"/>
    </xf>
    <xf numFmtId="1" fontId="61" fillId="0" borderId="0" xfId="0" applyNumberFormat="1" applyFont="1" applyBorder="1" applyProtection="1"/>
    <xf numFmtId="39" fontId="61" fillId="0" borderId="0" xfId="0" applyNumberFormat="1" applyFont="1" applyBorder="1" applyProtection="1"/>
    <xf numFmtId="1" fontId="56" fillId="0" borderId="0" xfId="5" applyNumberFormat="1" applyFont="1" applyBorder="1" applyAlignment="1" applyProtection="1">
      <alignment horizontal="right"/>
    </xf>
    <xf numFmtId="40" fontId="61" fillId="0" borderId="0" xfId="0" applyNumberFormat="1" applyFont="1" applyBorder="1" applyAlignment="1" applyProtection="1">
      <alignment horizontal="right" vertical="center"/>
    </xf>
    <xf numFmtId="3" fontId="61" fillId="0" borderId="0" xfId="0" applyNumberFormat="1" applyFont="1" applyBorder="1" applyAlignment="1" applyProtection="1">
      <alignment horizontal="right" vertical="center"/>
    </xf>
    <xf numFmtId="173" fontId="61" fillId="0" borderId="0" xfId="0" applyNumberFormat="1" applyFont="1" applyBorder="1" applyAlignment="1" applyProtection="1">
      <alignment horizontal="right"/>
    </xf>
    <xf numFmtId="2" fontId="61" fillId="0" borderId="0" xfId="0" applyNumberFormat="1" applyFont="1" applyBorder="1" applyAlignment="1" applyProtection="1">
      <alignment horizontal="right" vertical="center"/>
    </xf>
    <xf numFmtId="40" fontId="61" fillId="0" borderId="0" xfId="0" applyNumberFormat="1" applyFont="1" applyFill="1" applyBorder="1" applyAlignment="1" applyProtection="1">
      <alignment horizontal="right" vertical="center"/>
    </xf>
    <xf numFmtId="49" fontId="61" fillId="0" borderId="0" xfId="0" applyNumberFormat="1" applyFont="1" applyBorder="1" applyProtection="1"/>
    <xf numFmtId="0" fontId="61" fillId="0" borderId="0" xfId="0" applyFont="1" applyBorder="1" applyAlignment="1" applyProtection="1">
      <alignment horizontal="center"/>
    </xf>
    <xf numFmtId="172" fontId="61" fillId="0" borderId="0" xfId="0" applyNumberFormat="1" applyFont="1" applyBorder="1" applyAlignment="1" applyProtection="1">
      <alignment horizontal="right"/>
    </xf>
    <xf numFmtId="0" fontId="63" fillId="0" borderId="0" xfId="0" applyFont="1" applyFill="1" applyBorder="1" applyAlignment="1" applyProtection="1">
      <alignment horizontal="center"/>
    </xf>
    <xf numFmtId="0" fontId="54" fillId="0" borderId="0" xfId="0" applyFont="1" applyFill="1" applyBorder="1" applyAlignment="1" applyProtection="1">
      <alignment horizontal="right"/>
    </xf>
    <xf numFmtId="0" fontId="53" fillId="0" borderId="0" xfId="0" applyFont="1" applyFill="1" applyBorder="1" applyAlignment="1" applyProtection="1">
      <alignment horizontal="left"/>
    </xf>
    <xf numFmtId="0" fontId="64" fillId="0" borderId="0" xfId="0" applyFont="1" applyFill="1" applyBorder="1" applyAlignment="1" applyProtection="1">
      <alignment horizontal="right"/>
    </xf>
    <xf numFmtId="2" fontId="64" fillId="0" borderId="0" xfId="0" applyNumberFormat="1" applyFont="1" applyFill="1" applyBorder="1" applyAlignment="1" applyProtection="1">
      <alignment horizontal="right"/>
    </xf>
    <xf numFmtId="0" fontId="87" fillId="0" borderId="0" xfId="0" applyFont="1" applyProtection="1"/>
    <xf numFmtId="0" fontId="54" fillId="0" borderId="0" xfId="0" applyFont="1" applyFill="1" applyBorder="1" applyAlignment="1" applyProtection="1">
      <alignment horizontal="center"/>
    </xf>
    <xf numFmtId="0" fontId="65" fillId="0" borderId="0" xfId="5" applyNumberFormat="1" applyFont="1" applyFill="1" applyBorder="1" applyAlignment="1" applyProtection="1">
      <alignment horizontal="right"/>
    </xf>
    <xf numFmtId="49" fontId="87" fillId="0" borderId="0" xfId="0" applyNumberFormat="1" applyFont="1" applyAlignment="1" applyProtection="1">
      <alignment horizontal="right" vertical="top"/>
    </xf>
    <xf numFmtId="0" fontId="61" fillId="0" borderId="0" xfId="0" applyFont="1" applyBorder="1" applyAlignment="1" applyProtection="1">
      <alignment horizontal="left"/>
    </xf>
    <xf numFmtId="49" fontId="54" fillId="0" borderId="0" xfId="0" applyNumberFormat="1" applyFont="1" applyBorder="1" applyAlignment="1" applyProtection="1">
      <alignment horizontal="left" vertical="top"/>
    </xf>
    <xf numFmtId="0" fontId="61" fillId="0" borderId="0" xfId="0" applyFont="1" applyAlignment="1" applyProtection="1">
      <alignment horizontal="left"/>
    </xf>
    <xf numFmtId="49" fontId="54" fillId="0" borderId="0" xfId="0" applyNumberFormat="1" applyFont="1" applyAlignment="1" applyProtection="1">
      <alignment horizontal="left" vertical="center"/>
    </xf>
    <xf numFmtId="49" fontId="54" fillId="0" borderId="0" xfId="0" applyNumberFormat="1" applyFont="1" applyAlignment="1" applyProtection="1">
      <alignment horizontal="left" vertical="top"/>
    </xf>
    <xf numFmtId="0" fontId="54" fillId="0" borderId="0" xfId="0" applyFont="1" applyAlignment="1" applyProtection="1">
      <alignment horizontal="right"/>
    </xf>
    <xf numFmtId="0" fontId="61" fillId="0" borderId="0" xfId="0" applyFont="1" applyAlignment="1" applyProtection="1">
      <alignment horizontal="right"/>
    </xf>
    <xf numFmtId="49" fontId="85" fillId="0" borderId="0" xfId="0" applyNumberFormat="1" applyFont="1" applyAlignment="1" applyProtection="1">
      <alignment horizontal="right" vertical="top"/>
    </xf>
    <xf numFmtId="0" fontId="61" fillId="0" borderId="3" xfId="0"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64" fillId="0" borderId="12" xfId="0" applyNumberFormat="1" applyFont="1" applyBorder="1" applyAlignment="1" applyProtection="1">
      <alignment horizontal="centerContinuous" vertical="center"/>
    </xf>
    <xf numFmtId="49" fontId="56" fillId="0" borderId="10" xfId="0" applyNumberFormat="1" applyFont="1" applyBorder="1" applyAlignment="1" applyProtection="1">
      <alignment horizontal="centerContinuous" vertical="center"/>
    </xf>
    <xf numFmtId="0" fontId="56" fillId="0" borderId="0" xfId="0" applyFont="1" applyAlignment="1" applyProtection="1">
      <alignmen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43" fontId="63" fillId="0" borderId="2" xfId="1" applyFont="1" applyBorder="1" applyAlignment="1" applyProtection="1">
      <alignment horizontal="center" vertical="center" wrapText="1"/>
    </xf>
    <xf numFmtId="0" fontId="63" fillId="0" borderId="2" xfId="0" applyFont="1" applyBorder="1" applyAlignment="1" applyProtection="1">
      <alignment horizontal="center" vertical="center" wrapTex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center" vertical="center"/>
    </xf>
    <xf numFmtId="38" fontId="54" fillId="0" borderId="14" xfId="0" applyNumberFormat="1" applyFont="1" applyBorder="1" applyAlignment="1" applyProtection="1">
      <alignment horizontal="right"/>
      <protection locked="0"/>
    </xf>
    <xf numFmtId="38" fontId="54" fillId="0" borderId="2" xfId="0" applyNumberFormat="1" applyFont="1" applyBorder="1" applyAlignment="1" applyProtection="1">
      <alignment horizontal="right"/>
      <protection locked="0"/>
    </xf>
    <xf numFmtId="38" fontId="54" fillId="0" borderId="2" xfId="0" applyNumberFormat="1" applyFont="1" applyFill="1" applyBorder="1" applyAlignment="1" applyProtection="1">
      <alignment horizontal="right"/>
      <protection locked="0"/>
    </xf>
    <xf numFmtId="38" fontId="54" fillId="3" borderId="26" xfId="0" applyNumberFormat="1" applyFont="1" applyFill="1" applyBorder="1" applyAlignment="1" applyProtection="1">
      <alignment horizontal="right"/>
    </xf>
    <xf numFmtId="38" fontId="54" fillId="3" borderId="18" xfId="0" applyNumberFormat="1" applyFont="1" applyFill="1" applyBorder="1" applyAlignment="1" applyProtection="1">
      <alignment horizontal="right"/>
    </xf>
    <xf numFmtId="0" fontId="61" fillId="0" borderId="2" xfId="0" applyFont="1" applyBorder="1" applyAlignment="1" applyProtection="1">
      <alignment horizontal="center" vertical="center"/>
    </xf>
    <xf numFmtId="38" fontId="54" fillId="0" borderId="3" xfId="0" applyNumberFormat="1" applyFont="1" applyBorder="1" applyAlignment="1" applyProtection="1">
      <alignment horizontal="right"/>
      <protection locked="0"/>
    </xf>
    <xf numFmtId="38" fontId="54" fillId="0" borderId="0" xfId="0" applyNumberFormat="1" applyFont="1" applyBorder="1" applyAlignment="1" applyProtection="1">
      <alignment horizontal="right"/>
      <protection locked="0"/>
    </xf>
    <xf numFmtId="0" fontId="61" fillId="0" borderId="14" xfId="0" applyFont="1" applyBorder="1" applyAlignment="1" applyProtection="1">
      <alignment horizontal="left" vertical="center" indent="1"/>
    </xf>
    <xf numFmtId="38" fontId="54" fillId="0" borderId="3" xfId="0" applyNumberFormat="1" applyFont="1" applyFill="1" applyBorder="1" applyAlignment="1" applyProtection="1">
      <alignment horizontal="right"/>
      <protection locked="0"/>
    </xf>
    <xf numFmtId="38" fontId="54" fillId="6" borderId="3" xfId="0" applyNumberFormat="1" applyFont="1" applyFill="1" applyBorder="1" applyAlignment="1" applyProtection="1">
      <alignment horizontal="right"/>
    </xf>
    <xf numFmtId="38" fontId="54" fillId="0" borderId="14" xfId="0" applyNumberFormat="1" applyFont="1" applyFill="1" applyBorder="1" applyAlignment="1" applyProtection="1">
      <alignment horizontal="right"/>
      <protection locked="0"/>
    </xf>
    <xf numFmtId="38" fontId="54" fillId="6" borderId="26" xfId="0" applyNumberFormat="1" applyFont="1" applyFill="1" applyBorder="1" applyAlignment="1" applyProtection="1">
      <alignment horizontal="right"/>
    </xf>
    <xf numFmtId="38" fontId="54" fillId="0" borderId="4" xfId="0" applyNumberFormat="1" applyFont="1" applyFill="1" applyBorder="1" applyAlignment="1" applyProtection="1">
      <alignment horizontal="right"/>
      <protection locked="0"/>
    </xf>
    <xf numFmtId="38" fontId="54" fillId="0" borderId="26" xfId="0" applyNumberFormat="1" applyFont="1" applyFill="1" applyBorder="1" applyAlignment="1" applyProtection="1">
      <alignment horizontal="right"/>
      <protection locked="0"/>
    </xf>
    <xf numFmtId="38" fontId="54" fillId="6" borderId="4" xfId="0" applyNumberFormat="1" applyFont="1" applyFill="1" applyBorder="1" applyAlignment="1" applyProtection="1">
      <alignment horizontal="right"/>
    </xf>
    <xf numFmtId="38" fontId="54" fillId="0" borderId="4" xfId="0" applyNumberFormat="1" applyFont="1" applyBorder="1" applyAlignment="1" applyProtection="1">
      <alignment horizontal="right"/>
      <protection locked="0"/>
    </xf>
    <xf numFmtId="164" fontId="61" fillId="0" borderId="2" xfId="0" applyNumberFormat="1" applyFont="1" applyFill="1" applyBorder="1" applyAlignment="1" applyProtection="1">
      <alignment horizontal="left" vertical="center"/>
    </xf>
    <xf numFmtId="0" fontId="61" fillId="0" borderId="2" xfId="0" applyFont="1" applyFill="1" applyBorder="1" applyAlignment="1" applyProtection="1">
      <alignment horizontal="center" vertical="center"/>
    </xf>
    <xf numFmtId="38" fontId="54" fillId="6" borderId="18" xfId="0" applyNumberFormat="1" applyFont="1" applyFill="1" applyBorder="1" applyAlignment="1" applyProtection="1">
      <alignment horizontal="right"/>
    </xf>
    <xf numFmtId="0" fontId="56" fillId="0" borderId="0" xfId="0" applyFont="1" applyFill="1" applyAlignment="1" applyProtection="1">
      <alignment vertical="center"/>
    </xf>
    <xf numFmtId="38" fontId="54" fillId="6" borderId="0"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xf>
    <xf numFmtId="38" fontId="54" fillId="0" borderId="12" xfId="0" applyNumberFormat="1" applyFont="1" applyFill="1" applyBorder="1" applyAlignment="1" applyProtection="1">
      <alignment horizontal="right"/>
      <protection locked="0"/>
    </xf>
    <xf numFmtId="38" fontId="54" fillId="0" borderId="13" xfId="0" applyNumberFormat="1" applyFont="1" applyFill="1" applyBorder="1" applyAlignment="1" applyProtection="1">
      <alignment horizontal="right"/>
      <protection locked="0"/>
    </xf>
    <xf numFmtId="0" fontId="61" fillId="0" borderId="11" xfId="0" applyFont="1" applyBorder="1" applyAlignment="1" applyProtection="1">
      <alignment horizontal="left" vertical="center" indent="1"/>
    </xf>
    <xf numFmtId="0" fontId="61" fillId="0" borderId="4" xfId="0" applyFont="1" applyBorder="1" applyAlignment="1" applyProtection="1">
      <alignment horizontal="center" vertical="center"/>
    </xf>
    <xf numFmtId="38" fontId="54" fillId="0" borderId="26" xfId="0" applyNumberFormat="1" applyFont="1" applyBorder="1" applyAlignment="1" applyProtection="1">
      <alignment horizontal="right"/>
      <protection locked="0"/>
    </xf>
    <xf numFmtId="0" fontId="61" fillId="0" borderId="20" xfId="0" applyFont="1" applyBorder="1" applyAlignment="1" applyProtection="1">
      <alignment horizontal="left" vertical="center" indent="1"/>
    </xf>
    <xf numFmtId="0" fontId="61" fillId="0" borderId="14" xfId="0" applyFont="1" applyBorder="1" applyAlignment="1" applyProtection="1">
      <alignment horizontal="left" vertical="center" wrapText="1" indent="1"/>
    </xf>
    <xf numFmtId="38" fontId="54" fillId="0" borderId="4" xfId="0" applyNumberFormat="1" applyFont="1" applyBorder="1" applyAlignment="1" applyProtection="1">
      <alignment horizontal="right"/>
    </xf>
    <xf numFmtId="0" fontId="61" fillId="0" borderId="2" xfId="0" applyFont="1" applyFill="1" applyBorder="1" applyAlignment="1" applyProtection="1">
      <alignment horizontal="left" vertical="center" indent="1"/>
    </xf>
    <xf numFmtId="38" fontId="56" fillId="6" borderId="26" xfId="0" applyNumberFormat="1" applyFont="1" applyFill="1" applyBorder="1" applyAlignment="1">
      <alignment horizontal="right"/>
    </xf>
    <xf numFmtId="0" fontId="61" fillId="0" borderId="16" xfId="0" applyFont="1" applyFill="1" applyBorder="1" applyAlignment="1" applyProtection="1">
      <alignment horizontal="left" vertical="center" indent="1"/>
    </xf>
    <xf numFmtId="0" fontId="61" fillId="0" borderId="10" xfId="0" applyFont="1" applyFill="1" applyBorder="1" applyAlignment="1" applyProtection="1">
      <alignment horizontal="center" vertical="center"/>
    </xf>
    <xf numFmtId="38" fontId="54" fillId="6" borderId="3" xfId="0" applyNumberFormat="1" applyFont="1" applyFill="1" applyBorder="1" applyAlignment="1">
      <alignment horizontal="right"/>
    </xf>
    <xf numFmtId="0" fontId="61" fillId="0" borderId="0" xfId="0" applyFont="1" applyAlignment="1" applyProtection="1">
      <alignment vertical="center"/>
    </xf>
    <xf numFmtId="0" fontId="61" fillId="0" borderId="0" xfId="0" applyFont="1" applyAlignment="1" applyProtection="1">
      <alignment horizontal="center" vertical="center"/>
    </xf>
    <xf numFmtId="38" fontId="56" fillId="0" borderId="0" xfId="0" applyNumberFormat="1" applyFont="1" applyAlignment="1" applyProtection="1">
      <alignment vertical="center"/>
    </xf>
    <xf numFmtId="49" fontId="63" fillId="0" borderId="3" xfId="0" applyNumberFormat="1" applyFont="1" applyBorder="1" applyAlignment="1" applyProtection="1">
      <alignment horizontal="center" vertical="center"/>
    </xf>
    <xf numFmtId="0" fontId="56"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38" fontId="54" fillId="3" borderId="21" xfId="0" applyNumberFormat="1" applyFont="1" applyFill="1" applyBorder="1" applyAlignment="1" applyProtection="1">
      <alignment horizontal="right"/>
    </xf>
    <xf numFmtId="38" fontId="54" fillId="3" borderId="0" xfId="0" applyNumberFormat="1" applyFont="1" applyFill="1" applyBorder="1" applyAlignment="1" applyProtection="1">
      <alignment horizontal="right"/>
    </xf>
    <xf numFmtId="38" fontId="54" fillId="3" borderId="3" xfId="0" applyNumberFormat="1" applyFont="1" applyFill="1" applyBorder="1" applyAlignment="1" applyProtection="1">
      <alignment horizontal="right"/>
    </xf>
    <xf numFmtId="38" fontId="54" fillId="3" borderId="13" xfId="0" applyNumberFormat="1" applyFont="1" applyFill="1" applyBorder="1" applyAlignment="1" applyProtection="1">
      <alignment horizontal="right"/>
    </xf>
    <xf numFmtId="38" fontId="54" fillId="3" borderId="2" xfId="0" applyNumberFormat="1" applyFont="1" applyFill="1" applyBorder="1" applyAlignment="1" applyProtection="1">
      <alignment horizontal="right"/>
    </xf>
    <xf numFmtId="3" fontId="56" fillId="0" borderId="0" xfId="0" applyNumberFormat="1" applyFont="1" applyAlignment="1" applyProtection="1">
      <alignment vertical="center"/>
    </xf>
    <xf numFmtId="0" fontId="72" fillId="0" borderId="20" xfId="0" applyFont="1" applyBorder="1" applyAlignment="1" applyProtection="1">
      <alignment horizontal="left" indent="2"/>
    </xf>
    <xf numFmtId="0" fontId="61" fillId="0" borderId="11" xfId="0" applyFont="1" applyBorder="1" applyAlignment="1" applyProtection="1">
      <alignment horizontal="center" vertical="center"/>
    </xf>
    <xf numFmtId="38" fontId="54" fillId="0" borderId="19" xfId="0" applyNumberFormat="1" applyFont="1" applyBorder="1" applyAlignment="1" applyProtection="1">
      <alignment horizontal="right"/>
      <protection locked="0"/>
    </xf>
    <xf numFmtId="38" fontId="54" fillId="0" borderId="11" xfId="0" applyNumberFormat="1" applyFont="1" applyBorder="1" applyAlignment="1" applyProtection="1">
      <alignment horizontal="right"/>
      <protection locked="0"/>
    </xf>
    <xf numFmtId="0" fontId="53" fillId="0" borderId="0" xfId="0" applyFont="1" applyAlignment="1" applyProtection="1">
      <alignment vertical="center"/>
    </xf>
    <xf numFmtId="0" fontId="64" fillId="0" borderId="0" xfId="0" applyFont="1" applyAlignment="1" applyProtection="1">
      <alignment vertical="center"/>
    </xf>
    <xf numFmtId="38" fontId="54" fillId="3" borderId="11" xfId="0" applyNumberFormat="1" applyFont="1" applyFill="1" applyBorder="1" applyAlignment="1" applyProtection="1">
      <alignment horizontal="right"/>
    </xf>
    <xf numFmtId="38" fontId="54" fillId="3" borderId="4" xfId="0" applyNumberFormat="1" applyFont="1" applyFill="1" applyBorder="1" applyAlignment="1" applyProtection="1">
      <alignment horizontal="right"/>
    </xf>
    <xf numFmtId="38" fontId="54" fillId="3" borderId="19" xfId="0" applyNumberFormat="1" applyFont="1" applyFill="1" applyBorder="1" applyAlignment="1" applyProtection="1">
      <alignment horizontal="right"/>
    </xf>
    <xf numFmtId="38" fontId="54" fillId="3" borderId="14" xfId="0" applyNumberFormat="1" applyFont="1" applyFill="1" applyBorder="1" applyAlignment="1" applyProtection="1">
      <alignment horizontal="right"/>
    </xf>
    <xf numFmtId="0" fontId="54" fillId="0" borderId="0" xfId="0" applyFont="1" applyFill="1" applyAlignment="1" applyProtection="1">
      <alignment vertical="center"/>
    </xf>
    <xf numFmtId="0" fontId="61" fillId="0" borderId="4" xfId="0" applyFont="1" applyFill="1" applyBorder="1" applyAlignment="1" applyProtection="1">
      <alignment horizontal="center" vertical="center"/>
    </xf>
    <xf numFmtId="38" fontId="54" fillId="6" borderId="2" xfId="0" applyNumberFormat="1" applyFont="1" applyFill="1" applyBorder="1" applyAlignment="1" applyProtection="1">
      <alignment horizontal="right"/>
    </xf>
    <xf numFmtId="0" fontId="61" fillId="0" borderId="2" xfId="0" applyFont="1" applyFill="1" applyBorder="1" applyAlignment="1" applyProtection="1">
      <alignment horizontal="center" vertical="top"/>
    </xf>
    <xf numFmtId="38" fontId="54" fillId="6" borderId="28" xfId="0" applyNumberFormat="1" applyFont="1" applyFill="1" applyBorder="1" applyAlignment="1" applyProtection="1">
      <alignment horizontal="right"/>
    </xf>
    <xf numFmtId="0" fontId="54" fillId="0" borderId="0" xfId="0" applyFont="1" applyFill="1" applyBorder="1" applyAlignment="1" applyProtection="1">
      <alignment vertical="center"/>
    </xf>
    <xf numFmtId="38" fontId="54" fillId="0" borderId="27" xfId="0" applyNumberFormat="1" applyFont="1" applyFill="1" applyBorder="1" applyAlignment="1" applyProtection="1">
      <alignment horizontal="right"/>
      <protection locked="0"/>
    </xf>
    <xf numFmtId="38" fontId="54" fillId="0" borderId="33" xfId="0" applyNumberFormat="1" applyFont="1" applyFill="1" applyBorder="1" applyAlignment="1" applyProtection="1">
      <alignment horizontal="right"/>
      <protection locked="0"/>
    </xf>
    <xf numFmtId="38" fontId="54" fillId="0" borderId="32" xfId="0" applyNumberFormat="1" applyFont="1" applyFill="1" applyBorder="1" applyAlignment="1" applyProtection="1">
      <alignment horizontal="right"/>
      <protection locked="0"/>
    </xf>
    <xf numFmtId="38" fontId="54" fillId="0" borderId="0" xfId="0" applyNumberFormat="1" applyFont="1" applyAlignment="1" applyProtection="1"/>
    <xf numFmtId="0" fontId="61" fillId="0" borderId="11" xfId="0" applyFont="1" applyFill="1" applyBorder="1" applyAlignment="1" applyProtection="1">
      <alignment horizontal="center" vertical="center"/>
    </xf>
    <xf numFmtId="38" fontId="54" fillId="0" borderId="29" xfId="0" applyNumberFormat="1" applyFont="1" applyFill="1" applyBorder="1" applyAlignment="1" applyProtection="1">
      <alignment horizontal="right"/>
      <protection locked="0"/>
    </xf>
    <xf numFmtId="0" fontId="61" fillId="0" borderId="49" xfId="0" applyFont="1" applyBorder="1" applyAlignment="1" applyProtection="1">
      <alignment horizontal="left" vertical="center" indent="4"/>
    </xf>
    <xf numFmtId="0" fontId="61" fillId="0" borderId="31" xfId="0" applyFont="1" applyBorder="1" applyAlignment="1" applyProtection="1">
      <alignment horizontal="center" vertical="center"/>
    </xf>
    <xf numFmtId="40" fontId="54" fillId="7" borderId="33" xfId="0" applyNumberFormat="1" applyFont="1" applyFill="1" applyBorder="1" applyAlignment="1" applyProtection="1">
      <alignment horizontal="right" vertical="center"/>
    </xf>
    <xf numFmtId="0" fontId="61" fillId="0" borderId="13" xfId="0" applyFont="1" applyBorder="1" applyAlignment="1" applyProtection="1">
      <alignment horizontal="left" vertical="center" indent="4"/>
    </xf>
    <xf numFmtId="9" fontId="54" fillId="7" borderId="33" xfId="0" applyNumberFormat="1" applyFont="1" applyFill="1" applyBorder="1" applyAlignment="1" applyProtection="1">
      <alignment horizontal="right" vertical="center"/>
    </xf>
    <xf numFmtId="1" fontId="53" fillId="0" borderId="4" xfId="0" applyNumberFormat="1" applyFont="1" applyBorder="1" applyAlignment="1" applyProtection="1">
      <alignment horizontal="center" vertical="center" wrapText="1"/>
    </xf>
    <xf numFmtId="3" fontId="53" fillId="0" borderId="4" xfId="0" applyNumberFormat="1" applyFont="1" applyBorder="1" applyAlignment="1" applyProtection="1">
      <alignment horizontal="center" vertical="center" wrapText="1"/>
    </xf>
    <xf numFmtId="3" fontId="54" fillId="3" borderId="4" xfId="0" applyNumberFormat="1" applyFont="1" applyFill="1" applyBorder="1" applyAlignment="1" applyProtection="1">
      <alignment horizontal="center"/>
    </xf>
    <xf numFmtId="3" fontId="56" fillId="3" borderId="11" xfId="0" applyNumberFormat="1" applyFont="1" applyFill="1" applyBorder="1" applyAlignment="1" applyProtection="1">
      <alignment horizontal="center"/>
    </xf>
    <xf numFmtId="38" fontId="56" fillId="3" borderId="4" xfId="0" applyNumberFormat="1" applyFont="1" applyFill="1" applyBorder="1" applyAlignment="1" applyProtection="1">
      <alignment horizontal="center"/>
    </xf>
    <xf numFmtId="3" fontId="56" fillId="3" borderId="4" xfId="0" applyNumberFormat="1" applyFont="1" applyFill="1" applyBorder="1" applyAlignment="1" applyProtection="1">
      <alignment horizontal="center"/>
    </xf>
    <xf numFmtId="0" fontId="61" fillId="0" borderId="14" xfId="0" applyFont="1" applyBorder="1" applyAlignment="1" applyProtection="1">
      <alignment horizontal="center"/>
    </xf>
    <xf numFmtId="38" fontId="54" fillId="0" borderId="0" xfId="0" applyNumberFormat="1" applyFont="1" applyAlignment="1" applyProtection="1">
      <alignment horizontal="right"/>
      <protection locked="0"/>
    </xf>
    <xf numFmtId="0" fontId="61" fillId="0" borderId="2" xfId="0" applyFont="1" applyBorder="1" applyAlignment="1" applyProtection="1">
      <alignment horizontal="center"/>
    </xf>
    <xf numFmtId="0" fontId="61" fillId="0" borderId="2" xfId="0" applyFont="1" applyBorder="1" applyAlignment="1" applyProtection="1">
      <alignment horizontal="center" vertical="center" wrapText="1"/>
    </xf>
    <xf numFmtId="38" fontId="54" fillId="0" borderId="13" xfId="0" applyNumberFormat="1" applyFont="1" applyBorder="1" applyAlignment="1" applyProtection="1">
      <alignment horizontal="right"/>
      <protection locked="0"/>
    </xf>
    <xf numFmtId="38" fontId="56" fillId="0" borderId="0" xfId="0" applyNumberFormat="1" applyFont="1" applyProtection="1"/>
    <xf numFmtId="38" fontId="54" fillId="3" borderId="17" xfId="0" applyNumberFormat="1" applyFont="1" applyFill="1" applyBorder="1" applyAlignment="1" applyProtection="1">
      <alignment horizontal="right"/>
    </xf>
    <xf numFmtId="37" fontId="54" fillId="3" borderId="17" xfId="0" applyNumberFormat="1" applyFont="1" applyFill="1" applyBorder="1" applyAlignment="1" applyProtection="1">
      <alignment horizontal="right"/>
    </xf>
    <xf numFmtId="37" fontId="54" fillId="3" borderId="26" xfId="0" applyNumberFormat="1" applyFont="1" applyFill="1" applyBorder="1" applyAlignment="1" applyProtection="1">
      <alignment horizontal="right"/>
    </xf>
    <xf numFmtId="0" fontId="61" fillId="0" borderId="26" xfId="0" applyFont="1" applyFill="1" applyBorder="1" applyAlignment="1" applyProtection="1">
      <alignment horizontal="center" vertical="center"/>
    </xf>
    <xf numFmtId="0" fontId="61" fillId="0" borderId="2" xfId="0" applyFont="1" applyBorder="1" applyAlignment="1" applyProtection="1">
      <alignment horizontal="center" vertical="top"/>
    </xf>
    <xf numFmtId="0" fontId="61" fillId="0" borderId="26" xfId="0" applyFont="1" applyFill="1" applyBorder="1" applyAlignment="1" applyProtection="1">
      <alignment horizontal="center" vertical="top"/>
    </xf>
    <xf numFmtId="0" fontId="61" fillId="0" borderId="18" xfId="0" applyFont="1" applyFill="1" applyBorder="1" applyAlignment="1" applyProtection="1">
      <alignment horizontal="center" vertical="center"/>
    </xf>
    <xf numFmtId="38" fontId="54" fillId="0" borderId="19" xfId="0" applyNumberFormat="1" applyFont="1" applyFill="1" applyBorder="1" applyAlignment="1" applyProtection="1">
      <alignment horizontal="right"/>
      <protection locked="0"/>
    </xf>
    <xf numFmtId="38" fontId="54" fillId="3" borderId="0" xfId="0" applyNumberFormat="1" applyFont="1" applyFill="1" applyAlignment="1" applyProtection="1">
      <alignment horizontal="right"/>
    </xf>
    <xf numFmtId="1" fontId="61" fillId="0" borderId="2" xfId="0" applyNumberFormat="1" applyFont="1" applyBorder="1" applyAlignment="1" applyProtection="1">
      <alignment horizontal="center" vertical="center"/>
    </xf>
    <xf numFmtId="0" fontId="61" fillId="0" borderId="21" xfId="0" applyFont="1" applyBorder="1" applyAlignment="1" applyProtection="1">
      <alignment horizontal="left" vertical="top" wrapText="1" indent="1"/>
    </xf>
    <xf numFmtId="1" fontId="61" fillId="0" borderId="2" xfId="0" applyNumberFormat="1" applyFont="1" applyBorder="1" applyAlignment="1" applyProtection="1">
      <alignment horizontal="center" vertical="top"/>
    </xf>
    <xf numFmtId="38" fontId="54" fillId="3" borderId="38" xfId="0" applyNumberFormat="1" applyFont="1" applyFill="1" applyBorder="1" applyAlignment="1" applyProtection="1">
      <alignment horizontal="right"/>
    </xf>
    <xf numFmtId="38" fontId="54" fillId="3" borderId="28" xfId="0" applyNumberFormat="1" applyFont="1" applyFill="1" applyBorder="1" applyAlignment="1" applyProtection="1">
      <alignment horizontal="right"/>
    </xf>
    <xf numFmtId="1" fontId="61" fillId="0" borderId="4" xfId="0" applyNumberFormat="1" applyFont="1" applyBorder="1" applyAlignment="1" applyProtection="1">
      <alignment horizontal="center" vertical="center"/>
    </xf>
    <xf numFmtId="1" fontId="61" fillId="0" borderId="128" xfId="0" applyNumberFormat="1" applyFont="1" applyBorder="1" applyAlignment="1" applyProtection="1">
      <alignment horizontal="center" vertical="center"/>
    </xf>
    <xf numFmtId="38" fontId="54" fillId="0" borderId="128" xfId="0" applyNumberFormat="1" applyFont="1" applyBorder="1" applyAlignment="1" applyProtection="1">
      <alignment horizontal="right"/>
      <protection locked="0"/>
    </xf>
    <xf numFmtId="38" fontId="54" fillId="3" borderId="128" xfId="0" applyNumberFormat="1" applyFont="1" applyFill="1" applyBorder="1" applyAlignment="1" applyProtection="1">
      <alignment horizontal="right"/>
    </xf>
    <xf numFmtId="38" fontId="54" fillId="3" borderId="29" xfId="0" applyNumberFormat="1" applyFont="1" applyFill="1" applyBorder="1" applyAlignment="1" applyProtection="1">
      <alignment horizontal="right"/>
    </xf>
    <xf numFmtId="1" fontId="61" fillId="0" borderId="32" xfId="0" applyNumberFormat="1" applyFont="1" applyBorder="1" applyAlignment="1" applyProtection="1">
      <alignment horizontal="center" vertical="center"/>
    </xf>
    <xf numFmtId="38" fontId="54" fillId="0" borderId="32" xfId="0" applyNumberFormat="1" applyFont="1" applyBorder="1" applyAlignment="1" applyProtection="1">
      <alignment horizontal="right"/>
      <protection locked="0"/>
    </xf>
    <xf numFmtId="1" fontId="61" fillId="0" borderId="33" xfId="0" applyNumberFormat="1" applyFont="1" applyBorder="1" applyAlignment="1" applyProtection="1">
      <alignment horizontal="center" vertical="center"/>
    </xf>
    <xf numFmtId="38" fontId="54" fillId="0" borderId="37" xfId="0" applyNumberFormat="1" applyFont="1" applyBorder="1" applyAlignment="1" applyProtection="1">
      <alignment horizontal="right"/>
      <protection locked="0"/>
    </xf>
    <xf numFmtId="38" fontId="54" fillId="0" borderId="33" xfId="0" applyNumberFormat="1" applyFont="1" applyBorder="1" applyAlignment="1" applyProtection="1">
      <alignment horizontal="right"/>
      <protection locked="0"/>
    </xf>
    <xf numFmtId="38" fontId="54" fillId="0" borderId="36" xfId="0" applyNumberFormat="1" applyFont="1" applyFill="1" applyBorder="1" applyAlignment="1" applyProtection="1">
      <alignment horizontal="right"/>
      <protection locked="0"/>
    </xf>
    <xf numFmtId="38" fontId="54" fillId="0" borderId="27" xfId="0" applyNumberFormat="1" applyFont="1" applyBorder="1" applyAlignment="1" applyProtection="1">
      <alignment horizontal="right"/>
      <protection locked="0"/>
    </xf>
    <xf numFmtId="38" fontId="54" fillId="0" borderId="55" xfId="0" applyNumberFormat="1" applyFont="1" applyBorder="1" applyAlignment="1" applyProtection="1">
      <alignment horizontal="right" vertical="center"/>
      <protection locked="0"/>
    </xf>
    <xf numFmtId="38" fontId="54" fillId="0" borderId="32" xfId="0" applyNumberFormat="1" applyFont="1" applyBorder="1" applyAlignment="1" applyProtection="1">
      <alignment horizontal="right" vertical="center"/>
      <protection locked="0"/>
    </xf>
    <xf numFmtId="38" fontId="54" fillId="0" borderId="27" xfId="0" applyNumberFormat="1" applyFont="1" applyFill="1" applyBorder="1" applyAlignment="1" applyProtection="1">
      <alignment horizontal="right" vertical="center"/>
      <protection locked="0"/>
    </xf>
    <xf numFmtId="38" fontId="54" fillId="0" borderId="32" xfId="0" applyNumberFormat="1" applyFont="1" applyFill="1" applyBorder="1" applyAlignment="1" applyProtection="1">
      <alignment horizontal="right" vertical="center"/>
      <protection locked="0"/>
    </xf>
    <xf numFmtId="0" fontId="61" fillId="0" borderId="2" xfId="0" applyFont="1" applyBorder="1" applyAlignment="1" applyProtection="1">
      <alignment horizontal="center" vertical="top" wrapText="1"/>
    </xf>
    <xf numFmtId="38" fontId="54" fillId="3" borderId="39"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vertical="center"/>
      <protection locked="0"/>
    </xf>
    <xf numFmtId="38" fontId="54" fillId="6" borderId="2" xfId="0" applyNumberFormat="1" applyFont="1" applyFill="1" applyBorder="1" applyAlignment="1" applyProtection="1">
      <alignment horizontal="right" vertical="center"/>
    </xf>
    <xf numFmtId="0" fontId="61" fillId="0" borderId="26" xfId="0" applyFont="1" applyBorder="1" applyAlignment="1" applyProtection="1">
      <alignment horizontal="center" vertical="center"/>
    </xf>
    <xf numFmtId="0" fontId="61" fillId="0" borderId="131" xfId="0" applyFont="1" applyFill="1" applyBorder="1" applyAlignment="1" applyProtection="1">
      <alignment horizontal="center" vertical="center"/>
    </xf>
    <xf numFmtId="38" fontId="54" fillId="0" borderId="125" xfId="0" applyNumberFormat="1" applyFont="1" applyFill="1" applyBorder="1" applyAlignment="1" applyProtection="1">
      <alignment horizontal="right"/>
      <protection locked="0"/>
    </xf>
    <xf numFmtId="0" fontId="61" fillId="0" borderId="100" xfId="0" applyFont="1" applyFill="1" applyBorder="1" applyAlignment="1" applyProtection="1">
      <alignment horizontal="center" vertical="center"/>
    </xf>
    <xf numFmtId="38" fontId="54" fillId="0" borderId="124" xfId="0" applyNumberFormat="1" applyFont="1" applyFill="1" applyBorder="1" applyAlignment="1" applyProtection="1">
      <alignment horizontal="right"/>
      <protection locked="0"/>
    </xf>
    <xf numFmtId="38" fontId="54" fillId="0" borderId="112" xfId="0" applyNumberFormat="1" applyFont="1" applyFill="1" applyBorder="1" applyAlignment="1" applyProtection="1">
      <alignment horizontal="right"/>
      <protection locked="0"/>
    </xf>
    <xf numFmtId="38" fontId="54" fillId="0" borderId="55" xfId="0" applyNumberFormat="1" applyFont="1" applyFill="1" applyBorder="1" applyAlignment="1" applyProtection="1">
      <alignment horizontal="right"/>
      <protection locked="0"/>
    </xf>
    <xf numFmtId="0" fontId="56" fillId="0" borderId="0" xfId="0" applyFont="1" applyAlignment="1" applyProtection="1"/>
    <xf numFmtId="0" fontId="61" fillId="0" borderId="0" xfId="0" applyFont="1" applyAlignment="1" applyProtection="1">
      <alignment horizontal="left" vertical="center" wrapText="1"/>
    </xf>
    <xf numFmtId="0" fontId="61" fillId="0" borderId="0" xfId="0" applyFont="1" applyAlignment="1" applyProtection="1">
      <alignment horizontal="center" vertical="center" wrapText="1"/>
    </xf>
    <xf numFmtId="0" fontId="56" fillId="0" borderId="0" xfId="0" applyFont="1" applyAlignment="1" applyProtection="1">
      <alignment wrapText="1"/>
    </xf>
    <xf numFmtId="0" fontId="56" fillId="0" borderId="0" xfId="0" applyFont="1" applyAlignment="1"/>
    <xf numFmtId="38" fontId="54" fillId="3" borderId="31" xfId="0" applyNumberFormat="1" applyFont="1" applyFill="1" applyBorder="1" applyAlignment="1" applyProtection="1">
      <alignment horizontal="right" vertical="center"/>
    </xf>
    <xf numFmtId="38" fontId="54" fillId="3" borderId="28" xfId="0" applyNumberFormat="1" applyFont="1" applyFill="1" applyBorder="1" applyAlignment="1" applyProtection="1">
      <alignment horizontal="right" vertical="center"/>
    </xf>
    <xf numFmtId="38" fontId="54" fillId="3" borderId="0" xfId="0" applyNumberFormat="1" applyFont="1" applyFill="1" applyAlignment="1" applyProtection="1">
      <alignment horizontal="right" vertical="center"/>
    </xf>
    <xf numFmtId="38" fontId="54" fillId="3" borderId="26" xfId="0" applyNumberFormat="1" applyFont="1" applyFill="1" applyBorder="1" applyAlignment="1" applyProtection="1">
      <alignment horizontal="right" vertical="center"/>
    </xf>
    <xf numFmtId="49" fontId="61"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63" fillId="0" borderId="26" xfId="0" applyNumberFormat="1" applyFont="1" applyBorder="1" applyAlignment="1">
      <alignment horizontal="center" vertical="center" wrapText="1"/>
    </xf>
    <xf numFmtId="3" fontId="53" fillId="0" borderId="26" xfId="0" applyNumberFormat="1" applyFont="1" applyBorder="1" applyAlignment="1">
      <alignment horizontal="center" vertical="center"/>
    </xf>
    <xf numFmtId="3" fontId="53" fillId="0" borderId="26" xfId="0" applyNumberFormat="1" applyFont="1" applyBorder="1" applyAlignment="1">
      <alignment horizontal="center" vertical="center" wrapText="1"/>
    </xf>
    <xf numFmtId="0" fontId="56" fillId="0" borderId="0" xfId="0" applyFont="1" applyAlignment="1">
      <alignment horizontal="center" vertical="top" wrapText="1"/>
    </xf>
    <xf numFmtId="0" fontId="56" fillId="0" borderId="0" xfId="0" applyFont="1" applyBorder="1" applyAlignment="1">
      <alignment vertical="center"/>
    </xf>
    <xf numFmtId="3" fontId="54" fillId="3" borderId="128" xfId="0" applyNumberFormat="1" applyFont="1" applyFill="1" applyBorder="1" applyAlignment="1">
      <alignment horizontal="center"/>
    </xf>
    <xf numFmtId="3" fontId="54" fillId="3" borderId="26" xfId="0" applyNumberFormat="1" applyFont="1" applyFill="1" applyBorder="1" applyAlignment="1">
      <alignment horizontal="center"/>
    </xf>
    <xf numFmtId="3" fontId="54" fillId="3" borderId="128" xfId="0" applyNumberFormat="1" applyFont="1" applyFill="1" applyBorder="1" applyAlignment="1">
      <alignment horizontal="right"/>
    </xf>
    <xf numFmtId="0" fontId="61" fillId="0" borderId="0" xfId="0" applyFont="1" applyBorder="1" applyAlignment="1"/>
    <xf numFmtId="49" fontId="61" fillId="0" borderId="2" xfId="0" applyNumberFormat="1" applyFont="1" applyBorder="1" applyAlignment="1">
      <alignment horizontal="center" vertical="center"/>
    </xf>
    <xf numFmtId="38" fontId="54" fillId="2" borderId="2" xfId="0" applyNumberFormat="1" applyFont="1" applyFill="1" applyBorder="1" applyAlignment="1">
      <alignment horizontal="right"/>
    </xf>
    <xf numFmtId="38" fontId="54" fillId="3" borderId="26" xfId="0" applyNumberFormat="1" applyFont="1" applyFill="1" applyBorder="1" applyAlignment="1">
      <alignment horizontal="right"/>
    </xf>
    <xf numFmtId="49" fontId="63" fillId="2" borderId="27" xfId="0" applyNumberFormat="1" applyFont="1" applyFill="1" applyBorder="1" applyAlignment="1">
      <alignment horizontal="center" vertical="center"/>
    </xf>
    <xf numFmtId="38" fontId="54" fillId="3" borderId="28" xfId="0" applyNumberFormat="1" applyFont="1" applyFill="1" applyBorder="1" applyAlignment="1">
      <alignment horizontal="right"/>
    </xf>
    <xf numFmtId="0" fontId="61" fillId="0" borderId="0" xfId="0" applyFont="1" applyFill="1" applyBorder="1" applyAlignment="1"/>
    <xf numFmtId="0" fontId="61" fillId="0" borderId="0" xfId="0" applyFont="1" applyFill="1"/>
    <xf numFmtId="3" fontId="63" fillId="3" borderId="13" xfId="0" applyNumberFormat="1" applyFont="1" applyFill="1" applyBorder="1" applyAlignment="1">
      <alignment horizontal="left" vertical="center" wrapText="1" indent="1"/>
    </xf>
    <xf numFmtId="49" fontId="63" fillId="3" borderId="14" xfId="0" applyNumberFormat="1" applyFont="1" applyFill="1" applyBorder="1" applyAlignment="1">
      <alignment horizontal="center" vertical="center"/>
    </xf>
    <xf numFmtId="38" fontId="54" fillId="3" borderId="4" xfId="0" applyNumberFormat="1" applyFont="1" applyFill="1" applyBorder="1" applyAlignment="1">
      <alignment horizontal="right"/>
    </xf>
    <xf numFmtId="164" fontId="63" fillId="3" borderId="126" xfId="0" applyNumberFormat="1" applyFont="1" applyFill="1" applyBorder="1" applyAlignment="1">
      <alignment horizontal="left" vertical="center" wrapText="1" indent="1"/>
    </xf>
    <xf numFmtId="49" fontId="63" fillId="3" borderId="31" xfId="0" applyNumberFormat="1" applyFont="1" applyFill="1" applyBorder="1" applyAlignment="1">
      <alignment horizontal="center" vertical="center"/>
    </xf>
    <xf numFmtId="38" fontId="54" fillId="3" borderId="29" xfId="0" applyNumberFormat="1" applyFont="1" applyFill="1" applyBorder="1" applyAlignment="1">
      <alignment horizontal="right"/>
    </xf>
    <xf numFmtId="49" fontId="61" fillId="0" borderId="3" xfId="0" applyNumberFormat="1" applyFont="1" applyBorder="1" applyAlignment="1">
      <alignment horizontal="center" vertical="center" wrapText="1"/>
    </xf>
    <xf numFmtId="49" fontId="61" fillId="0" borderId="2" xfId="0" applyNumberFormat="1" applyFont="1" applyBorder="1" applyAlignment="1">
      <alignment horizontal="center" vertical="top"/>
    </xf>
    <xf numFmtId="38" fontId="54" fillId="3" borderId="31" xfId="0" applyNumberFormat="1" applyFont="1" applyFill="1" applyBorder="1" applyAlignment="1">
      <alignment horizontal="right"/>
    </xf>
    <xf numFmtId="49" fontId="61" fillId="0" borderId="4" xfId="0" applyNumberFormat="1" applyFont="1" applyBorder="1" applyAlignment="1">
      <alignment horizontal="center" vertical="center"/>
    </xf>
    <xf numFmtId="49" fontId="63" fillId="3" borderId="11" xfId="0" applyNumberFormat="1" applyFont="1" applyFill="1" applyBorder="1" applyAlignment="1">
      <alignment horizontal="center" vertical="center"/>
    </xf>
    <xf numFmtId="49" fontId="61" fillId="0" borderId="33" xfId="0" applyNumberFormat="1" applyFont="1" applyFill="1" applyBorder="1" applyAlignment="1">
      <alignment horizontal="center" vertical="center"/>
    </xf>
    <xf numFmtId="0" fontId="61" fillId="0" borderId="0" xfId="0" applyFont="1" applyAlignment="1">
      <alignment vertical="center"/>
    </xf>
    <xf numFmtId="38" fontId="54" fillId="5" borderId="4" xfId="0" applyNumberFormat="1" applyFont="1" applyFill="1" applyBorder="1" applyAlignment="1" applyProtection="1">
      <alignment horizontal="right"/>
      <protection locked="0"/>
    </xf>
    <xf numFmtId="0" fontId="61" fillId="0" borderId="29" xfId="0" applyFont="1" applyFill="1" applyBorder="1" applyAlignment="1">
      <alignment horizontal="center" vertical="center"/>
    </xf>
    <xf numFmtId="38" fontId="54" fillId="6" borderId="28" xfId="0" applyNumberFormat="1" applyFont="1" applyFill="1" applyBorder="1" applyAlignment="1">
      <alignment horizontal="right"/>
    </xf>
    <xf numFmtId="0" fontId="61" fillId="0" borderId="4" xfId="0" applyFont="1" applyFill="1" applyBorder="1" applyAlignment="1">
      <alignment horizontal="center" vertical="center"/>
    </xf>
    <xf numFmtId="38" fontId="54" fillId="6" borderId="26" xfId="0" applyNumberFormat="1" applyFont="1" applyFill="1" applyBorder="1" applyAlignment="1">
      <alignment horizontal="right"/>
    </xf>
    <xf numFmtId="0" fontId="61" fillId="0" borderId="2" xfId="0" applyFont="1" applyFill="1" applyBorder="1" applyAlignment="1">
      <alignment horizontal="center" vertical="center"/>
    </xf>
    <xf numFmtId="0" fontId="61" fillId="0" borderId="128" xfId="0" applyFont="1" applyFill="1" applyBorder="1" applyAlignment="1">
      <alignment horizontal="center" vertical="center"/>
    </xf>
    <xf numFmtId="38" fontId="54" fillId="0" borderId="128" xfId="0" applyNumberFormat="1" applyFont="1" applyFill="1" applyBorder="1" applyAlignment="1" applyProtection="1">
      <alignment horizontal="right"/>
      <protection locked="0"/>
    </xf>
    <xf numFmtId="38" fontId="54" fillId="6" borderId="4" xfId="0" applyNumberFormat="1" applyFont="1" applyFill="1" applyBorder="1" applyAlignment="1">
      <alignment horizontal="right"/>
    </xf>
    <xf numFmtId="49" fontId="61" fillId="0" borderId="4" xfId="0" applyNumberFormat="1" applyFont="1" applyFill="1" applyBorder="1" applyAlignment="1">
      <alignment horizontal="center" vertical="center"/>
    </xf>
    <xf numFmtId="164" fontId="63" fillId="6" borderId="13" xfId="0" applyNumberFormat="1"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0" fontId="61" fillId="0" borderId="0" xfId="0" applyFont="1" applyAlignment="1"/>
    <xf numFmtId="49" fontId="63" fillId="0" borderId="29" xfId="0" applyNumberFormat="1" applyFont="1" applyFill="1" applyBorder="1" applyAlignment="1">
      <alignment horizontal="center" vertical="center"/>
    </xf>
    <xf numFmtId="3" fontId="63" fillId="0" borderId="13" xfId="0" applyNumberFormat="1" applyFont="1" applyBorder="1" applyAlignment="1">
      <alignment horizontal="left" vertical="top" wrapText="1" indent="2"/>
    </xf>
    <xf numFmtId="49" fontId="61" fillId="0" borderId="21" xfId="0" applyNumberFormat="1" applyFont="1" applyFill="1" applyBorder="1" applyAlignment="1">
      <alignment horizontal="left" vertical="top" indent="1"/>
    </xf>
    <xf numFmtId="38" fontId="54" fillId="0" borderId="21" xfId="0" applyNumberFormat="1" applyFont="1" applyFill="1" applyBorder="1" applyAlignment="1">
      <alignment horizontal="right"/>
    </xf>
    <xf numFmtId="0" fontId="54" fillId="0" borderId="0" xfId="0" applyFont="1" applyAlignment="1">
      <alignment vertical="center"/>
    </xf>
    <xf numFmtId="3" fontId="63" fillId="3" borderId="12" xfId="0" applyNumberFormat="1" applyFont="1" applyFill="1" applyBorder="1" applyAlignment="1">
      <alignment horizontal="left" vertical="center" wrapText="1" indent="1"/>
    </xf>
    <xf numFmtId="164" fontId="63" fillId="3" borderId="13" xfId="0" applyNumberFormat="1" applyFont="1" applyFill="1" applyBorder="1" applyAlignment="1">
      <alignment horizontal="left" vertical="center" wrapText="1" indent="1"/>
    </xf>
    <xf numFmtId="38" fontId="54" fillId="3" borderId="2" xfId="0" applyNumberFormat="1" applyFont="1" applyFill="1" applyBorder="1" applyAlignment="1">
      <alignment horizontal="right"/>
    </xf>
    <xf numFmtId="49" fontId="61" fillId="0" borderId="29" xfId="0" applyNumberFormat="1" applyFont="1" applyFill="1" applyBorder="1" applyAlignment="1">
      <alignment horizontal="center" vertical="center"/>
    </xf>
    <xf numFmtId="38" fontId="54" fillId="0" borderId="29" xfId="0" applyNumberFormat="1" applyFont="1" applyBorder="1" applyAlignment="1" applyProtection="1">
      <alignment horizontal="right"/>
      <protection locked="0"/>
    </xf>
    <xf numFmtId="164" fontId="63" fillId="3" borderId="13" xfId="0" applyNumberFormat="1" applyFont="1" applyFill="1" applyBorder="1" applyAlignment="1" applyProtection="1">
      <alignment horizontal="left" vertical="center" wrapText="1" indent="1"/>
    </xf>
    <xf numFmtId="49" fontId="63" fillId="3" borderId="14" xfId="0" applyNumberFormat="1" applyFont="1" applyFill="1" applyBorder="1" applyAlignment="1" applyProtection="1">
      <alignment horizontal="center" vertical="center"/>
    </xf>
    <xf numFmtId="49" fontId="63" fillId="7" borderId="27" xfId="0" applyNumberFormat="1" applyFont="1" applyFill="1" applyBorder="1" applyAlignment="1">
      <alignment horizontal="center" vertical="center"/>
    </xf>
    <xf numFmtId="3" fontId="63" fillId="6" borderId="17" xfId="0" applyNumberFormat="1" applyFont="1" applyFill="1" applyBorder="1" applyAlignment="1">
      <alignment horizontal="left" vertical="center" wrapText="1" indent="1"/>
    </xf>
    <xf numFmtId="49" fontId="63" fillId="6" borderId="26" xfId="0" applyNumberFormat="1" applyFont="1" applyFill="1" applyBorder="1" applyAlignment="1">
      <alignment horizontal="center" vertical="center"/>
    </xf>
    <xf numFmtId="38" fontId="54" fillId="6" borderId="29" xfId="0" applyNumberFormat="1" applyFont="1" applyFill="1" applyBorder="1" applyAlignment="1">
      <alignment horizontal="right"/>
    </xf>
    <xf numFmtId="3" fontId="63" fillId="0" borderId="13" xfId="0" applyNumberFormat="1" applyFont="1" applyFill="1" applyBorder="1" applyAlignment="1">
      <alignment horizontal="left" vertical="top" wrapText="1" indent="2"/>
    </xf>
    <xf numFmtId="0" fontId="56" fillId="0" borderId="21" xfId="0" applyFont="1" applyFill="1" applyBorder="1" applyAlignment="1">
      <alignment horizontal="left" vertical="top" wrapText="1" indent="2"/>
    </xf>
    <xf numFmtId="0" fontId="56" fillId="0" borderId="0" xfId="0" applyFont="1" applyFill="1" applyBorder="1" applyAlignment="1"/>
    <xf numFmtId="0" fontId="56" fillId="0" borderId="0" xfId="0" applyFont="1" applyFill="1" applyBorder="1"/>
    <xf numFmtId="0" fontId="54" fillId="0" borderId="0" xfId="0" applyFont="1" applyBorder="1" applyAlignment="1"/>
    <xf numFmtId="0" fontId="54" fillId="0" borderId="0" xfId="0" applyFont="1"/>
    <xf numFmtId="3" fontId="63" fillId="3" borderId="126" xfId="0" applyNumberFormat="1" applyFont="1" applyFill="1" applyBorder="1" applyAlignment="1">
      <alignment horizontal="left" vertical="center" wrapText="1" indent="1"/>
    </xf>
    <xf numFmtId="49" fontId="63" fillId="3" borderId="29" xfId="0" applyNumberFormat="1" applyFont="1" applyFill="1" applyBorder="1" applyAlignment="1">
      <alignment horizontal="center" vertical="center"/>
    </xf>
    <xf numFmtId="49" fontId="63" fillId="3" borderId="4" xfId="0" applyNumberFormat="1" applyFont="1" applyFill="1" applyBorder="1" applyAlignment="1">
      <alignment horizontal="center" vertical="top"/>
    </xf>
    <xf numFmtId="49" fontId="63" fillId="3" borderId="2" xfId="0" applyNumberFormat="1" applyFont="1" applyFill="1" applyBorder="1" applyAlignment="1">
      <alignment horizontal="center" vertical="top"/>
    </xf>
    <xf numFmtId="49" fontId="61" fillId="0" borderId="21" xfId="0" applyNumberFormat="1" applyFont="1" applyFill="1" applyBorder="1" applyAlignment="1">
      <alignment horizontal="center" vertical="top"/>
    </xf>
    <xf numFmtId="0" fontId="56" fillId="0" borderId="0" xfId="0" applyFont="1" applyFill="1"/>
    <xf numFmtId="0" fontId="63" fillId="3" borderId="13" xfId="0" applyFont="1" applyFill="1" applyBorder="1" applyAlignment="1">
      <alignment horizontal="left" vertical="center" wrapText="1" indent="1"/>
    </xf>
    <xf numFmtId="49" fontId="63" fillId="3" borderId="127" xfId="0" applyNumberFormat="1" applyFont="1" applyFill="1" applyBorder="1" applyAlignment="1">
      <alignment horizontal="center" vertical="center"/>
    </xf>
    <xf numFmtId="49" fontId="61" fillId="0" borderId="128"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3" fontId="63" fillId="6" borderId="29" xfId="0" applyNumberFormat="1" applyFont="1" applyFill="1" applyBorder="1" applyAlignment="1">
      <alignment horizontal="left" vertical="center" wrapText="1" indent="1"/>
    </xf>
    <xf numFmtId="49" fontId="63" fillId="6" borderId="29" xfId="0" applyNumberFormat="1" applyFont="1" applyFill="1" applyBorder="1" applyAlignment="1">
      <alignment horizontal="center" vertical="center"/>
    </xf>
    <xf numFmtId="3" fontId="63" fillId="3" borderId="2" xfId="0" applyNumberFormat="1" applyFont="1" applyFill="1" applyBorder="1" applyAlignment="1">
      <alignment horizontal="left" vertical="center" wrapText="1" indent="1"/>
    </xf>
    <xf numFmtId="49" fontId="63" fillId="3" borderId="11" xfId="0" applyNumberFormat="1" applyFont="1" applyFill="1" applyBorder="1" applyAlignment="1">
      <alignment horizontal="center" vertical="center" wrapText="1"/>
    </xf>
    <xf numFmtId="49" fontId="61" fillId="0" borderId="3" xfId="0" applyNumberFormat="1" applyFont="1" applyBorder="1" applyAlignment="1">
      <alignment horizontal="center" vertical="top"/>
    </xf>
    <xf numFmtId="49" fontId="63" fillId="3" borderId="31" xfId="0" applyNumberFormat="1" applyFont="1" applyFill="1" applyBorder="1" applyAlignment="1">
      <alignment horizontal="center" vertical="center" wrapText="1"/>
    </xf>
    <xf numFmtId="49" fontId="61" fillId="0" borderId="2" xfId="0" applyNumberFormat="1" applyFont="1" applyBorder="1" applyAlignment="1">
      <alignment horizontal="center" vertical="center" wrapText="1"/>
    </xf>
    <xf numFmtId="38" fontId="54" fillId="3" borderId="128" xfId="0" applyNumberFormat="1" applyFont="1" applyFill="1" applyBorder="1" applyAlignment="1">
      <alignment horizontal="right"/>
    </xf>
    <xf numFmtId="38" fontId="54" fillId="3" borderId="3" xfId="0" applyNumberFormat="1" applyFont="1" applyFill="1" applyBorder="1" applyAlignment="1">
      <alignment horizontal="right"/>
    </xf>
    <xf numFmtId="164" fontId="63" fillId="3" borderId="17" xfId="0" applyNumberFormat="1" applyFont="1" applyFill="1" applyBorder="1" applyAlignment="1">
      <alignment horizontal="left" vertical="center" wrapText="1" indent="1"/>
    </xf>
    <xf numFmtId="0" fontId="61" fillId="0" borderId="2" xfId="0" applyFont="1" applyBorder="1" applyAlignment="1">
      <alignment horizontal="center" vertical="center"/>
    </xf>
    <xf numFmtId="49" fontId="61" fillId="0" borderId="2" xfId="0" applyNumberFormat="1" applyFont="1" applyFill="1" applyBorder="1" applyAlignment="1">
      <alignment horizontal="center" vertical="center"/>
    </xf>
    <xf numFmtId="3" fontId="63" fillId="0" borderId="126" xfId="0" applyNumberFormat="1" applyFont="1" applyFill="1" applyBorder="1" applyAlignment="1">
      <alignment horizontal="left" vertical="top" wrapText="1" indent="1"/>
    </xf>
    <xf numFmtId="0" fontId="56" fillId="0" borderId="20" xfId="0" applyFont="1" applyFill="1" applyBorder="1" applyAlignment="1">
      <alignment horizontal="left" vertical="top" wrapText="1"/>
    </xf>
    <xf numFmtId="38" fontId="54" fillId="0" borderId="20" xfId="0" applyNumberFormat="1" applyFont="1" applyFill="1" applyBorder="1" applyAlignment="1">
      <alignment horizontal="right"/>
    </xf>
    <xf numFmtId="38" fontId="54" fillId="0" borderId="0" xfId="0" applyNumberFormat="1" applyFont="1" applyFill="1" applyBorder="1" applyAlignment="1">
      <alignment horizontal="right"/>
    </xf>
    <xf numFmtId="0" fontId="63" fillId="6" borderId="12" xfId="0"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top"/>
    </xf>
    <xf numFmtId="164" fontId="63" fillId="3" borderId="13" xfId="0" applyNumberFormat="1" applyFont="1" applyFill="1" applyBorder="1" applyAlignment="1">
      <alignment horizontal="left" vertical="top" wrapText="1" indent="1"/>
    </xf>
    <xf numFmtId="49" fontId="63" fillId="3" borderId="14" xfId="0" applyNumberFormat="1" applyFont="1" applyFill="1" applyBorder="1" applyAlignment="1">
      <alignment horizontal="center" vertical="top"/>
    </xf>
    <xf numFmtId="0" fontId="56" fillId="6" borderId="0" xfId="0" applyFont="1" applyFill="1" applyAlignment="1">
      <alignment vertical="center"/>
    </xf>
    <xf numFmtId="49" fontId="63" fillId="6" borderId="2" xfId="7" applyNumberFormat="1" applyFont="1" applyFill="1" applyBorder="1" applyAlignment="1">
      <alignment horizontal="left" vertical="center" wrapText="1" indent="1"/>
    </xf>
    <xf numFmtId="0" fontId="63" fillId="6" borderId="2" xfId="8" applyNumberFormat="1" applyFont="1" applyFill="1" applyBorder="1" applyAlignment="1">
      <alignment horizontal="center" vertical="top"/>
    </xf>
    <xf numFmtId="38" fontId="54" fillId="6" borderId="0" xfId="8" applyNumberFormat="1" applyFont="1" applyFill="1" applyBorder="1" applyAlignment="1" applyProtection="1">
      <alignment horizontal="right"/>
    </xf>
    <xf numFmtId="38" fontId="54" fillId="6" borderId="26" xfId="8" applyNumberFormat="1" applyFont="1" applyFill="1" applyBorder="1" applyAlignment="1" applyProtection="1">
      <alignment horizontal="right"/>
    </xf>
    <xf numFmtId="38" fontId="54" fillId="0" borderId="2" xfId="8" applyNumberFormat="1" applyFont="1" applyFill="1" applyBorder="1" applyAlignment="1" applyProtection="1">
      <alignment horizontal="right"/>
      <protection locked="0"/>
    </xf>
    <xf numFmtId="38" fontId="54" fillId="0" borderId="2" xfId="6" applyNumberFormat="1" applyFont="1" applyBorder="1" applyProtection="1">
      <protection locked="0"/>
    </xf>
    <xf numFmtId="0" fontId="80" fillId="0" borderId="0" xfId="6" applyFont="1"/>
    <xf numFmtId="0" fontId="61" fillId="0" borderId="17" xfId="0" applyFont="1" applyBorder="1" applyAlignment="1">
      <alignment horizontal="left" vertical="center" wrapText="1"/>
    </xf>
    <xf numFmtId="49" fontId="61" fillId="0" borderId="0" xfId="0" applyNumberFormat="1" applyFont="1" applyAlignment="1">
      <alignment horizontal="center" vertical="center"/>
    </xf>
    <xf numFmtId="0" fontId="56" fillId="0" borderId="0" xfId="0" applyFont="1" applyAlignment="1">
      <alignment horizontal="right" vertical="center"/>
    </xf>
    <xf numFmtId="38" fontId="56" fillId="0" borderId="0" xfId="0" applyNumberFormat="1" applyFont="1" applyAlignment="1">
      <alignment horizontal="right" vertical="center"/>
    </xf>
    <xf numFmtId="38" fontId="56" fillId="0" borderId="0" xfId="0" applyNumberFormat="1" applyFont="1" applyFill="1" applyAlignment="1">
      <alignment horizontal="right" vertical="center"/>
    </xf>
    <xf numFmtId="38" fontId="63" fillId="6" borderId="3" xfId="0" applyNumberFormat="1" applyFont="1" applyFill="1" applyBorder="1" applyAlignment="1">
      <alignment horizontal="center" vertical="center" wrapText="1"/>
    </xf>
    <xf numFmtId="0" fontId="61" fillId="0" borderId="2" xfId="0" applyFont="1" applyBorder="1" applyAlignment="1">
      <alignment horizontal="left" vertical="center" wrapText="1" indent="1"/>
    </xf>
    <xf numFmtId="38" fontId="56" fillId="0" borderId="0" xfId="0" applyNumberFormat="1" applyFont="1"/>
    <xf numFmtId="0" fontId="72" fillId="0" borderId="0" xfId="0" applyFont="1" applyAlignment="1">
      <alignment horizontal="left" indent="2"/>
    </xf>
    <xf numFmtId="0" fontId="72" fillId="0" borderId="0" xfId="0" applyFont="1" applyAlignment="1">
      <alignment horizontal="left"/>
    </xf>
    <xf numFmtId="0" fontId="72" fillId="0" borderId="0" xfId="0" applyFont="1" applyAlignment="1">
      <alignment horizontal="left" vertical="top" indent="2"/>
    </xf>
    <xf numFmtId="0" fontId="72" fillId="0" borderId="0" xfId="0" applyFont="1" applyAlignment="1">
      <alignment horizontal="left" vertical="top"/>
    </xf>
    <xf numFmtId="49" fontId="61" fillId="0" borderId="0" xfId="0" applyNumberFormat="1" applyFont="1" applyFill="1" applyBorder="1" applyAlignment="1" applyProtection="1">
      <alignment horizontal="left" vertical="center"/>
    </xf>
    <xf numFmtId="49" fontId="61" fillId="0" borderId="0" xfId="0" applyNumberFormat="1" applyFont="1" applyAlignment="1" applyProtection="1">
      <alignment horizontal="left" vertical="center"/>
    </xf>
    <xf numFmtId="49" fontId="63" fillId="0" borderId="2" xfId="0" applyNumberFormat="1" applyFont="1" applyFill="1" applyBorder="1" applyAlignment="1" applyProtection="1">
      <alignment horizontal="center" vertical="center" wrapText="1"/>
    </xf>
    <xf numFmtId="49" fontId="61" fillId="0" borderId="13" xfId="0" applyNumberFormat="1" applyFont="1" applyBorder="1" applyAlignment="1" applyProtection="1">
      <alignment horizontal="left" vertical="center" indent="1"/>
    </xf>
    <xf numFmtId="49" fontId="61" fillId="0" borderId="21" xfId="0" applyNumberFormat="1" applyFont="1" applyBorder="1" applyAlignment="1" applyProtection="1">
      <alignment horizontal="left" vertical="center"/>
    </xf>
    <xf numFmtId="38" fontId="54" fillId="0" borderId="2" xfId="0" applyNumberFormat="1" applyFont="1" applyBorder="1" applyAlignment="1" applyProtection="1">
      <alignment horizontal="right" vertical="center"/>
      <protection locked="0"/>
    </xf>
    <xf numFmtId="38" fontId="54" fillId="3" borderId="0" xfId="0" applyNumberFormat="1" applyFont="1" applyFill="1" applyBorder="1" applyAlignment="1" applyProtection="1">
      <alignment horizontal="right" vertical="center"/>
    </xf>
    <xf numFmtId="38" fontId="54" fillId="3" borderId="18" xfId="0" applyNumberFormat="1" applyFont="1" applyFill="1" applyBorder="1" applyAlignment="1" applyProtection="1">
      <alignment horizontal="right" vertical="center"/>
    </xf>
    <xf numFmtId="0" fontId="80" fillId="0" borderId="0" xfId="9" applyFont="1" applyFill="1"/>
    <xf numFmtId="49" fontId="63" fillId="0" borderId="2" xfId="9" applyNumberFormat="1" applyFont="1" applyFill="1" applyBorder="1" applyAlignment="1">
      <alignment horizontal="center" vertical="center" wrapText="1"/>
    </xf>
    <xf numFmtId="0" fontId="56" fillId="0" borderId="0" xfId="9"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38" fontId="54" fillId="0" borderId="2" xfId="9" applyNumberFormat="1" applyFont="1" applyFill="1" applyBorder="1" applyAlignment="1" applyProtection="1">
      <alignment horizontal="right"/>
      <protection locked="0"/>
    </xf>
    <xf numFmtId="3" fontId="54" fillId="0" borderId="2" xfId="9" applyNumberFormat="1" applyFont="1" applyFill="1" applyBorder="1" applyAlignment="1" applyProtection="1">
      <alignment horizontal="right" vertical="center"/>
      <protection locked="0"/>
    </xf>
    <xf numFmtId="0" fontId="56" fillId="0" borderId="0" xfId="9" applyFont="1" applyFill="1" applyAlignment="1"/>
    <xf numFmtId="0" fontId="61" fillId="0" borderId="0" xfId="9" applyFont="1" applyFill="1" applyAlignment="1"/>
    <xf numFmtId="38" fontId="54" fillId="0" borderId="2" xfId="9" applyNumberFormat="1" applyFont="1" applyFill="1" applyBorder="1" applyAlignment="1" applyProtection="1">
      <alignment horizontal="right" vertical="center"/>
      <protection locked="0"/>
    </xf>
    <xf numFmtId="0" fontId="80" fillId="0" borderId="0" xfId="9" applyFont="1" applyFill="1" applyAlignment="1">
      <alignment vertical="top"/>
    </xf>
    <xf numFmtId="0" fontId="54" fillId="0" borderId="2" xfId="0" applyFont="1" applyFill="1" applyBorder="1" applyAlignment="1" applyProtection="1">
      <alignment horizontal="right"/>
      <protection locked="0"/>
    </xf>
    <xf numFmtId="0" fontId="54" fillId="0" borderId="2" xfId="9" applyFont="1" applyFill="1" applyBorder="1" applyAlignment="1" applyProtection="1">
      <alignment horizontal="right" vertical="top"/>
      <protection locked="0"/>
    </xf>
    <xf numFmtId="38" fontId="54" fillId="0" borderId="2" xfId="9" applyNumberFormat="1" applyFont="1" applyFill="1" applyBorder="1" applyAlignment="1" applyProtection="1">
      <alignment horizontal="right" vertical="top"/>
      <protection locked="0"/>
    </xf>
    <xf numFmtId="38" fontId="54" fillId="0" borderId="2" xfId="9" quotePrefix="1" applyNumberFormat="1" applyFont="1" applyFill="1" applyBorder="1" applyAlignment="1" applyProtection="1">
      <alignment horizontal="right"/>
      <protection locked="0"/>
    </xf>
    <xf numFmtId="0" fontId="61" fillId="0" borderId="0" xfId="9" applyFont="1" applyFill="1" applyBorder="1" applyAlignment="1"/>
    <xf numFmtId="38" fontId="54" fillId="6" borderId="2" xfId="9" applyNumberFormat="1" applyFont="1" applyFill="1" applyBorder="1" applyAlignment="1" applyProtection="1">
      <alignment horizontal="right"/>
    </xf>
    <xf numFmtId="0" fontId="80" fillId="0" borderId="0" xfId="9" applyFont="1" applyFill="1" applyAlignment="1"/>
    <xf numFmtId="0" fontId="61" fillId="0" borderId="0" xfId="9" applyFont="1" applyFill="1" applyAlignment="1">
      <alignment vertical="top"/>
    </xf>
    <xf numFmtId="0" fontId="61" fillId="0" borderId="0" xfId="9" applyFont="1" applyFill="1" applyAlignment="1">
      <alignment horizontal="left" indent="1"/>
    </xf>
    <xf numFmtId="49" fontId="61" fillId="0" borderId="0" xfId="9" applyNumberFormat="1" applyFont="1" applyFill="1" applyAlignment="1">
      <alignment horizontal="right" vertical="center"/>
    </xf>
    <xf numFmtId="0" fontId="61" fillId="0" borderId="0" xfId="9" applyFont="1" applyFill="1" applyAlignment="1">
      <alignment horizontal="left" vertical="center" indent="1"/>
    </xf>
    <xf numFmtId="0" fontId="61" fillId="0" borderId="0" xfId="9" applyFont="1" applyFill="1" applyAlignment="1">
      <alignment vertical="center"/>
    </xf>
    <xf numFmtId="0" fontId="61" fillId="0" borderId="0" xfId="9" applyFont="1" applyFill="1" applyAlignment="1">
      <alignment horizontal="left" vertical="top" indent="1"/>
    </xf>
    <xf numFmtId="0" fontId="61" fillId="0" borderId="0" xfId="9" applyFont="1" applyFill="1" applyAlignment="1">
      <alignment horizontal="left"/>
    </xf>
    <xf numFmtId="0" fontId="80" fillId="0" borderId="0" xfId="9" applyFont="1" applyFill="1" applyBorder="1" applyAlignment="1">
      <alignment horizontal="left" vertical="center"/>
    </xf>
    <xf numFmtId="0" fontId="61" fillId="0" borderId="0" xfId="9" applyFont="1" applyFill="1" applyBorder="1" applyAlignment="1">
      <alignment horizontal="left"/>
    </xf>
    <xf numFmtId="49" fontId="61" fillId="0" borderId="0" xfId="9" applyNumberFormat="1" applyFont="1" applyFill="1" applyBorder="1" applyAlignment="1">
      <alignment horizontal="right"/>
    </xf>
    <xf numFmtId="0" fontId="56" fillId="0" borderId="15" xfId="9" applyFont="1" applyFill="1" applyBorder="1" applyAlignment="1" applyProtection="1">
      <protection locked="0"/>
    </xf>
    <xf numFmtId="49" fontId="61" fillId="0" borderId="0" xfId="9" applyNumberFormat="1" applyFont="1" applyFill="1" applyAlignment="1">
      <alignment horizontal="left" vertical="center"/>
    </xf>
    <xf numFmtId="49" fontId="72" fillId="0" borderId="0" xfId="9" applyNumberFormat="1" applyFont="1" applyFill="1" applyAlignment="1">
      <alignment horizontal="left" vertical="center"/>
    </xf>
    <xf numFmtId="0" fontId="63" fillId="0" borderId="9" xfId="0" applyFont="1" applyBorder="1" applyAlignment="1" applyProtection="1">
      <alignment horizontal="center" vertical="center" wrapText="1"/>
    </xf>
    <xf numFmtId="0" fontId="63" fillId="0" borderId="22" xfId="0" applyFont="1" applyFill="1" applyBorder="1" applyAlignment="1" applyProtection="1">
      <alignment horizontal="center" vertical="center"/>
    </xf>
    <xf numFmtId="0" fontId="63" fillId="0" borderId="22" xfId="0" applyFont="1" applyFill="1" applyBorder="1" applyAlignment="1" applyProtection="1">
      <alignment horizontal="center" vertical="center" wrapText="1"/>
    </xf>
    <xf numFmtId="0" fontId="56" fillId="0" borderId="7" xfId="0" applyFont="1" applyBorder="1" applyAlignment="1" applyProtection="1">
      <alignment vertical="center"/>
    </xf>
    <xf numFmtId="38" fontId="54" fillId="0" borderId="22" xfId="0" applyNumberFormat="1" applyFont="1" applyBorder="1" applyAlignment="1" applyProtection="1">
      <alignment vertical="center"/>
      <protection locked="0"/>
    </xf>
    <xf numFmtId="38" fontId="54" fillId="0" borderId="22" xfId="0" applyNumberFormat="1" applyFont="1" applyFill="1" applyBorder="1" applyAlignment="1" applyProtection="1">
      <alignment horizontal="right" vertical="center"/>
      <protection locked="0"/>
    </xf>
    <xf numFmtId="0" fontId="56" fillId="6" borderId="7" xfId="0" applyFont="1" applyFill="1" applyBorder="1" applyAlignment="1" applyProtection="1">
      <alignment vertical="center"/>
    </xf>
    <xf numFmtId="38" fontId="54" fillId="6" borderId="45" xfId="0" applyNumberFormat="1" applyFont="1" applyFill="1" applyBorder="1" applyAlignment="1" applyProtection="1">
      <alignment vertical="center"/>
    </xf>
    <xf numFmtId="38" fontId="54" fillId="6" borderId="22" xfId="0" applyNumberFormat="1" applyFont="1" applyFill="1" applyBorder="1" applyAlignment="1" applyProtection="1">
      <alignment vertical="center"/>
    </xf>
    <xf numFmtId="38" fontId="54" fillId="6" borderId="45" xfId="0" applyNumberFormat="1" applyFont="1" applyFill="1" applyBorder="1" applyAlignment="1" applyProtection="1">
      <alignment horizontal="right" vertical="center"/>
    </xf>
    <xf numFmtId="49" fontId="61" fillId="0" borderId="7" xfId="0" applyNumberFormat="1" applyFont="1" applyBorder="1" applyAlignment="1" applyProtection="1">
      <alignment horizontal="center" vertical="center" wrapText="1"/>
    </xf>
    <xf numFmtId="38" fontId="54" fillId="6" borderId="8" xfId="0" applyNumberFormat="1" applyFont="1" applyFill="1" applyBorder="1" applyAlignment="1" applyProtection="1">
      <alignment vertical="center"/>
    </xf>
    <xf numFmtId="38" fontId="54" fillId="0" borderId="22" xfId="0" applyNumberFormat="1" applyFont="1" applyFill="1" applyBorder="1" applyAlignment="1" applyProtection="1">
      <alignment vertical="center"/>
      <protection locked="0"/>
    </xf>
    <xf numFmtId="38" fontId="54" fillId="6" borderId="8" xfId="0" applyNumberFormat="1" applyFont="1" applyFill="1" applyBorder="1" applyAlignment="1" applyProtection="1">
      <alignment horizontal="right" vertical="center"/>
    </xf>
    <xf numFmtId="0" fontId="61" fillId="0" borderId="46" xfId="0" applyFont="1" applyBorder="1" applyAlignment="1" applyProtection="1">
      <alignment horizontal="left" indent="1"/>
    </xf>
    <xf numFmtId="0" fontId="61" fillId="0" borderId="6" xfId="0" applyFont="1" applyBorder="1" applyAlignment="1" applyProtection="1">
      <alignment horizontal="left" indent="1"/>
    </xf>
    <xf numFmtId="0" fontId="56" fillId="0" borderId="7" xfId="0" applyFont="1" applyBorder="1" applyAlignment="1">
      <alignment horizontal="left" indent="1"/>
    </xf>
    <xf numFmtId="49" fontId="61" fillId="0" borderId="7" xfId="0" applyNumberFormat="1" applyFont="1" applyBorder="1" applyAlignment="1" applyProtection="1">
      <alignment horizontal="center" vertical="center"/>
    </xf>
    <xf numFmtId="0" fontId="61" fillId="0" borderId="46" xfId="0" applyFont="1" applyBorder="1" applyAlignment="1" applyProtection="1">
      <alignment horizontal="left" vertical="center"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38" fontId="54" fillId="6" borderId="22"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vertical="center"/>
    </xf>
    <xf numFmtId="49" fontId="61" fillId="0" borderId="6" xfId="0" applyNumberFormat="1" applyFont="1" applyBorder="1" applyAlignment="1" applyProtection="1">
      <alignment horizontal="center" vertical="center"/>
    </xf>
    <xf numFmtId="38" fontId="54" fillId="0" borderId="7" xfId="0" applyNumberFormat="1" applyFont="1" applyBorder="1" applyAlignment="1" applyProtection="1">
      <alignment vertical="center"/>
      <protection locked="0"/>
    </xf>
    <xf numFmtId="49" fontId="61" fillId="6" borderId="59" xfId="0" applyNumberFormat="1" applyFont="1" applyFill="1" applyBorder="1" applyAlignment="1" applyProtection="1">
      <alignment horizontal="center" vertical="center"/>
    </xf>
    <xf numFmtId="0" fontId="54" fillId="6" borderId="42" xfId="0" applyFont="1" applyFill="1" applyBorder="1" applyAlignment="1" applyProtection="1">
      <alignment horizontal="right" vertical="center"/>
    </xf>
    <xf numFmtId="0" fontId="54" fillId="6" borderId="43" xfId="0" applyFont="1" applyFill="1" applyBorder="1" applyAlignment="1" applyProtection="1">
      <alignment horizontal="right" vertical="center"/>
    </xf>
    <xf numFmtId="0" fontId="54" fillId="6" borderId="40" xfId="0" applyFont="1" applyFill="1" applyBorder="1" applyAlignment="1" applyProtection="1">
      <alignment horizontal="right" vertical="center"/>
    </xf>
    <xf numFmtId="49" fontId="61" fillId="0" borderId="22" xfId="0" applyNumberFormat="1" applyFont="1" applyBorder="1" applyAlignment="1" applyProtection="1">
      <alignment horizontal="center" vertical="center"/>
    </xf>
    <xf numFmtId="49" fontId="61" fillId="3" borderId="22" xfId="0" applyNumberFormat="1" applyFont="1" applyFill="1" applyBorder="1" applyAlignment="1" applyProtection="1">
      <alignment horizontal="center" vertical="center"/>
    </xf>
    <xf numFmtId="38" fontId="54" fillId="3" borderId="45" xfId="0" applyNumberFormat="1" applyFont="1" applyFill="1" applyBorder="1" applyAlignment="1" applyProtection="1">
      <alignment vertical="center"/>
    </xf>
    <xf numFmtId="38" fontId="54" fillId="3" borderId="44" xfId="0" applyNumberFormat="1" applyFont="1" applyFill="1" applyBorder="1" applyAlignment="1" applyProtection="1">
      <alignment vertical="center"/>
    </xf>
    <xf numFmtId="38" fontId="54" fillId="3" borderId="8" xfId="0" applyNumberFormat="1" applyFont="1" applyFill="1" applyBorder="1" applyAlignment="1" applyProtection="1">
      <alignment horizontal="right" vertical="center"/>
    </xf>
    <xf numFmtId="38" fontId="54" fillId="3" borderId="44"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horizontal="right" vertical="center"/>
    </xf>
    <xf numFmtId="38" fontId="54" fillId="3" borderId="8" xfId="0" applyNumberFormat="1" applyFont="1" applyFill="1" applyBorder="1" applyAlignment="1" applyProtection="1">
      <alignment vertical="center"/>
    </xf>
    <xf numFmtId="38" fontId="54" fillId="0" borderId="8" xfId="0" applyNumberFormat="1" applyFont="1" applyFill="1" applyBorder="1" applyAlignment="1" applyProtection="1">
      <alignment horizontal="right" vertical="center"/>
      <protection locked="0"/>
    </xf>
    <xf numFmtId="0" fontId="63" fillId="0" borderId="46" xfId="0" applyFont="1" applyFill="1" applyBorder="1" applyAlignment="1">
      <alignment horizontal="left" indent="2"/>
    </xf>
    <xf numFmtId="0" fontId="63" fillId="0" borderId="6" xfId="0" applyFont="1" applyFill="1" applyBorder="1" applyAlignment="1" applyProtection="1">
      <alignment horizontal="left" vertical="center"/>
    </xf>
    <xf numFmtId="0" fontId="56" fillId="0" borderId="7" xfId="0" applyFont="1" applyBorder="1" applyAlignment="1" applyProtection="1"/>
    <xf numFmtId="0" fontId="61" fillId="0" borderId="22" xfId="0" applyFont="1" applyFill="1" applyBorder="1" applyAlignment="1">
      <alignment horizontal="center" wrapText="1"/>
    </xf>
    <xf numFmtId="38" fontId="54" fillId="0" borderId="8" xfId="0" applyNumberFormat="1" applyFont="1" applyFill="1" applyBorder="1" applyAlignment="1" applyProtection="1">
      <alignment vertical="center"/>
      <protection locked="0"/>
    </xf>
    <xf numFmtId="0" fontId="54" fillId="0" borderId="50" xfId="0" applyFont="1" applyBorder="1" applyAlignment="1" applyProtection="1">
      <alignment vertical="center"/>
    </xf>
    <xf numFmtId="0" fontId="56" fillId="0" borderId="9" xfId="0" applyFont="1" applyBorder="1" applyProtection="1"/>
    <xf numFmtId="0" fontId="56" fillId="0" borderId="40" xfId="0" applyFont="1" applyBorder="1" applyProtection="1"/>
    <xf numFmtId="0" fontId="64" fillId="0" borderId="0" xfId="0" applyFont="1" applyBorder="1" applyAlignment="1" applyProtection="1">
      <alignment horizontal="center"/>
    </xf>
    <xf numFmtId="0" fontId="64" fillId="0" borderId="22" xfId="0" applyFont="1" applyBorder="1" applyAlignment="1" applyProtection="1">
      <alignment horizontal="center"/>
      <protection locked="0"/>
    </xf>
    <xf numFmtId="0" fontId="61" fillId="0" borderId="0" xfId="0" applyFont="1" applyAlignment="1" applyProtection="1">
      <alignment horizontal="left" vertical="center" indent="1"/>
    </xf>
    <xf numFmtId="0" fontId="61" fillId="0" borderId="5" xfId="0" applyFont="1" applyBorder="1" applyAlignment="1" applyProtection="1">
      <alignment vertical="center"/>
    </xf>
    <xf numFmtId="0" fontId="61" fillId="0" borderId="0" xfId="0" applyFont="1" applyAlignment="1" applyProtection="1">
      <alignment horizontal="left" indent="1"/>
    </xf>
    <xf numFmtId="0" fontId="61" fillId="0" borderId="22" xfId="0" applyFont="1" applyBorder="1" applyAlignment="1" applyProtection="1">
      <alignment horizontal="left" vertical="center"/>
    </xf>
    <xf numFmtId="0" fontId="72" fillId="0" borderId="5" xfId="0" applyFont="1" applyBorder="1" applyAlignment="1" applyProtection="1"/>
    <xf numFmtId="0" fontId="54" fillId="0" borderId="40" xfId="0" applyFont="1" applyBorder="1" applyAlignment="1" applyProtection="1">
      <alignment vertical="center"/>
    </xf>
    <xf numFmtId="0" fontId="72" fillId="0" borderId="5" xfId="0" applyFont="1" applyBorder="1" applyAlignment="1" applyProtection="1">
      <alignment vertical="top"/>
    </xf>
    <xf numFmtId="0" fontId="56" fillId="6" borderId="6" xfId="0" applyFont="1" applyFill="1" applyBorder="1" applyProtection="1"/>
    <xf numFmtId="0" fontId="54" fillId="6" borderId="22" xfId="0" applyFont="1" applyFill="1" applyBorder="1" applyAlignment="1" applyProtection="1">
      <alignment vertical="center"/>
    </xf>
    <xf numFmtId="0" fontId="93" fillId="0" borderId="0" xfId="0" applyFont="1" applyAlignment="1" applyProtection="1">
      <alignment horizontal="left" indent="2"/>
    </xf>
    <xf numFmtId="0" fontId="61" fillId="0" borderId="6" xfId="0" applyFont="1" applyBorder="1" applyAlignment="1" applyProtection="1">
      <alignment vertical="center"/>
    </xf>
    <xf numFmtId="0" fontId="61" fillId="0" borderId="7" xfId="0" applyFont="1" applyBorder="1" applyAlignment="1" applyProtection="1">
      <alignment vertical="center"/>
    </xf>
    <xf numFmtId="0" fontId="61" fillId="0" borderId="6" xfId="0" applyFont="1" applyBorder="1" applyAlignment="1" applyProtection="1">
      <alignment horizontal="left" vertical="center" indent="1"/>
    </xf>
    <xf numFmtId="0" fontId="93" fillId="0" borderId="0" xfId="0" applyFont="1" applyAlignment="1" applyProtection="1">
      <alignment horizontal="left" vertical="top"/>
    </xf>
    <xf numFmtId="0" fontId="61" fillId="0" borderId="0" xfId="0" applyFont="1" applyAlignment="1" applyProtection="1">
      <alignment vertical="top"/>
    </xf>
    <xf numFmtId="0" fontId="56" fillId="0" borderId="0" xfId="0" applyFont="1" applyAlignment="1" applyProtection="1">
      <alignment vertical="top"/>
    </xf>
    <xf numFmtId="0" fontId="56" fillId="0" borderId="0" xfId="0" applyFont="1" applyBorder="1" applyAlignment="1" applyProtection="1">
      <alignment vertical="top"/>
    </xf>
    <xf numFmtId="0" fontId="63" fillId="6" borderId="46" xfId="0" applyFont="1" applyFill="1" applyBorder="1" applyAlignment="1" applyProtection="1">
      <alignment vertical="center"/>
    </xf>
    <xf numFmtId="0" fontId="78" fillId="0" borderId="50" xfId="0" applyFont="1" applyFill="1" applyBorder="1" applyAlignment="1" applyProtection="1">
      <alignment horizontal="left" indent="2"/>
    </xf>
    <xf numFmtId="0" fontId="56" fillId="0" borderId="9" xfId="0" applyFont="1" applyBorder="1" applyAlignment="1">
      <alignment horizontal="left" vertical="center"/>
    </xf>
    <xf numFmtId="0" fontId="56" fillId="0" borderId="9" xfId="0" applyFont="1" applyFill="1" applyBorder="1" applyAlignment="1" applyProtection="1">
      <alignment vertical="center"/>
    </xf>
    <xf numFmtId="0" fontId="53" fillId="0" borderId="9" xfId="0" applyFont="1" applyFill="1" applyBorder="1" applyAlignment="1" applyProtection="1">
      <alignment horizontal="left" vertical="center"/>
    </xf>
    <xf numFmtId="0" fontId="56" fillId="0" borderId="9" xfId="0" applyFont="1" applyFill="1" applyBorder="1" applyAlignment="1">
      <alignment horizontal="left" vertical="center"/>
    </xf>
    <xf numFmtId="0" fontId="63" fillId="0" borderId="50"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53" fillId="0" borderId="8" xfId="0" applyFont="1" applyBorder="1" applyAlignment="1" applyProtection="1">
      <alignment horizontal="center" vertical="center" wrapText="1"/>
    </xf>
    <xf numFmtId="0" fontId="56" fillId="0" borderId="0" xfId="0" applyFont="1" applyAlignment="1" applyProtection="1">
      <alignment horizontal="center" vertical="center" wrapText="1"/>
    </xf>
    <xf numFmtId="38" fontId="54" fillId="0" borderId="44" xfId="0" applyNumberFormat="1" applyFont="1" applyFill="1" applyBorder="1" applyAlignment="1" applyProtection="1">
      <alignment horizontal="right" vertical="center"/>
      <protection locked="0"/>
    </xf>
    <xf numFmtId="0" fontId="63" fillId="6" borderId="44" xfId="0" applyFont="1" applyFill="1" applyBorder="1" applyAlignment="1" applyProtection="1">
      <alignment horizontal="center" vertical="center" wrapText="1"/>
    </xf>
    <xf numFmtId="38" fontId="63" fillId="6" borderId="44" xfId="0" quotePrefix="1" applyNumberFormat="1" applyFont="1" applyFill="1" applyBorder="1" applyAlignment="1" applyProtection="1">
      <alignment horizontal="center" vertical="center"/>
    </xf>
    <xf numFmtId="49" fontId="54" fillId="6" borderId="45" xfId="0" applyNumberFormat="1" applyFont="1" applyFill="1" applyBorder="1" applyAlignment="1" applyProtection="1">
      <alignment horizontal="right" vertical="center"/>
    </xf>
    <xf numFmtId="49" fontId="54" fillId="6" borderId="44" xfId="0" applyNumberFormat="1" applyFont="1" applyFill="1" applyBorder="1" applyAlignment="1" applyProtection="1">
      <alignment horizontal="right" vertical="center"/>
    </xf>
    <xf numFmtId="0" fontId="61" fillId="0" borderId="22" xfId="0" applyFont="1" applyBorder="1" applyAlignment="1" applyProtection="1">
      <alignment horizontal="center" vertical="center"/>
    </xf>
    <xf numFmtId="38" fontId="54" fillId="0" borderId="8" xfId="0" applyNumberFormat="1" applyFont="1" applyBorder="1" applyAlignment="1" applyProtection="1">
      <alignment horizontal="right" vertical="center"/>
      <protection locked="0"/>
    </xf>
    <xf numFmtId="49" fontId="54" fillId="3" borderId="8" xfId="0" applyNumberFormat="1" applyFont="1" applyFill="1" applyBorder="1" applyAlignment="1" applyProtection="1">
      <alignment horizontal="right" vertical="center"/>
    </xf>
    <xf numFmtId="38" fontId="63" fillId="6" borderId="44" xfId="0" applyNumberFormat="1" applyFont="1" applyFill="1" applyBorder="1" applyAlignment="1" applyProtection="1">
      <alignment horizontal="center" vertical="center"/>
    </xf>
    <xf numFmtId="38" fontId="54" fillId="0" borderId="22" xfId="0" applyNumberFormat="1" applyFont="1" applyBorder="1" applyAlignment="1" applyProtection="1">
      <alignment horizontal="right" vertical="center"/>
      <protection locked="0"/>
    </xf>
    <xf numFmtId="0" fontId="61" fillId="0" borderId="46" xfId="0" applyFont="1" applyBorder="1" applyAlignment="1" applyProtection="1">
      <alignment horizontal="left" vertical="center" wrapText="1" indent="1"/>
    </xf>
    <xf numFmtId="38" fontId="54" fillId="0" borderId="22" xfId="0" applyNumberFormat="1" applyFont="1" applyBorder="1" applyAlignment="1" applyProtection="1">
      <alignment horizontal="right"/>
      <protection locked="0"/>
    </xf>
    <xf numFmtId="38" fontId="54" fillId="0" borderId="22" xfId="0" applyNumberFormat="1" applyFont="1" applyFill="1" applyBorder="1" applyAlignment="1" applyProtection="1">
      <alignment horizontal="right"/>
      <protection locked="0"/>
    </xf>
    <xf numFmtId="0" fontId="61" fillId="0" borderId="46" xfId="0" applyFont="1" applyBorder="1" applyAlignment="1" applyProtection="1">
      <alignment horizontal="left" vertical="center" wrapText="1" indent="2"/>
    </xf>
    <xf numFmtId="49" fontId="63" fillId="6" borderId="44" xfId="0" applyNumberFormat="1" applyFont="1" applyFill="1" applyBorder="1" applyAlignment="1" applyProtection="1">
      <alignment horizontal="center" vertical="center"/>
    </xf>
    <xf numFmtId="38" fontId="54" fillId="6" borderId="43" xfId="0" applyNumberFormat="1" applyFont="1" applyFill="1" applyBorder="1" applyAlignment="1" applyProtection="1">
      <alignment horizontal="right" vertical="center"/>
    </xf>
    <xf numFmtId="0" fontId="56" fillId="6" borderId="8" xfId="0" applyFont="1" applyFill="1" applyBorder="1" applyAlignment="1" applyProtection="1">
      <alignment vertical="center"/>
    </xf>
    <xf numFmtId="0" fontId="56" fillId="0" borderId="0" xfId="0" applyFont="1" applyAlignment="1" applyProtection="1">
      <alignment horizontal="right" vertical="center" indent="1"/>
    </xf>
    <xf numFmtId="0" fontId="61" fillId="0" borderId="0" xfId="0" applyFont="1" applyAlignment="1" applyProtection="1">
      <alignment horizontal="right" vertical="center" indent="1"/>
    </xf>
    <xf numFmtId="0" fontId="61" fillId="0" borderId="0" xfId="0" applyFont="1" applyBorder="1" applyAlignment="1" applyProtection="1">
      <alignment horizontal="right" vertical="center" indent="1"/>
    </xf>
    <xf numFmtId="0" fontId="61" fillId="0" borderId="56" xfId="10" applyFont="1" applyFill="1" applyBorder="1" applyAlignment="1">
      <alignment vertical="center"/>
    </xf>
    <xf numFmtId="0" fontId="61" fillId="0" borderId="0" xfId="10" applyFont="1" applyAlignment="1">
      <alignment vertical="center"/>
    </xf>
    <xf numFmtId="0" fontId="61" fillId="0" borderId="56" xfId="10" applyFont="1" applyFill="1" applyBorder="1" applyAlignment="1">
      <alignment horizontal="centerContinuous" vertical="center"/>
    </xf>
    <xf numFmtId="0" fontId="95" fillId="0" borderId="0" xfId="10" applyFont="1" applyBorder="1" applyAlignment="1">
      <alignment vertical="top"/>
    </xf>
    <xf numFmtId="0" fontId="61" fillId="0" borderId="0" xfId="10" applyFont="1" applyBorder="1" applyAlignment="1">
      <alignment vertical="center"/>
    </xf>
    <xf numFmtId="0" fontId="61" fillId="0" borderId="0" xfId="10" applyFont="1" applyBorder="1" applyAlignment="1">
      <alignment horizontal="right" vertical="center"/>
    </xf>
    <xf numFmtId="0" fontId="67" fillId="0" borderId="0" xfId="10" applyFont="1" applyFill="1" applyAlignment="1">
      <alignment horizontal="left" vertical="center" indent="1"/>
    </xf>
    <xf numFmtId="0" fontId="67" fillId="0" borderId="0" xfId="10" applyFont="1" applyAlignment="1">
      <alignment horizontal="center" vertical="center"/>
    </xf>
    <xf numFmtId="0" fontId="61" fillId="0" borderId="0" xfId="10" applyFont="1" applyAlignment="1">
      <alignment horizontal="right" vertical="center"/>
    </xf>
    <xf numFmtId="0" fontId="67" fillId="0" borderId="0" xfId="10" applyFont="1" applyAlignment="1">
      <alignment vertical="center"/>
    </xf>
    <xf numFmtId="0" fontId="61" fillId="0" borderId="0" xfId="10" applyFont="1" applyFill="1" applyAlignment="1">
      <alignment vertical="center"/>
    </xf>
    <xf numFmtId="0" fontId="63" fillId="0" borderId="0" xfId="10" applyFont="1" applyFill="1" applyBorder="1" applyAlignment="1">
      <alignment horizontal="left"/>
    </xf>
    <xf numFmtId="0" fontId="61" fillId="0" borderId="0" xfId="10" applyFont="1" applyFill="1" applyBorder="1" applyAlignment="1">
      <alignment vertical="center"/>
    </xf>
    <xf numFmtId="0" fontId="61" fillId="0" borderId="0" xfId="10" applyFont="1" applyFill="1" applyBorder="1" applyAlignment="1">
      <alignment horizontal="right" vertical="center"/>
    </xf>
    <xf numFmtId="0" fontId="61" fillId="0" borderId="0" xfId="10" applyFont="1" applyFill="1" applyAlignment="1">
      <alignment horizontal="left" vertical="center"/>
    </xf>
    <xf numFmtId="49" fontId="61" fillId="0" borderId="0" xfId="10" applyNumberFormat="1" applyFont="1" applyFill="1" applyAlignment="1">
      <alignment horizontal="left" vertical="center"/>
    </xf>
    <xf numFmtId="0" fontId="61" fillId="0" borderId="0" xfId="10" applyFont="1" applyFill="1" applyAlignment="1">
      <alignment horizontal="right" vertical="center"/>
    </xf>
    <xf numFmtId="3" fontId="61" fillId="0" borderId="0" xfId="10" applyNumberFormat="1" applyFont="1" applyFill="1" applyAlignment="1">
      <alignment vertical="center"/>
    </xf>
    <xf numFmtId="3" fontId="61" fillId="0" borderId="0" xfId="10" applyNumberFormat="1" applyFont="1" applyFill="1" applyBorder="1" applyAlignment="1">
      <alignment vertical="center"/>
    </xf>
    <xf numFmtId="0" fontId="63" fillId="0" borderId="0" xfId="10" applyFont="1" applyFill="1" applyBorder="1" applyAlignment="1">
      <alignment horizontal="left" vertical="center"/>
    </xf>
    <xf numFmtId="0" fontId="61" fillId="0" borderId="0" xfId="10" applyFont="1" applyFill="1" applyAlignment="1">
      <alignment horizontal="center" vertical="center"/>
    </xf>
    <xf numFmtId="0" fontId="61" fillId="0" borderId="0" xfId="10" applyFont="1" applyFill="1" applyAlignment="1">
      <alignment vertical="center" wrapText="1"/>
    </xf>
    <xf numFmtId="0" fontId="61" fillId="0" borderId="0" xfId="10" applyFont="1" applyFill="1" applyAlignment="1">
      <alignment horizontal="center" vertical="top"/>
    </xf>
    <xf numFmtId="0" fontId="61" fillId="0" borderId="0" xfId="10" applyFont="1" applyFill="1" applyAlignment="1">
      <alignment vertical="top" wrapText="1"/>
    </xf>
    <xf numFmtId="0" fontId="61" fillId="0" borderId="0" xfId="10" applyFont="1" applyFill="1" applyBorder="1" applyAlignment="1">
      <alignment horizontal="right" vertical="top"/>
    </xf>
    <xf numFmtId="1" fontId="61" fillId="0" borderId="0" xfId="10" applyNumberFormat="1" applyFont="1" applyFill="1" applyAlignment="1">
      <alignment horizontal="center" vertical="center"/>
    </xf>
    <xf numFmtId="1" fontId="61" fillId="0" borderId="0" xfId="10" applyNumberFormat="1" applyFont="1" applyFill="1" applyAlignment="1">
      <alignment horizontal="left" vertical="center"/>
    </xf>
    <xf numFmtId="38" fontId="61" fillId="0" borderId="0" xfId="10" applyNumberFormat="1" applyFont="1" applyFill="1" applyAlignment="1">
      <alignment horizontal="right"/>
    </xf>
    <xf numFmtId="0" fontId="61" fillId="0" borderId="0" xfId="10" quotePrefix="1" applyFont="1" applyFill="1" applyAlignment="1">
      <alignment horizontal="left" vertical="center" wrapText="1"/>
    </xf>
    <xf numFmtId="167" fontId="61" fillId="0" borderId="0" xfId="10" applyNumberFormat="1" applyFont="1" applyFill="1" applyBorder="1" applyAlignment="1" applyProtection="1">
      <alignment horizontal="right" vertical="center"/>
    </xf>
    <xf numFmtId="0" fontId="61" fillId="0" borderId="0" xfId="10" applyFont="1" applyFill="1" applyAlignment="1">
      <alignment horizontal="left" vertical="center" wrapText="1"/>
    </xf>
    <xf numFmtId="49" fontId="61" fillId="0" borderId="0" xfId="10" applyNumberFormat="1" applyFont="1" applyFill="1" applyAlignment="1">
      <alignment horizontal="center" vertical="center"/>
    </xf>
    <xf numFmtId="3" fontId="61" fillId="0" borderId="0" xfId="10" quotePrefix="1" applyNumberFormat="1" applyFont="1" applyFill="1" applyAlignment="1">
      <alignment horizontal="left" vertical="center" wrapText="1"/>
    </xf>
    <xf numFmtId="3" fontId="61" fillId="0" borderId="0" xfId="10" applyNumberFormat="1" applyFont="1" applyFill="1" applyAlignment="1">
      <alignment vertical="center" wrapText="1"/>
    </xf>
    <xf numFmtId="0" fontId="61" fillId="0" borderId="0" xfId="10" applyNumberFormat="1" applyFont="1" applyFill="1" applyAlignment="1">
      <alignment horizontal="center" vertical="center"/>
    </xf>
    <xf numFmtId="3" fontId="61" fillId="0" borderId="0" xfId="10" applyNumberFormat="1" applyFont="1" applyFill="1" applyAlignment="1">
      <alignment horizontal="center" vertical="center" wrapText="1"/>
    </xf>
    <xf numFmtId="3" fontId="61" fillId="0" borderId="0" xfId="10" applyNumberFormat="1" applyFont="1" applyAlignment="1">
      <alignment vertical="center"/>
    </xf>
    <xf numFmtId="3" fontId="61" fillId="0" borderId="0" xfId="10" applyNumberFormat="1" applyFont="1" applyFill="1" applyAlignment="1">
      <alignment horizontal="left" vertical="center" wrapText="1"/>
    </xf>
    <xf numFmtId="0" fontId="61" fillId="0" borderId="0" xfId="10" applyFont="1" applyAlignment="1">
      <alignment horizontal="left" vertical="center"/>
    </xf>
    <xf numFmtId="0" fontId="61" fillId="0" borderId="0" xfId="10" applyFont="1" applyAlignment="1">
      <alignment horizontal="center" vertical="center"/>
    </xf>
    <xf numFmtId="0" fontId="61" fillId="0" borderId="0" xfId="10" applyFont="1" applyFill="1" applyAlignment="1">
      <alignment horizontal="left" vertical="top"/>
    </xf>
    <xf numFmtId="49" fontId="61" fillId="0" borderId="0" xfId="10" applyNumberFormat="1" applyFont="1" applyFill="1" applyAlignment="1">
      <alignment horizontal="center" vertical="top"/>
    </xf>
    <xf numFmtId="3" fontId="61" fillId="0" borderId="0" xfId="10" applyNumberFormat="1" applyFont="1" applyFill="1" applyAlignment="1">
      <alignment horizontal="left" vertical="top" wrapText="1"/>
    </xf>
    <xf numFmtId="40" fontId="61" fillId="0" borderId="9" xfId="10" applyNumberFormat="1" applyFont="1" applyFill="1" applyBorder="1" applyAlignment="1" applyProtection="1">
      <alignment horizontal="right"/>
      <protection locked="0"/>
    </xf>
    <xf numFmtId="0" fontId="61" fillId="0" borderId="0" xfId="10" applyFont="1" applyFill="1" applyBorder="1" applyAlignment="1">
      <alignment horizontal="left" vertical="center"/>
    </xf>
    <xf numFmtId="0" fontId="63" fillId="0" borderId="0" xfId="10" quotePrefix="1" applyFont="1" applyFill="1" applyAlignment="1">
      <alignment horizontal="left" vertical="center"/>
    </xf>
    <xf numFmtId="0" fontId="63" fillId="0" borderId="0" xfId="10" applyFont="1" applyFill="1" applyAlignment="1">
      <alignment horizontal="right" vertical="center"/>
    </xf>
    <xf numFmtId="4" fontId="63" fillId="0" borderId="0" xfId="10" applyNumberFormat="1" applyFont="1" applyFill="1" applyBorder="1" applyAlignment="1" applyProtection="1">
      <alignment vertical="center"/>
    </xf>
    <xf numFmtId="0" fontId="61" fillId="0" borderId="0" xfId="10" applyFont="1" applyFill="1" applyAlignment="1" applyProtection="1">
      <alignment horizontal="left" vertical="center"/>
    </xf>
    <xf numFmtId="0" fontId="63" fillId="0" borderId="0" xfId="11" applyFont="1" applyFill="1" applyBorder="1" applyAlignment="1">
      <alignment vertical="center"/>
    </xf>
    <xf numFmtId="0" fontId="61" fillId="0" borderId="0" xfId="11" applyFont="1" applyFill="1" applyBorder="1" applyAlignment="1">
      <alignment vertical="center"/>
    </xf>
    <xf numFmtId="0" fontId="61" fillId="0" borderId="0" xfId="11" applyFont="1" applyFill="1" applyBorder="1" applyAlignment="1">
      <alignment horizontal="right" vertical="center"/>
    </xf>
    <xf numFmtId="0" fontId="84" fillId="0" borderId="0" xfId="0" quotePrefix="1" applyFont="1" applyFill="1" applyBorder="1" applyAlignment="1">
      <alignment horizontal="left" vertical="center"/>
    </xf>
    <xf numFmtId="0" fontId="61" fillId="0" borderId="0" xfId="11" applyFont="1" applyFill="1" applyAlignment="1">
      <alignment horizontal="left" vertical="center"/>
    </xf>
    <xf numFmtId="49" fontId="61" fillId="0" borderId="0" xfId="11" applyNumberFormat="1" applyFont="1" applyFill="1" applyAlignment="1">
      <alignment horizontal="left" vertical="center"/>
    </xf>
    <xf numFmtId="0" fontId="61" fillId="0" borderId="0" xfId="11" applyFont="1" applyFill="1" applyAlignment="1">
      <alignment horizontal="center" vertical="center"/>
    </xf>
    <xf numFmtId="0" fontId="61" fillId="0" borderId="0" xfId="11" applyFont="1" applyFill="1" applyAlignment="1">
      <alignment vertical="center" wrapText="1"/>
    </xf>
    <xf numFmtId="0" fontId="61" fillId="0" borderId="0" xfId="11" applyFont="1" applyFill="1" applyAlignment="1">
      <alignment vertical="center"/>
    </xf>
    <xf numFmtId="0" fontId="61" fillId="0" borderId="0" xfId="11" applyNumberFormat="1" applyFont="1" applyFill="1" applyAlignment="1">
      <alignment horizontal="center" vertical="center"/>
    </xf>
    <xf numFmtId="3" fontId="61" fillId="0" borderId="0" xfId="11" applyNumberFormat="1" applyFont="1" applyFill="1" applyAlignment="1">
      <alignment vertical="center"/>
    </xf>
    <xf numFmtId="0" fontId="61" fillId="0" borderId="0" xfId="11" applyFont="1" applyFill="1" applyAlignment="1">
      <alignment horizontal="center" vertical="top"/>
    </xf>
    <xf numFmtId="3" fontId="61" fillId="0" borderId="0" xfId="11" applyNumberFormat="1" applyFont="1" applyFill="1" applyBorder="1" applyAlignment="1">
      <alignment vertical="center"/>
    </xf>
    <xf numFmtId="38" fontId="61" fillId="0" borderId="0" xfId="11" applyNumberFormat="1" applyFont="1" applyFill="1" applyAlignment="1">
      <alignment horizontal="left" vertical="center" wrapText="1"/>
    </xf>
    <xf numFmtId="0" fontId="61" fillId="0" borderId="0" xfId="11" applyFont="1" applyFill="1" applyAlignment="1">
      <alignment horizontal="left" vertical="center" wrapText="1"/>
    </xf>
    <xf numFmtId="0" fontId="61" fillId="0" borderId="0" xfId="11" quotePrefix="1" applyFont="1" applyFill="1" applyAlignment="1">
      <alignment horizontal="left" vertical="center" wrapText="1"/>
    </xf>
    <xf numFmtId="1" fontId="61" fillId="0" borderId="0" xfId="11" applyNumberFormat="1" applyFont="1" applyFill="1" applyAlignment="1">
      <alignment horizontal="center" vertical="center"/>
    </xf>
    <xf numFmtId="0" fontId="61" fillId="0" borderId="0" xfId="11" quotePrefix="1" applyFont="1" applyFill="1" applyAlignment="1">
      <alignment horizontal="left" vertical="center"/>
    </xf>
    <xf numFmtId="1" fontId="61" fillId="0" borderId="0" xfId="11" quotePrefix="1" applyNumberFormat="1" applyFont="1" applyFill="1" applyAlignment="1">
      <alignment horizontal="center" vertical="center"/>
    </xf>
    <xf numFmtId="0" fontId="61" fillId="0" borderId="0" xfId="11" applyFont="1" applyFill="1" applyAlignment="1">
      <alignment horizontal="left" vertical="top"/>
    </xf>
    <xf numFmtId="1" fontId="61" fillId="0" borderId="0" xfId="11" applyNumberFormat="1" applyFont="1" applyFill="1" applyAlignment="1">
      <alignment horizontal="center" vertical="top"/>
    </xf>
    <xf numFmtId="0" fontId="61" fillId="0" borderId="0" xfId="11" applyFont="1" applyFill="1" applyAlignment="1">
      <alignment vertical="top" wrapText="1"/>
    </xf>
    <xf numFmtId="0" fontId="61" fillId="0" borderId="0" xfId="11" applyFont="1" applyFill="1" applyBorder="1" applyAlignment="1">
      <alignment horizontal="right" vertical="top"/>
    </xf>
    <xf numFmtId="0" fontId="61" fillId="0" borderId="0" xfId="11" applyFont="1" applyAlignment="1">
      <alignment horizontal="left" vertical="center"/>
    </xf>
    <xf numFmtId="1" fontId="61" fillId="0" borderId="0" xfId="11" applyNumberFormat="1" applyFont="1" applyAlignment="1">
      <alignment horizontal="center" vertical="center"/>
    </xf>
    <xf numFmtId="0" fontId="61" fillId="0" borderId="0" xfId="11" applyFont="1" applyAlignment="1">
      <alignment vertical="center" wrapText="1"/>
    </xf>
    <xf numFmtId="0" fontId="61" fillId="0" borderId="0" xfId="11" applyFont="1" applyAlignment="1">
      <alignment vertical="center"/>
    </xf>
    <xf numFmtId="167" fontId="61" fillId="0" borderId="0" xfId="11" applyNumberFormat="1" applyFont="1" applyFill="1" applyBorder="1" applyAlignment="1" applyProtection="1">
      <alignment horizontal="right" vertical="center"/>
    </xf>
    <xf numFmtId="0" fontId="61" fillId="0" borderId="0" xfId="11" applyFont="1" applyAlignment="1">
      <alignment horizontal="center" vertical="center"/>
    </xf>
    <xf numFmtId="0" fontId="61" fillId="0" borderId="0" xfId="11" applyFont="1" applyAlignment="1">
      <alignment horizontal="left" vertical="center" wrapText="1"/>
    </xf>
    <xf numFmtId="49" fontId="61" fillId="4" borderId="0" xfId="11" applyNumberFormat="1" applyFont="1" applyFill="1" applyBorder="1" applyAlignment="1">
      <alignment horizontal="left" vertical="center"/>
    </xf>
    <xf numFmtId="49" fontId="61" fillId="4" borderId="0" xfId="11" applyNumberFormat="1" applyFont="1" applyFill="1" applyBorder="1" applyAlignment="1">
      <alignment horizontal="center" vertical="center"/>
    </xf>
    <xf numFmtId="0" fontId="61" fillId="4" borderId="0" xfId="11" applyNumberFormat="1" applyFont="1" applyFill="1" applyBorder="1" applyAlignment="1">
      <alignment vertical="center" wrapText="1"/>
    </xf>
    <xf numFmtId="49" fontId="61" fillId="4" borderId="0" xfId="11" applyNumberFormat="1" applyFont="1" applyFill="1" applyBorder="1" applyAlignment="1">
      <alignment horizontal="right" vertical="center"/>
    </xf>
    <xf numFmtId="49" fontId="61" fillId="0" borderId="0" xfId="11" applyNumberFormat="1" applyFont="1" applyFill="1" applyBorder="1" applyAlignment="1">
      <alignment horizontal="left" vertical="center"/>
    </xf>
    <xf numFmtId="49" fontId="61" fillId="0" borderId="0" xfId="11" applyNumberFormat="1" applyFont="1" applyFill="1" applyBorder="1" applyAlignment="1">
      <alignment horizontal="left" vertical="center" wrapText="1"/>
    </xf>
    <xf numFmtId="49" fontId="61" fillId="0" borderId="0" xfId="11" applyNumberFormat="1" applyFont="1" applyFill="1" applyBorder="1" applyAlignment="1">
      <alignment horizontal="center" vertical="center"/>
    </xf>
    <xf numFmtId="0" fontId="61" fillId="0" borderId="0" xfId="11" applyNumberFormat="1" applyFont="1" applyFill="1" applyBorder="1" applyAlignment="1">
      <alignment vertical="center" wrapText="1"/>
    </xf>
    <xf numFmtId="49" fontId="61" fillId="0" borderId="0" xfId="11" applyNumberFormat="1" applyFont="1" applyFill="1" applyBorder="1" applyAlignment="1">
      <alignment horizontal="right" vertical="center"/>
    </xf>
    <xf numFmtId="0" fontId="61" fillId="0" borderId="0" xfId="11" applyFont="1" applyBorder="1" applyAlignment="1">
      <alignment vertical="center"/>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1" applyFont="1" applyBorder="1" applyAlignment="1">
      <alignment horizontal="left" vertical="center"/>
    </xf>
    <xf numFmtId="0" fontId="61" fillId="0" borderId="0" xfId="11" quotePrefix="1" applyFont="1" applyAlignment="1">
      <alignment horizontal="left" vertical="top"/>
    </xf>
    <xf numFmtId="0" fontId="61" fillId="0" borderId="0" xfId="11" applyFont="1" applyAlignment="1">
      <alignment horizontal="right" vertical="center"/>
    </xf>
    <xf numFmtId="38" fontId="61" fillId="0" borderId="0" xfId="11" applyNumberFormat="1" applyFont="1" applyFill="1" applyAlignment="1">
      <alignment horizontal="right"/>
    </xf>
    <xf numFmtId="0" fontId="61" fillId="0" borderId="0" xfId="11" applyFont="1" applyAlignment="1" applyProtection="1">
      <alignment vertical="center"/>
    </xf>
    <xf numFmtId="0" fontId="53" fillId="6" borderId="12" xfId="0" applyFont="1" applyFill="1" applyBorder="1" applyAlignment="1">
      <alignment horizontal="left"/>
    </xf>
    <xf numFmtId="0" fontId="53" fillId="6" borderId="16" xfId="0" applyFont="1" applyFill="1" applyBorder="1"/>
    <xf numFmtId="0" fontId="56" fillId="6" borderId="16" xfId="0" applyFont="1" applyFill="1" applyBorder="1"/>
    <xf numFmtId="0" fontId="56" fillId="6" borderId="10" xfId="0" applyFont="1" applyFill="1" applyBorder="1"/>
    <xf numFmtId="0" fontId="53" fillId="6" borderId="0" xfId="0" applyFont="1" applyFill="1" applyBorder="1" applyAlignment="1"/>
    <xf numFmtId="0" fontId="53" fillId="6" borderId="0" xfId="0" applyFont="1" applyFill="1" applyBorder="1"/>
    <xf numFmtId="0" fontId="56" fillId="6" borderId="0" xfId="0" applyFont="1" applyFill="1" applyBorder="1"/>
    <xf numFmtId="0" fontId="56" fillId="6" borderId="18" xfId="0" applyFont="1" applyFill="1" applyBorder="1"/>
    <xf numFmtId="0" fontId="86" fillId="6" borderId="0" xfId="0" applyFont="1" applyFill="1" applyAlignment="1">
      <alignment horizontal="left"/>
    </xf>
    <xf numFmtId="0" fontId="56" fillId="6" borderId="0" xfId="0" applyFont="1" applyFill="1" applyAlignment="1"/>
    <xf numFmtId="0" fontId="56" fillId="6" borderId="0" xfId="0" applyFont="1" applyFill="1" applyBorder="1" applyAlignment="1">
      <alignment vertical="center"/>
    </xf>
    <xf numFmtId="0" fontId="56" fillId="6" borderId="0" xfId="0" applyFont="1" applyFill="1" applyBorder="1" applyAlignment="1">
      <alignment horizontal="left" vertical="center"/>
    </xf>
    <xf numFmtId="0" fontId="56" fillId="6" borderId="18" xfId="0" applyFont="1" applyFill="1" applyBorder="1" applyAlignment="1">
      <alignment horizontal="left" vertical="center"/>
    </xf>
    <xf numFmtId="0" fontId="53" fillId="6" borderId="12" xfId="0" applyFont="1" applyFill="1" applyBorder="1" applyAlignment="1" applyProtection="1">
      <alignment vertical="center"/>
    </xf>
    <xf numFmtId="0" fontId="63"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56" fillId="0" borderId="17" xfId="0" applyFont="1" applyFill="1" applyBorder="1" applyAlignment="1" applyProtection="1">
      <alignment vertical="center"/>
    </xf>
    <xf numFmtId="0" fontId="56" fillId="0" borderId="18" xfId="0" applyFont="1" applyFill="1" applyBorder="1" applyAlignment="1" applyProtection="1">
      <alignment vertical="center"/>
    </xf>
    <xf numFmtId="0" fontId="61" fillId="0" borderId="13" xfId="0" applyFont="1" applyBorder="1" applyAlignment="1" applyProtection="1">
      <alignment horizontal="left" vertical="center" indent="1"/>
    </xf>
    <xf numFmtId="0" fontId="56" fillId="0" borderId="21" xfId="0" applyFont="1" applyBorder="1" applyAlignment="1" applyProtection="1">
      <alignment vertical="center"/>
    </xf>
    <xf numFmtId="0" fontId="61" fillId="0" borderId="14" xfId="0" applyFont="1" applyBorder="1" applyAlignment="1" applyProtection="1">
      <alignment horizontal="right" vertical="center"/>
    </xf>
    <xf numFmtId="38" fontId="54" fillId="0" borderId="13" xfId="0" applyNumberFormat="1" applyFont="1" applyBorder="1" applyAlignment="1" applyProtection="1">
      <alignment vertical="center"/>
      <protection locked="0"/>
    </xf>
    <xf numFmtId="0" fontId="61" fillId="0" borderId="17" xfId="0" applyFont="1" applyFill="1" applyBorder="1" applyAlignment="1" applyProtection="1">
      <alignment horizontal="center" vertical="center"/>
    </xf>
    <xf numFmtId="38" fontId="54" fillId="0" borderId="18" xfId="0" applyNumberFormat="1" applyFont="1" applyFill="1" applyBorder="1" applyAlignment="1" applyProtection="1">
      <alignment vertical="center"/>
    </xf>
    <xf numFmtId="0" fontId="72" fillId="0" borderId="21" xfId="0" applyFont="1" applyBorder="1" applyAlignment="1" applyProtection="1">
      <alignment vertical="center"/>
    </xf>
    <xf numFmtId="38" fontId="54" fillId="20" borderId="13" xfId="0" applyNumberFormat="1" applyFont="1" applyFill="1" applyBorder="1" applyAlignment="1" applyProtection="1">
      <protection locked="0"/>
    </xf>
    <xf numFmtId="38" fontId="54" fillId="0" borderId="18" xfId="0" applyNumberFormat="1" applyFont="1" applyFill="1" applyBorder="1" applyAlignment="1" applyProtection="1"/>
    <xf numFmtId="0" fontId="61" fillId="0" borderId="19" xfId="0" applyFont="1" applyFill="1" applyBorder="1" applyAlignment="1" applyProtection="1">
      <alignment horizontal="center" vertical="center"/>
    </xf>
    <xf numFmtId="38" fontId="54" fillId="0" borderId="11" xfId="0" applyNumberFormat="1" applyFont="1" applyFill="1" applyBorder="1" applyAlignment="1" applyProtection="1">
      <alignment vertical="center"/>
    </xf>
    <xf numFmtId="0" fontId="56" fillId="6" borderId="10" xfId="0" applyFont="1" applyFill="1" applyBorder="1" applyAlignment="1" applyProtection="1">
      <alignment vertical="center"/>
    </xf>
    <xf numFmtId="0" fontId="53" fillId="6" borderId="19" xfId="0" applyFont="1" applyFill="1" applyBorder="1" applyAlignment="1">
      <alignment vertical="center"/>
    </xf>
    <xf numFmtId="0" fontId="64" fillId="6" borderId="20" xfId="0" applyFont="1" applyFill="1" applyBorder="1" applyAlignment="1">
      <alignment horizontal="left" vertical="center" indent="1"/>
    </xf>
    <xf numFmtId="0" fontId="56" fillId="6" borderId="20" xfId="0" applyFont="1" applyFill="1" applyBorder="1" applyAlignment="1">
      <alignment horizontal="left" vertical="center"/>
    </xf>
    <xf numFmtId="0" fontId="56" fillId="0" borderId="17" xfId="0" applyFont="1" applyBorder="1"/>
    <xf numFmtId="0" fontId="54" fillId="0" borderId="0" xfId="0" applyNumberFormat="1" applyFont="1" applyFill="1" applyBorder="1" applyAlignment="1">
      <alignment horizontal="left" vertical="center"/>
    </xf>
    <xf numFmtId="0" fontId="54" fillId="0" borderId="17" xfId="0" applyFont="1" applyBorder="1"/>
    <xf numFmtId="0" fontId="61" fillId="0" borderId="17" xfId="0" applyFont="1" applyBorder="1"/>
    <xf numFmtId="0" fontId="63" fillId="0" borderId="0" xfId="0" applyFont="1" applyBorder="1" applyAlignment="1">
      <alignment horizontal="center"/>
    </xf>
    <xf numFmtId="0" fontId="63" fillId="0" borderId="13" xfId="0" applyFont="1" applyBorder="1" applyAlignment="1">
      <alignment horizontal="left"/>
    </xf>
    <xf numFmtId="0" fontId="63" fillId="0" borderId="14" xfId="0" applyFont="1" applyBorder="1" applyAlignment="1">
      <alignment horizontal="left" indent="1"/>
    </xf>
    <xf numFmtId="49" fontId="61" fillId="0" borderId="2" xfId="0" applyNumberFormat="1" applyFont="1" applyBorder="1" applyAlignment="1">
      <alignment horizontal="center"/>
    </xf>
    <xf numFmtId="0" fontId="61" fillId="0" borderId="2" xfId="0" applyFont="1" applyBorder="1" applyAlignment="1">
      <alignment horizontal="center"/>
    </xf>
    <xf numFmtId="0" fontId="61" fillId="0" borderId="13" xfId="0" applyFont="1" applyBorder="1" applyAlignment="1">
      <alignment horizontal="left" indent="1"/>
    </xf>
    <xf numFmtId="0" fontId="61" fillId="0" borderId="14" xfId="0" applyFont="1" applyBorder="1" applyAlignment="1">
      <alignment horizontal="left" indent="2"/>
    </xf>
    <xf numFmtId="0" fontId="63" fillId="0" borderId="14" xfId="0" applyFont="1" applyBorder="1" applyAlignment="1">
      <alignment horizontal="left" indent="2"/>
    </xf>
    <xf numFmtId="0" fontId="61" fillId="0" borderId="14" xfId="0" applyFont="1" applyBorder="1" applyAlignment="1">
      <alignment horizontal="left" indent="4"/>
    </xf>
    <xf numFmtId="0" fontId="63" fillId="7" borderId="13" xfId="0" applyFont="1" applyFill="1" applyBorder="1" applyAlignment="1">
      <alignment horizontal="left" indent="2"/>
    </xf>
    <xf numFmtId="0" fontId="63" fillId="7" borderId="14" xfId="0" applyFont="1" applyFill="1" applyBorder="1" applyAlignment="1">
      <alignment horizontal="left" indent="2"/>
    </xf>
    <xf numFmtId="0" fontId="61" fillId="7" borderId="2" xfId="0" applyFont="1" applyFill="1" applyBorder="1"/>
    <xf numFmtId="0" fontId="54" fillId="0" borderId="18" xfId="0" applyFont="1" applyBorder="1"/>
    <xf numFmtId="0" fontId="63" fillId="0" borderId="20" xfId="0" applyFont="1" applyBorder="1" applyAlignment="1">
      <alignment horizontal="centerContinuous"/>
    </xf>
    <xf numFmtId="0" fontId="54" fillId="0" borderId="11" xfId="0" applyFont="1" applyBorder="1" applyAlignment="1">
      <alignment horizontal="centerContinuous"/>
    </xf>
    <xf numFmtId="0" fontId="56" fillId="0" borderId="19" xfId="0" applyFont="1" applyBorder="1"/>
    <xf numFmtId="0" fontId="56" fillId="0" borderId="20" xfId="0" applyFont="1" applyBorder="1"/>
    <xf numFmtId="0" fontId="54" fillId="0" borderId="19" xfId="0" applyFont="1" applyBorder="1"/>
    <xf numFmtId="0" fontId="54" fillId="0" borderId="11" xfId="0" applyFont="1" applyBorder="1"/>
    <xf numFmtId="0" fontId="61" fillId="0" borderId="0" xfId="3" applyNumberFormat="1" applyFont="1" applyBorder="1" applyAlignment="1">
      <alignment vertical="center"/>
    </xf>
    <xf numFmtId="0" fontId="56" fillId="0" borderId="0" xfId="3" applyNumberFormat="1" applyFont="1" applyBorder="1" applyAlignment="1">
      <alignment vertical="center"/>
    </xf>
    <xf numFmtId="0" fontId="56" fillId="0" borderId="0" xfId="3" applyNumberFormat="1" applyFont="1" applyAlignment="1">
      <alignment vertical="center"/>
    </xf>
    <xf numFmtId="0" fontId="61" fillId="0" borderId="0" xfId="3" applyNumberFormat="1" applyFont="1" applyAlignment="1">
      <alignment vertical="center"/>
    </xf>
    <xf numFmtId="0" fontId="63" fillId="0" borderId="0" xfId="3" applyNumberFormat="1" applyFont="1" applyAlignment="1">
      <alignment horizontal="center" vertical="center"/>
    </xf>
    <xf numFmtId="0" fontId="63" fillId="0" borderId="0" xfId="3" applyNumberFormat="1" applyFont="1" applyBorder="1" applyAlignment="1">
      <alignment horizontal="left" vertical="center"/>
    </xf>
    <xf numFmtId="0" fontId="61" fillId="0" borderId="0" xfId="3" applyNumberFormat="1" applyFont="1" applyAlignment="1">
      <alignment horizontal="center" vertical="center"/>
    </xf>
    <xf numFmtId="0" fontId="61" fillId="0" borderId="17" xfId="3" applyNumberFormat="1" applyFont="1" applyBorder="1" applyAlignment="1">
      <alignment horizontal="center" vertical="center"/>
    </xf>
    <xf numFmtId="0" fontId="61" fillId="0" borderId="0" xfId="3" applyNumberFormat="1" applyFont="1" applyBorder="1" applyAlignment="1">
      <alignment horizontal="right" vertical="center" indent="1"/>
    </xf>
    <xf numFmtId="0" fontId="56" fillId="0" borderId="17" xfId="3" applyNumberFormat="1" applyFont="1" applyBorder="1" applyAlignment="1">
      <alignment vertical="center"/>
    </xf>
    <xf numFmtId="0" fontId="56" fillId="0" borderId="19" xfId="3" applyNumberFormat="1" applyFont="1" applyBorder="1" applyAlignment="1">
      <alignment vertical="center"/>
    </xf>
    <xf numFmtId="0" fontId="56" fillId="0" borderId="20" xfId="3" applyNumberFormat="1" applyFont="1" applyBorder="1" applyAlignment="1">
      <alignment vertical="center"/>
    </xf>
    <xf numFmtId="0" fontId="56" fillId="0" borderId="12" xfId="3" applyNumberFormat="1" applyFont="1" applyBorder="1" applyAlignment="1">
      <alignment vertical="center"/>
    </xf>
    <xf numFmtId="0" fontId="56" fillId="0" borderId="16" xfId="3" applyNumberFormat="1" applyFont="1" applyBorder="1" applyAlignment="1">
      <alignment vertical="center"/>
    </xf>
    <xf numFmtId="0" fontId="56" fillId="0" borderId="3" xfId="3" applyNumberFormat="1" applyFont="1" applyBorder="1" applyAlignment="1">
      <alignment vertical="center"/>
    </xf>
    <xf numFmtId="0" fontId="56" fillId="0" borderId="16" xfId="3" applyNumberFormat="1" applyFont="1" applyFill="1" applyBorder="1" applyAlignment="1">
      <alignment horizontal="centerContinuous" vertical="center"/>
    </xf>
    <xf numFmtId="0" fontId="56" fillId="0" borderId="10" xfId="3" applyNumberFormat="1" applyFont="1" applyFill="1" applyBorder="1" applyAlignment="1">
      <alignment horizontal="centerContinuous" vertical="center"/>
    </xf>
    <xf numFmtId="0" fontId="54" fillId="0" borderId="17" xfId="3" applyNumberFormat="1" applyFont="1" applyFill="1" applyBorder="1" applyAlignment="1">
      <alignment vertical="center"/>
    </xf>
    <xf numFmtId="0" fontId="54" fillId="0" borderId="0" xfId="3" applyNumberFormat="1" applyFont="1" applyFill="1" applyBorder="1" applyAlignment="1">
      <alignment vertical="center"/>
    </xf>
    <xf numFmtId="0" fontId="54" fillId="0" borderId="0" xfId="3" applyNumberFormat="1" applyFont="1" applyFill="1" applyBorder="1" applyAlignment="1">
      <alignment horizontal="center" vertical="center"/>
    </xf>
    <xf numFmtId="0" fontId="54" fillId="0" borderId="26" xfId="3" applyNumberFormat="1" applyFont="1" applyFill="1" applyBorder="1" applyAlignment="1">
      <alignment vertical="center"/>
    </xf>
    <xf numFmtId="0" fontId="63" fillId="0" borderId="10"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4" fillId="0" borderId="0" xfId="3" applyNumberFormat="1" applyFont="1" applyAlignment="1">
      <alignment vertical="center"/>
    </xf>
    <xf numFmtId="0" fontId="63" fillId="0" borderId="4" xfId="3" applyNumberFormat="1" applyFont="1" applyBorder="1" applyAlignment="1">
      <alignment horizontal="center" vertical="center" wrapText="1"/>
    </xf>
    <xf numFmtId="0" fontId="63" fillId="0" borderId="4" xfId="3" applyNumberFormat="1" applyFont="1" applyBorder="1" applyAlignment="1">
      <alignment horizontal="center" vertical="center"/>
    </xf>
    <xf numFmtId="164" fontId="63" fillId="0" borderId="13" xfId="3" applyNumberFormat="1" applyFont="1" applyBorder="1" applyAlignment="1">
      <alignment horizontal="right" vertical="center"/>
    </xf>
    <xf numFmtId="0" fontId="61" fillId="0" borderId="21" xfId="3" applyNumberFormat="1" applyFont="1" applyBorder="1" applyAlignment="1">
      <alignment horizontal="left" vertical="center"/>
    </xf>
    <xf numFmtId="0" fontId="56" fillId="0" borderId="14" xfId="3" applyNumberFormat="1" applyFont="1" applyBorder="1" applyAlignment="1">
      <alignment horizontal="left" vertical="center"/>
    </xf>
    <xf numFmtId="0" fontId="61" fillId="0" borderId="2" xfId="3" applyNumberFormat="1" applyFont="1" applyBorder="1" applyAlignment="1">
      <alignment horizontal="left" vertical="center" indent="1"/>
    </xf>
    <xf numFmtId="0" fontId="54" fillId="16" borderId="2" xfId="3" applyNumberFormat="1" applyFont="1" applyFill="1" applyBorder="1" applyAlignment="1">
      <alignment vertical="center"/>
    </xf>
    <xf numFmtId="38" fontId="54" fillId="0" borderId="2" xfId="3" applyNumberFormat="1" applyFont="1" applyBorder="1" applyAlignment="1" applyProtection="1">
      <alignment vertical="center"/>
      <protection locked="0"/>
    </xf>
    <xf numFmtId="0" fontId="61" fillId="0" borderId="2" xfId="3" applyNumberFormat="1" applyFont="1" applyBorder="1" applyAlignment="1">
      <alignment horizontal="left" vertical="top" indent="1"/>
    </xf>
    <xf numFmtId="164" fontId="63" fillId="0" borderId="13" xfId="3" applyNumberFormat="1" applyFont="1" applyBorder="1" applyAlignment="1">
      <alignment vertical="top"/>
    </xf>
    <xf numFmtId="38" fontId="54" fillId="0" borderId="2" xfId="3" applyNumberFormat="1" applyFont="1" applyFill="1" applyBorder="1" applyAlignment="1" applyProtection="1">
      <alignment vertical="center"/>
      <protection locked="0"/>
    </xf>
    <xf numFmtId="0" fontId="63" fillId="0" borderId="21" xfId="3" applyNumberFormat="1" applyFont="1" applyBorder="1" applyAlignment="1">
      <alignment horizontal="left" vertical="center"/>
    </xf>
    <xf numFmtId="0" fontId="61" fillId="0" borderId="14" xfId="3" applyNumberFormat="1" applyFont="1" applyBorder="1" applyAlignment="1">
      <alignment horizontal="center" vertical="center"/>
    </xf>
    <xf numFmtId="0" fontId="54" fillId="16" borderId="4" xfId="3" applyNumberFormat="1" applyFont="1" applyFill="1" applyBorder="1" applyAlignment="1">
      <alignment vertical="center"/>
    </xf>
    <xf numFmtId="0" fontId="56" fillId="0" borderId="0" xfId="3" applyNumberFormat="1" applyFont="1" applyAlignment="1">
      <alignment horizontal="right" vertical="center"/>
    </xf>
    <xf numFmtId="0" fontId="64" fillId="0" borderId="0" xfId="3" applyNumberFormat="1" applyFont="1" applyAlignment="1">
      <alignment vertical="center"/>
    </xf>
    <xf numFmtId="0" fontId="72" fillId="0" borderId="0" xfId="3" applyNumberFormat="1" applyFont="1" applyAlignment="1">
      <alignment vertical="center"/>
    </xf>
    <xf numFmtId="171" fontId="56" fillId="0" borderId="0" xfId="3" applyNumberFormat="1" applyFont="1" applyBorder="1" applyAlignment="1" applyProtection="1">
      <alignment horizontal="center"/>
    </xf>
    <xf numFmtId="0" fontId="72" fillId="0" borderId="134" xfId="3" applyNumberFormat="1" applyFont="1" applyBorder="1" applyAlignment="1">
      <alignment horizontal="center" vertical="center"/>
    </xf>
    <xf numFmtId="0" fontId="56" fillId="0" borderId="134" xfId="3" applyNumberFormat="1" applyFont="1" applyBorder="1" applyAlignment="1">
      <alignment vertical="center"/>
    </xf>
    <xf numFmtId="0" fontId="72" fillId="0" borderId="0" xfId="3" applyNumberFormat="1" applyFont="1" applyBorder="1" applyAlignment="1">
      <alignment vertical="center" wrapText="1"/>
    </xf>
    <xf numFmtId="0" fontId="56" fillId="0" borderId="0" xfId="3" applyNumberFormat="1" applyFont="1" applyBorder="1" applyAlignment="1">
      <alignment wrapText="1"/>
    </xf>
    <xf numFmtId="0" fontId="72" fillId="0" borderId="134" xfId="3" applyNumberFormat="1" applyFont="1" applyBorder="1" applyAlignment="1">
      <alignment horizontal="center"/>
    </xf>
    <xf numFmtId="0" fontId="72" fillId="0" borderId="0" xfId="3" applyNumberFormat="1" applyFont="1" applyBorder="1" applyAlignment="1"/>
    <xf numFmtId="0" fontId="63" fillId="0" borderId="0" xfId="3" applyNumberFormat="1" applyFont="1" applyAlignment="1">
      <alignment horizontal="right"/>
    </xf>
    <xf numFmtId="0" fontId="54" fillId="0" borderId="0" xfId="3" applyNumberFormat="1" applyFont="1" applyBorder="1" applyAlignment="1">
      <alignment horizontal="center" wrapText="1"/>
    </xf>
    <xf numFmtId="0" fontId="72" fillId="0" borderId="0" xfId="3" applyFont="1" applyBorder="1" applyAlignment="1">
      <alignment horizontal="center" vertical="center" wrapText="1"/>
    </xf>
    <xf numFmtId="0" fontId="78" fillId="0" borderId="0" xfId="3" applyNumberFormat="1" applyFont="1" applyAlignment="1">
      <alignment vertical="center"/>
    </xf>
    <xf numFmtId="0" fontId="64" fillId="0" borderId="22" xfId="3" applyNumberFormat="1" applyFont="1" applyBorder="1" applyAlignment="1" applyProtection="1">
      <alignment horizontal="center" vertical="center"/>
      <protection locked="0"/>
    </xf>
    <xf numFmtId="0" fontId="61" fillId="0" borderId="0" xfId="3" applyNumberFormat="1" applyFont="1" applyAlignment="1">
      <alignment horizontal="left" vertical="center" indent="2"/>
    </xf>
    <xf numFmtId="0" fontId="56" fillId="0" borderId="0" xfId="3" applyFont="1" applyAlignment="1">
      <alignment horizontal="left" wrapText="1" indent="2"/>
    </xf>
    <xf numFmtId="0" fontId="54" fillId="0" borderId="0" xfId="3" applyNumberFormat="1" applyFont="1" applyBorder="1" applyAlignment="1">
      <alignment vertical="center"/>
    </xf>
    <xf numFmtId="0" fontId="82" fillId="0" borderId="0" xfId="3" applyNumberFormat="1" applyFont="1" applyBorder="1" applyAlignment="1">
      <alignment horizontal="centerContinuous" vertical="center"/>
    </xf>
    <xf numFmtId="0" fontId="55" fillId="0" borderId="0" xfId="2" applyNumberFormat="1" applyFont="1" applyBorder="1" applyAlignment="1" applyProtection="1">
      <alignment horizontal="centerContinuous" vertical="center"/>
    </xf>
    <xf numFmtId="0" fontId="56" fillId="0" borderId="0" xfId="3" applyFont="1" applyAlignment="1">
      <alignment vertical="top" wrapText="1"/>
    </xf>
    <xf numFmtId="164" fontId="56" fillId="0" borderId="0" xfId="0" applyNumberFormat="1" applyFont="1"/>
    <xf numFmtId="166" fontId="61" fillId="0" borderId="0" xfId="0" applyNumberFormat="1" applyFont="1" applyAlignment="1">
      <alignment horizontal="left"/>
    </xf>
    <xf numFmtId="0" fontId="56" fillId="0" borderId="0" xfId="0" applyFont="1" applyAlignment="1">
      <alignment vertical="top"/>
    </xf>
    <xf numFmtId="0" fontId="107" fillId="0" borderId="0" xfId="0" applyFont="1"/>
    <xf numFmtId="0" fontId="54" fillId="0" borderId="0" xfId="0" applyFont="1" applyAlignment="1">
      <alignment vertical="top" wrapText="1"/>
    </xf>
    <xf numFmtId="0" fontId="56" fillId="0" borderId="0" xfId="3" applyFont="1" applyAlignment="1">
      <alignment wrapText="1"/>
    </xf>
    <xf numFmtId="0" fontId="56" fillId="0" borderId="0" xfId="3" applyFont="1" applyAlignment="1">
      <alignment vertical="center"/>
    </xf>
    <xf numFmtId="0" fontId="63" fillId="0" borderId="46" xfId="3" applyFont="1" applyFill="1" applyBorder="1" applyAlignment="1">
      <alignment horizontal="center" vertical="center"/>
    </xf>
    <xf numFmtId="0" fontId="63" fillId="0" borderId="22" xfId="3" applyFont="1" applyBorder="1" applyAlignment="1">
      <alignment horizontal="center" vertical="center" wrapText="1"/>
    </xf>
    <xf numFmtId="0" fontId="53" fillId="0" borderId="22" xfId="3" applyFont="1" applyBorder="1" applyAlignment="1">
      <alignment horizontal="left" vertical="center" wrapText="1" indent="1"/>
    </xf>
    <xf numFmtId="0" fontId="56" fillId="0" borderId="0" xfId="3" applyFont="1" applyAlignment="1">
      <alignment horizontal="left" vertical="center"/>
    </xf>
    <xf numFmtId="0" fontId="63" fillId="0" borderId="45" xfId="3" applyFont="1" applyBorder="1" applyAlignment="1">
      <alignment horizontal="left" vertical="center" wrapText="1" indent="2"/>
    </xf>
    <xf numFmtId="0" fontId="63" fillId="0" borderId="22" xfId="3" applyFont="1" applyBorder="1" applyAlignment="1">
      <alignment horizontal="left" vertical="center" wrapText="1" indent="1"/>
    </xf>
    <xf numFmtId="0" fontId="53" fillId="0" borderId="0" xfId="3" applyFont="1" applyFill="1" applyBorder="1" applyAlignment="1">
      <alignment wrapText="1"/>
    </xf>
    <xf numFmtId="38" fontId="64" fillId="0" borderId="0" xfId="3" applyNumberFormat="1" applyFont="1" applyFill="1" applyBorder="1"/>
    <xf numFmtId="0" fontId="61" fillId="0" borderId="0" xfId="3" applyNumberFormat="1" applyFont="1" applyBorder="1" applyAlignment="1">
      <alignment horizontal="left" vertical="center" wrapText="1"/>
    </xf>
    <xf numFmtId="0" fontId="56" fillId="0" borderId="0" xfId="3" applyFont="1" applyBorder="1" applyAlignment="1">
      <alignment horizontal="left" vertical="center" wrapText="1"/>
    </xf>
    <xf numFmtId="0" fontId="56" fillId="0" borderId="0" xfId="3" applyFont="1" applyAlignment="1">
      <alignment horizontal="left"/>
    </xf>
    <xf numFmtId="0" fontId="56" fillId="0" borderId="0" xfId="3" applyFont="1" applyAlignment="1"/>
    <xf numFmtId="49" fontId="110" fillId="0" borderId="0" xfId="0" applyNumberFormat="1" applyFont="1" applyFill="1" applyBorder="1" applyAlignment="1">
      <alignment horizontal="centerContinuous" vertical="top"/>
    </xf>
    <xf numFmtId="0" fontId="54" fillId="0" borderId="0" xfId="0" applyFont="1" applyAlignment="1">
      <alignment horizontal="centerContinuous" vertical="top"/>
    </xf>
    <xf numFmtId="0" fontId="54" fillId="0" borderId="0" xfId="0" applyFont="1" applyAlignment="1">
      <alignment horizontal="centerContinuous" vertical="top" wrapText="1"/>
    </xf>
    <xf numFmtId="0" fontId="63" fillId="0" borderId="0" xfId="0" applyFont="1" applyBorder="1" applyAlignment="1">
      <alignment horizontal="centerContinuous" vertical="top"/>
    </xf>
    <xf numFmtId="0" fontId="54" fillId="0" borderId="0" xfId="0" applyFont="1" applyAlignment="1"/>
    <xf numFmtId="164" fontId="112" fillId="0" borderId="21" xfId="0" applyNumberFormat="1" applyFont="1" applyBorder="1" applyAlignment="1">
      <alignment vertical="top"/>
    </xf>
    <xf numFmtId="0" fontId="54" fillId="0" borderId="21" xfId="0" applyFont="1" applyBorder="1" applyAlignment="1">
      <alignment vertical="top"/>
    </xf>
    <xf numFmtId="0" fontId="61" fillId="0" borderId="14" xfId="0" applyFont="1" applyBorder="1"/>
    <xf numFmtId="0" fontId="54" fillId="0" borderId="21" xfId="0" applyFont="1" applyBorder="1" applyAlignment="1">
      <alignment vertical="top" wrapText="1"/>
    </xf>
    <xf numFmtId="0" fontId="56" fillId="0" borderId="14" xfId="0" applyFont="1" applyBorder="1" applyAlignment="1">
      <alignment wrapText="1"/>
    </xf>
    <xf numFmtId="0" fontId="54" fillId="0" borderId="17" xfId="0" applyFont="1" applyBorder="1" applyAlignment="1">
      <alignment horizontal="left" vertical="top"/>
    </xf>
    <xf numFmtId="164" fontId="112" fillId="0" borderId="0" xfId="0" applyNumberFormat="1" applyFont="1" applyBorder="1" applyAlignment="1">
      <alignment horizontal="right" vertical="top"/>
    </xf>
    <xf numFmtId="0" fontId="114" fillId="0" borderId="13" xfId="0" applyFont="1" applyBorder="1" applyAlignment="1">
      <alignment horizontal="right" vertical="top"/>
    </xf>
    <xf numFmtId="0" fontId="54" fillId="0" borderId="21" xfId="0" applyFont="1" applyBorder="1" applyAlignment="1">
      <alignment horizontal="left" vertical="top"/>
    </xf>
    <xf numFmtId="0" fontId="54" fillId="0" borderId="21" xfId="0" applyFont="1" applyBorder="1" applyAlignment="1">
      <alignment horizontal="left" vertical="top" indent="1"/>
    </xf>
    <xf numFmtId="0" fontId="84" fillId="0" borderId="2" xfId="0" applyFont="1" applyBorder="1" applyAlignment="1">
      <alignment vertical="top" wrapText="1"/>
    </xf>
    <xf numFmtId="0" fontId="54" fillId="0" borderId="14" xfId="0" applyFont="1" applyBorder="1" applyAlignment="1">
      <alignment horizontal="left" vertical="top" indent="1"/>
    </xf>
    <xf numFmtId="0" fontId="84" fillId="0" borderId="65" xfId="12" applyNumberFormat="1" applyFont="1" applyBorder="1" applyAlignment="1" applyProtection="1">
      <alignment vertical="center"/>
    </xf>
    <xf numFmtId="0" fontId="114" fillId="0" borderId="17" xfId="0" applyFont="1" applyBorder="1" applyAlignment="1">
      <alignment horizontal="right" vertical="top"/>
    </xf>
    <xf numFmtId="0" fontId="84" fillId="0" borderId="10" xfId="12" applyNumberFormat="1" applyFont="1" applyBorder="1" applyAlignment="1" applyProtection="1">
      <alignment vertical="center" wrapText="1"/>
    </xf>
    <xf numFmtId="0" fontId="112" fillId="0" borderId="21" xfId="0" applyNumberFormat="1" applyFont="1" applyBorder="1" applyAlignment="1">
      <alignment horizontal="left" vertical="center"/>
    </xf>
    <xf numFmtId="0" fontId="61" fillId="0" borderId="14" xfId="0" applyFont="1" applyBorder="1" applyAlignment="1">
      <alignment vertical="top" wrapText="1"/>
    </xf>
    <xf numFmtId="0" fontId="114" fillId="0" borderId="21" xfId="0" applyNumberFormat="1" applyFont="1" applyBorder="1" applyAlignment="1">
      <alignment horizontal="left" vertical="center"/>
    </xf>
    <xf numFmtId="0" fontId="84" fillId="0" borderId="2" xfId="0" applyNumberFormat="1" applyFont="1" applyBorder="1" applyAlignment="1" applyProtection="1">
      <alignment horizontal="left" vertical="center" wrapText="1"/>
    </xf>
    <xf numFmtId="0" fontId="54" fillId="0" borderId="14" xfId="0" applyFont="1" applyBorder="1" applyAlignment="1">
      <alignment horizontal="left" vertical="top" wrapText="1"/>
    </xf>
    <xf numFmtId="0" fontId="68" fillId="0" borderId="17" xfId="0" applyFont="1" applyBorder="1" applyAlignment="1"/>
    <xf numFmtId="0" fontId="112" fillId="0" borderId="21" xfId="0" applyFont="1" applyBorder="1" applyAlignment="1">
      <alignment vertical="top"/>
    </xf>
    <xf numFmtId="0" fontId="84" fillId="0" borderId="14" xfId="0" applyFont="1" applyBorder="1" applyAlignment="1">
      <alignment vertical="top" wrapText="1"/>
    </xf>
    <xf numFmtId="0" fontId="68" fillId="0" borderId="0" xfId="0" applyFont="1" applyAlignment="1"/>
    <xf numFmtId="0" fontId="68" fillId="0" borderId="13" xfId="0" applyFont="1" applyBorder="1" applyAlignment="1"/>
    <xf numFmtId="0" fontId="54" fillId="0" borderId="21" xfId="0" applyFont="1" applyBorder="1" applyAlignment="1">
      <alignment horizontal="left" vertical="top" wrapText="1" indent="1"/>
    </xf>
    <xf numFmtId="0" fontId="54" fillId="0" borderId="13" xfId="0" applyFont="1" applyBorder="1" applyAlignment="1">
      <alignment horizontal="left" vertical="top"/>
    </xf>
    <xf numFmtId="164" fontId="112" fillId="0" borderId="21" xfId="0" applyNumberFormat="1" applyFont="1" applyBorder="1" applyAlignment="1">
      <alignment horizontal="right" vertical="top"/>
    </xf>
    <xf numFmtId="164" fontId="114" fillId="0" borderId="21" xfId="0" applyNumberFormat="1" applyFont="1" applyBorder="1" applyAlignment="1">
      <alignment horizontal="right" vertical="center"/>
    </xf>
    <xf numFmtId="0" fontId="54" fillId="0" borderId="21" xfId="0" applyNumberFormat="1" applyFont="1" applyBorder="1" applyAlignment="1">
      <alignment horizontal="left" vertical="center" wrapText="1" indent="1"/>
    </xf>
    <xf numFmtId="0" fontId="84" fillId="0" borderId="2" xfId="0" applyFont="1" applyBorder="1" applyAlignment="1"/>
    <xf numFmtId="0" fontId="84" fillId="0" borderId="2" xfId="0" applyFont="1" applyBorder="1" applyAlignment="1">
      <alignment horizontal="left" vertical="top"/>
    </xf>
    <xf numFmtId="0" fontId="61" fillId="0" borderId="2" xfId="0" applyFont="1" applyBorder="1" applyAlignment="1">
      <alignment horizontal="left" vertical="top" wrapText="1"/>
    </xf>
    <xf numFmtId="0" fontId="84" fillId="0" borderId="2" xfId="0" applyFont="1" applyBorder="1" applyAlignment="1">
      <alignment horizontal="left" vertical="top" wrapText="1"/>
    </xf>
    <xf numFmtId="164" fontId="114" fillId="0" borderId="13" xfId="0" applyNumberFormat="1" applyFont="1" applyBorder="1" applyAlignment="1">
      <alignment horizontal="right" vertical="top"/>
    </xf>
    <xf numFmtId="0" fontId="61" fillId="0" borderId="14" xfId="0" applyFont="1" applyBorder="1" applyAlignment="1">
      <alignment horizontal="left" vertical="top" wrapText="1"/>
    </xf>
    <xf numFmtId="164" fontId="115" fillId="0" borderId="21" xfId="0" applyNumberFormat="1" applyFont="1" applyBorder="1" applyAlignment="1">
      <alignment horizontal="left" vertical="center"/>
    </xf>
    <xf numFmtId="0" fontId="112" fillId="0" borderId="21" xfId="0" applyFont="1" applyBorder="1" applyAlignment="1">
      <alignment horizontal="left" vertical="top"/>
    </xf>
    <xf numFmtId="0" fontId="84" fillId="0" borderId="2" xfId="0" applyFont="1" applyBorder="1" applyAlignment="1">
      <alignment horizontal="left"/>
    </xf>
    <xf numFmtId="0" fontId="84" fillId="0" borderId="2" xfId="0" applyFont="1" applyBorder="1"/>
    <xf numFmtId="0" fontId="54" fillId="0" borderId="0" xfId="0" applyFont="1" applyAlignment="1">
      <alignment horizontal="left" vertical="top"/>
    </xf>
    <xf numFmtId="0" fontId="54" fillId="0" borderId="21" xfId="0" applyFont="1" applyBorder="1" applyAlignment="1"/>
    <xf numFmtId="164" fontId="112" fillId="0" borderId="21" xfId="0" applyNumberFormat="1" applyFont="1" applyBorder="1" applyAlignment="1">
      <alignment vertical="center"/>
    </xf>
    <xf numFmtId="0" fontId="54" fillId="0" borderId="21" xfId="0" applyFont="1" applyBorder="1" applyAlignment="1">
      <alignment vertical="center"/>
    </xf>
    <xf numFmtId="0" fontId="61" fillId="0" borderId="153" xfId="0" applyFont="1" applyBorder="1"/>
    <xf numFmtId="0" fontId="54" fillId="0" borderId="13" xfId="0" applyFont="1" applyBorder="1"/>
    <xf numFmtId="0" fontId="54" fillId="0" borderId="126" xfId="0" applyFont="1" applyBorder="1" applyAlignment="1">
      <alignment horizontal="left" vertical="top"/>
    </xf>
    <xf numFmtId="164" fontId="112" fillId="0" borderId="129" xfId="0" applyNumberFormat="1" applyFont="1" applyBorder="1" applyAlignment="1">
      <alignment horizontal="right" vertical="top"/>
    </xf>
    <xf numFmtId="0" fontId="54" fillId="0" borderId="129" xfId="0" applyNumberFormat="1" applyFont="1" applyBorder="1" applyAlignment="1">
      <alignment horizontal="left" vertical="center" wrapText="1" indent="1"/>
    </xf>
    <xf numFmtId="0" fontId="84" fillId="0" borderId="128" xfId="0" applyFont="1" applyBorder="1" applyAlignment="1">
      <alignment horizontal="left" vertical="center" wrapText="1"/>
    </xf>
    <xf numFmtId="0" fontId="54" fillId="0" borderId="129" xfId="0" applyFont="1" applyBorder="1" applyAlignment="1">
      <alignment horizontal="left" vertical="top"/>
    </xf>
    <xf numFmtId="0" fontId="54" fillId="0" borderId="0" xfId="0" applyFont="1" applyBorder="1" applyAlignment="1">
      <alignment vertical="top"/>
    </xf>
    <xf numFmtId="0" fontId="114" fillId="0" borderId="129" xfId="0" applyNumberFormat="1" applyFont="1" applyBorder="1" applyAlignment="1">
      <alignment horizontal="left" vertical="center"/>
    </xf>
    <xf numFmtId="0" fontId="112" fillId="0" borderId="129" xfId="0" applyFont="1" applyBorder="1" applyAlignment="1">
      <alignment vertical="top"/>
    </xf>
    <xf numFmtId="0" fontId="112" fillId="0" borderId="129" xfId="0" applyFont="1" applyBorder="1" applyAlignment="1">
      <alignment horizontal="left" vertical="top"/>
    </xf>
    <xf numFmtId="0" fontId="54" fillId="0" borderId="126" xfId="0" applyFont="1" applyBorder="1" applyAlignment="1"/>
    <xf numFmtId="164" fontId="112" fillId="0" borderId="129" xfId="0" applyNumberFormat="1" applyFont="1" applyBorder="1" applyAlignment="1"/>
    <xf numFmtId="0" fontId="54" fillId="0" borderId="129" xfId="0" applyFont="1" applyBorder="1" applyAlignment="1"/>
    <xf numFmtId="0" fontId="61" fillId="0" borderId="127" xfId="0" applyFont="1" applyBorder="1" applyAlignment="1"/>
    <xf numFmtId="0" fontId="82" fillId="0" borderId="12" xfId="0" applyFont="1" applyBorder="1" applyAlignment="1">
      <alignment horizontal="left"/>
    </xf>
    <xf numFmtId="0" fontId="59" fillId="0" borderId="16" xfId="0" applyFont="1" applyBorder="1" applyAlignment="1">
      <alignment horizontal="left" vertical="center" indent="1"/>
    </xf>
    <xf numFmtId="0" fontId="58" fillId="0" borderId="16" xfId="0" applyFont="1" applyBorder="1" applyAlignment="1">
      <alignment horizontal="left" vertical="center"/>
    </xf>
    <xf numFmtId="0" fontId="67" fillId="0" borderId="10" xfId="0" applyFont="1" applyBorder="1" applyAlignment="1">
      <alignment horizontal="left" vertical="center"/>
    </xf>
    <xf numFmtId="49" fontId="82" fillId="0" borderId="12" xfId="0" applyNumberFormat="1" applyFont="1" applyFill="1" applyBorder="1" applyAlignment="1">
      <alignment horizontal="left" vertical="center"/>
    </xf>
    <xf numFmtId="49" fontId="54" fillId="0" borderId="16" xfId="0" applyNumberFormat="1" applyFont="1" applyFill="1" applyBorder="1" applyAlignment="1">
      <alignment horizontal="left" vertical="center"/>
    </xf>
    <xf numFmtId="0" fontId="54" fillId="0" borderId="16" xfId="0" applyFont="1" applyFill="1" applyBorder="1" applyAlignment="1" applyProtection="1">
      <alignment horizontal="left" vertical="center"/>
    </xf>
    <xf numFmtId="0" fontId="61" fillId="0" borderId="155" xfId="0" applyFont="1" applyFill="1" applyBorder="1" applyAlignment="1" applyProtection="1">
      <alignment horizontal="left" vertical="center"/>
      <protection locked="0"/>
    </xf>
    <xf numFmtId="49" fontId="82" fillId="0" borderId="17" xfId="0" applyNumberFormat="1" applyFont="1" applyFill="1" applyBorder="1" applyAlignment="1">
      <alignment horizontal="left" vertical="center"/>
    </xf>
    <xf numFmtId="49" fontId="54" fillId="0" borderId="0" xfId="0" applyNumberFormat="1" applyFont="1" applyFill="1" applyBorder="1" applyAlignment="1">
      <alignment horizontal="left" vertical="center"/>
    </xf>
    <xf numFmtId="0" fontId="54" fillId="0" borderId="0" xfId="0" applyFont="1" applyFill="1" applyBorder="1" applyAlignment="1">
      <alignment horizontal="left" vertical="center"/>
    </xf>
    <xf numFmtId="0" fontId="61" fillId="0" borderId="63" xfId="0" applyFont="1" applyFill="1" applyBorder="1" applyAlignment="1">
      <alignment horizontal="left" vertical="center"/>
    </xf>
    <xf numFmtId="0" fontId="54" fillId="0" borderId="55" xfId="0" applyFont="1" applyFill="1" applyBorder="1" applyAlignment="1">
      <alignment horizontal="left" vertical="center"/>
    </xf>
    <xf numFmtId="0" fontId="54" fillId="0" borderId="24" xfId="0" applyFont="1" applyFill="1" applyBorder="1" applyAlignment="1">
      <alignment horizontal="left" vertical="center"/>
    </xf>
    <xf numFmtId="0" fontId="54" fillId="0" borderId="24" xfId="0" applyFont="1" applyFill="1" applyBorder="1" applyAlignment="1">
      <alignment horizontal="left" vertical="center" indent="2"/>
    </xf>
    <xf numFmtId="0" fontId="63" fillId="0" borderId="64" xfId="0" applyFont="1" applyFill="1" applyBorder="1" applyAlignment="1">
      <alignment horizontal="left" vertical="center"/>
    </xf>
    <xf numFmtId="0" fontId="53" fillId="0" borderId="126" xfId="0" applyFont="1" applyFill="1" applyBorder="1" applyAlignment="1"/>
    <xf numFmtId="0" fontId="53" fillId="0" borderId="129" xfId="0" applyFont="1" applyFill="1" applyBorder="1" applyAlignment="1">
      <alignment horizontal="left" vertical="top"/>
    </xf>
    <xf numFmtId="0" fontId="53" fillId="0" borderId="127" xfId="0" applyFont="1" applyFill="1" applyBorder="1" applyAlignment="1">
      <alignment horizontal="left"/>
    </xf>
    <xf numFmtId="0" fontId="53" fillId="0" borderId="0" xfId="0" applyFont="1" applyAlignment="1"/>
    <xf numFmtId="0" fontId="54" fillId="0" borderId="0" xfId="0" applyFont="1" applyAlignment="1">
      <alignment horizontal="left"/>
    </xf>
    <xf numFmtId="0" fontId="53" fillId="0" borderId="127" xfId="0" applyFont="1" applyFill="1" applyBorder="1" applyAlignment="1">
      <alignment horizontal="center" vertical="center"/>
    </xf>
    <xf numFmtId="0" fontId="115" fillId="0" borderId="21" xfId="0" applyFont="1" applyBorder="1" applyAlignment="1">
      <alignment horizontal="left" vertical="top" wrapText="1"/>
    </xf>
    <xf numFmtId="0" fontId="56" fillId="0" borderId="0" xfId="3" applyNumberFormat="1" applyFont="1" applyAlignment="1" applyProtection="1">
      <alignment horizontal="centerContinuous"/>
    </xf>
    <xf numFmtId="0" fontId="56" fillId="0" borderId="0" xfId="3" applyNumberFormat="1" applyFont="1" applyBorder="1" applyAlignment="1" applyProtection="1">
      <alignment horizontal="center"/>
    </xf>
    <xf numFmtId="0" fontId="64" fillId="0" borderId="0" xfId="3" applyNumberFormat="1" applyFont="1" applyAlignment="1" applyProtection="1">
      <alignment horizontal="centerContinuous"/>
    </xf>
    <xf numFmtId="0" fontId="63" fillId="0" borderId="0" xfId="3" applyNumberFormat="1" applyFont="1" applyAlignment="1" applyProtection="1">
      <alignment horizontal="right" vertical="center" textRotation="180"/>
    </xf>
    <xf numFmtId="0" fontId="63" fillId="0" borderId="0" xfId="3" applyNumberFormat="1" applyFont="1" applyAlignment="1" applyProtection="1">
      <alignment vertical="center" textRotation="180"/>
    </xf>
    <xf numFmtId="0" fontId="56" fillId="0" borderId="0" xfId="3" applyNumberFormat="1" applyFont="1" applyProtection="1"/>
    <xf numFmtId="0" fontId="56" fillId="0" borderId="9" xfId="3" applyNumberFormat="1" applyFont="1" applyBorder="1" applyProtection="1"/>
    <xf numFmtId="0" fontId="56" fillId="0" borderId="9" xfId="3" applyNumberFormat="1" applyFont="1" applyBorder="1" applyAlignment="1" applyProtection="1">
      <alignment horizontal="center"/>
    </xf>
    <xf numFmtId="0" fontId="61" fillId="0" borderId="0" xfId="3" applyNumberFormat="1" applyFont="1" applyProtection="1"/>
    <xf numFmtId="0" fontId="54" fillId="0" borderId="144" xfId="3" quotePrefix="1" applyNumberFormat="1" applyFont="1" applyBorder="1" applyAlignment="1" applyProtection="1">
      <alignment horizontal="left"/>
    </xf>
    <xf numFmtId="0" fontId="61" fillId="0" borderId="145" xfId="3" applyNumberFormat="1" applyFont="1" applyBorder="1" applyAlignment="1" applyProtection="1">
      <alignment horizontal="center"/>
    </xf>
    <xf numFmtId="0" fontId="61" fillId="0" borderId="145" xfId="3" applyNumberFormat="1" applyFont="1" applyBorder="1" applyProtection="1"/>
    <xf numFmtId="0" fontId="54" fillId="0" borderId="144" xfId="3" applyNumberFormat="1" applyFont="1" applyBorder="1" applyAlignment="1" applyProtection="1"/>
    <xf numFmtId="0" fontId="61" fillId="0" borderId="146" xfId="3" applyNumberFormat="1" applyFont="1" applyBorder="1" applyAlignment="1" applyProtection="1">
      <alignment horizontal="centerContinuous"/>
    </xf>
    <xf numFmtId="0" fontId="54" fillId="0" borderId="144" xfId="3" applyNumberFormat="1" applyFont="1" applyBorder="1" applyAlignment="1" applyProtection="1">
      <alignment horizontal="left"/>
    </xf>
    <xf numFmtId="0" fontId="61" fillId="0" borderId="146" xfId="3" applyNumberFormat="1" applyFont="1" applyBorder="1" applyProtection="1"/>
    <xf numFmtId="0" fontId="61" fillId="0" borderId="145" xfId="3" quotePrefix="1" applyNumberFormat="1" applyFont="1" applyBorder="1" applyAlignment="1" applyProtection="1">
      <alignment horizontal="left"/>
    </xf>
    <xf numFmtId="0" fontId="54" fillId="0" borderId="5" xfId="3" quotePrefix="1" applyNumberFormat="1" applyFont="1" applyBorder="1" applyAlignment="1" applyProtection="1">
      <alignment horizontal="left"/>
    </xf>
    <xf numFmtId="0" fontId="61" fillId="0" borderId="0" xfId="3" applyNumberFormat="1" applyFont="1" applyBorder="1" applyProtection="1"/>
    <xf numFmtId="0" fontId="61" fillId="0" borderId="40" xfId="3" applyNumberFormat="1" applyFont="1" applyBorder="1" applyProtection="1"/>
    <xf numFmtId="0" fontId="54" fillId="0" borderId="5" xfId="3" applyNumberFormat="1" applyFont="1" applyBorder="1" applyProtection="1"/>
    <xf numFmtId="0" fontId="64" fillId="0" borderId="0" xfId="3" applyNumberFormat="1" applyFont="1" applyBorder="1" applyProtection="1"/>
    <xf numFmtId="0" fontId="54" fillId="0" borderId="144" xfId="3" applyNumberFormat="1" applyFont="1" applyBorder="1" applyProtection="1"/>
    <xf numFmtId="0" fontId="56" fillId="0" borderId="0" xfId="3" applyNumberFormat="1" applyFont="1" applyBorder="1" applyProtection="1"/>
    <xf numFmtId="0" fontId="53" fillId="0" borderId="0" xfId="3" applyNumberFormat="1" applyFont="1" applyAlignment="1" applyProtection="1">
      <alignment horizontal="left"/>
    </xf>
    <xf numFmtId="0" fontId="64" fillId="0" borderId="0" xfId="3" applyNumberFormat="1" applyFont="1" applyAlignment="1" applyProtection="1">
      <alignment horizontal="left"/>
    </xf>
    <xf numFmtId="0" fontId="56" fillId="0" borderId="1" xfId="3" applyNumberFormat="1" applyFont="1" applyBorder="1" applyAlignment="1" applyProtection="1">
      <alignment horizontal="center" vertical="center"/>
      <protection locked="0"/>
    </xf>
    <xf numFmtId="0" fontId="54" fillId="0" borderId="0" xfId="3" applyNumberFormat="1" applyFont="1" applyBorder="1" applyAlignment="1" applyProtection="1">
      <alignment vertical="center"/>
    </xf>
    <xf numFmtId="0" fontId="61" fillId="0" borderId="0" xfId="3" applyNumberFormat="1" applyFont="1" applyBorder="1" applyAlignment="1" applyProtection="1">
      <alignment horizontal="center"/>
    </xf>
    <xf numFmtId="0" fontId="70" fillId="0" borderId="0" xfId="3" applyNumberFormat="1" applyFont="1" applyAlignment="1" applyProtection="1">
      <alignment vertical="center"/>
    </xf>
    <xf numFmtId="0" fontId="63" fillId="0" borderId="0" xfId="3" applyNumberFormat="1" applyFont="1" applyBorder="1" applyProtection="1"/>
    <xf numFmtId="0" fontId="54" fillId="0" borderId="0" xfId="3" applyNumberFormat="1" applyFont="1" applyAlignment="1" applyProtection="1">
      <alignment vertical="center"/>
    </xf>
    <xf numFmtId="0" fontId="63" fillId="0" borderId="0" xfId="3" applyNumberFormat="1" applyFont="1" applyProtection="1"/>
    <xf numFmtId="0" fontId="64" fillId="0" borderId="0" xfId="3" applyNumberFormat="1" applyFont="1" applyProtection="1"/>
    <xf numFmtId="0" fontId="54" fillId="0" borderId="0" xfId="3" applyNumberFormat="1" applyFont="1" applyBorder="1" applyProtection="1"/>
    <xf numFmtId="0" fontId="56" fillId="0" borderId="77" xfId="3" applyNumberFormat="1" applyFont="1" applyBorder="1" applyAlignment="1" applyProtection="1">
      <alignment horizontal="center"/>
    </xf>
    <xf numFmtId="0" fontId="54" fillId="0" borderId="0" xfId="3" applyNumberFormat="1" applyFont="1" applyProtection="1"/>
    <xf numFmtId="0" fontId="61" fillId="0" borderId="0" xfId="3" quotePrefix="1" applyNumberFormat="1" applyFont="1" applyAlignment="1" applyProtection="1">
      <alignment horizontal="left"/>
    </xf>
    <xf numFmtId="0" fontId="53" fillId="0" borderId="0" xfId="3" applyNumberFormat="1" applyFont="1" applyProtection="1"/>
    <xf numFmtId="0" fontId="54" fillId="0" borderId="0" xfId="3" applyFont="1"/>
    <xf numFmtId="0" fontId="53" fillId="0" borderId="0" xfId="3" applyFont="1" applyAlignment="1">
      <alignment horizontal="center" vertical="center"/>
    </xf>
    <xf numFmtId="0" fontId="56" fillId="0" borderId="0" xfId="3" applyFont="1" applyAlignment="1">
      <alignment horizontal="center" vertical="center"/>
    </xf>
    <xf numFmtId="164" fontId="61" fillId="0" borderId="0" xfId="3" applyNumberFormat="1" applyFont="1"/>
    <xf numFmtId="0" fontId="63" fillId="0" borderId="0" xfId="3" applyFont="1"/>
    <xf numFmtId="164" fontId="63" fillId="0" borderId="0" xfId="3" applyNumberFormat="1" applyFont="1" applyAlignment="1">
      <alignment horizontal="right"/>
    </xf>
    <xf numFmtId="49" fontId="61" fillId="0" borderId="0" xfId="3" applyNumberFormat="1" applyFont="1"/>
    <xf numFmtId="0" fontId="61" fillId="0" borderId="0" xfId="3" applyFont="1"/>
    <xf numFmtId="0" fontId="67" fillId="0" borderId="0" xfId="3" applyFont="1"/>
    <xf numFmtId="164" fontId="67" fillId="0" borderId="0" xfId="3" applyNumberFormat="1" applyFont="1" applyAlignment="1">
      <alignment horizontal="right"/>
    </xf>
    <xf numFmtId="0" fontId="63" fillId="0" borderId="22" xfId="3" applyFont="1" applyBorder="1" applyAlignment="1" applyProtection="1">
      <alignment horizontal="center"/>
      <protection locked="0"/>
    </xf>
    <xf numFmtId="164" fontId="61" fillId="0" borderId="0" xfId="3" applyNumberFormat="1" applyFont="1" applyBorder="1" applyAlignment="1">
      <alignment horizontal="right"/>
    </xf>
    <xf numFmtId="49" fontId="67" fillId="0" borderId="0" xfId="3" applyNumberFormat="1" applyFont="1" applyAlignment="1"/>
    <xf numFmtId="0" fontId="61" fillId="0" borderId="0" xfId="3" applyFont="1" applyAlignment="1"/>
    <xf numFmtId="0" fontId="63" fillId="0" borderId="148" xfId="3" applyFont="1" applyBorder="1" applyAlignment="1" applyProtection="1">
      <alignment horizontal="center"/>
      <protection locked="0"/>
    </xf>
    <xf numFmtId="49" fontId="61" fillId="0" borderId="0" xfId="3" applyNumberFormat="1" applyFont="1" applyAlignment="1"/>
    <xf numFmtId="0" fontId="61" fillId="0" borderId="0" xfId="3" applyFont="1" applyAlignment="1">
      <alignment horizontal="center"/>
    </xf>
    <xf numFmtId="164" fontId="61" fillId="0" borderId="0" xfId="3" applyNumberFormat="1" applyFont="1" applyAlignment="1">
      <alignment horizontal="right"/>
    </xf>
    <xf numFmtId="49" fontId="63" fillId="0" borderId="0" xfId="3" applyNumberFormat="1" applyFont="1" applyAlignment="1"/>
    <xf numFmtId="49" fontId="61" fillId="0" borderId="0" xfId="3" applyNumberFormat="1" applyFont="1" applyFill="1" applyAlignment="1"/>
    <xf numFmtId="49" fontId="61" fillId="0" borderId="0" xfId="3" applyNumberFormat="1" applyFont="1" applyFill="1" applyBorder="1" applyAlignment="1"/>
    <xf numFmtId="49" fontId="116" fillId="0" borderId="0" xfId="15" applyNumberFormat="1" applyFont="1"/>
    <xf numFmtId="49" fontId="61" fillId="0" borderId="0" xfId="3" applyNumberFormat="1" applyFont="1" applyFill="1" applyBorder="1"/>
    <xf numFmtId="0" fontId="61" fillId="0" borderId="0" xfId="3" applyFont="1" applyBorder="1" applyAlignment="1">
      <alignment horizontal="center"/>
    </xf>
    <xf numFmtId="0" fontId="97" fillId="0" borderId="0" xfId="3" applyFont="1" applyAlignment="1">
      <alignment horizontal="center"/>
    </xf>
    <xf numFmtId="164" fontId="97" fillId="0" borderId="0" xfId="3" applyNumberFormat="1" applyFont="1" applyAlignment="1">
      <alignment horizontal="right"/>
    </xf>
    <xf numFmtId="0" fontId="67" fillId="0" borderId="22" xfId="3" applyFont="1" applyBorder="1" applyAlignment="1" applyProtection="1">
      <alignment horizontal="center"/>
      <protection locked="0"/>
    </xf>
    <xf numFmtId="0" fontId="97" fillId="0" borderId="0" xfId="3" applyFont="1" applyBorder="1" applyAlignment="1">
      <alignment horizontal="center"/>
    </xf>
    <xf numFmtId="0" fontId="61" fillId="0" borderId="0" xfId="16" applyFont="1" applyFill="1" applyBorder="1" applyAlignment="1">
      <alignment horizontal="left"/>
    </xf>
    <xf numFmtId="164" fontId="63" fillId="0" borderId="22" xfId="3" applyNumberFormat="1" applyFont="1" applyBorder="1" applyAlignment="1" applyProtection="1">
      <alignment horizontal="center" vertical="center"/>
      <protection locked="0"/>
    </xf>
    <xf numFmtId="49" fontId="55" fillId="0" borderId="0" xfId="2" applyNumberFormat="1" applyFont="1" applyAlignment="1" applyProtection="1">
      <alignment horizontal="left" indent="2"/>
    </xf>
    <xf numFmtId="49" fontId="61" fillId="0" borderId="0" xfId="3" applyNumberFormat="1" applyFont="1" applyFill="1"/>
    <xf numFmtId="49" fontId="63" fillId="0" borderId="0" xfId="3" applyNumberFormat="1" applyFont="1" applyFill="1" applyBorder="1"/>
    <xf numFmtId="49" fontId="63" fillId="0" borderId="0" xfId="3" applyNumberFormat="1" applyFont="1"/>
    <xf numFmtId="49" fontId="67" fillId="0" borderId="0" xfId="3" applyNumberFormat="1" applyFont="1"/>
    <xf numFmtId="0" fontId="61" fillId="0" borderId="0" xfId="3" applyFont="1" applyBorder="1" applyAlignment="1" applyProtection="1">
      <alignment horizontal="center"/>
    </xf>
    <xf numFmtId="49" fontId="67" fillId="0" borderId="0" xfId="3" applyNumberFormat="1" applyFont="1" applyFill="1" applyBorder="1"/>
    <xf numFmtId="49" fontId="117" fillId="0" borderId="0" xfId="3" applyNumberFormat="1" applyFont="1" applyFill="1" applyBorder="1"/>
    <xf numFmtId="49" fontId="67" fillId="0" borderId="0" xfId="3" applyNumberFormat="1" applyFont="1" applyAlignment="1">
      <alignment vertical="top"/>
    </xf>
    <xf numFmtId="0" fontId="61" fillId="0" borderId="145" xfId="3" applyFont="1" applyBorder="1" applyAlignment="1" applyProtection="1">
      <alignment horizontal="center"/>
    </xf>
    <xf numFmtId="49" fontId="61" fillId="0" borderId="0" xfId="3" applyNumberFormat="1" applyFont="1" applyAlignment="1">
      <alignment vertical="top"/>
    </xf>
    <xf numFmtId="0" fontId="63" fillId="0" borderId="9" xfId="3" applyFont="1" applyBorder="1" applyAlignment="1" applyProtection="1">
      <alignment horizontal="center"/>
      <protection locked="0"/>
    </xf>
    <xf numFmtId="0" fontId="61" fillId="0" borderId="0" xfId="3" applyFont="1" applyBorder="1" applyProtection="1"/>
    <xf numFmtId="0" fontId="56" fillId="0" borderId="0" xfId="3" applyFont="1" applyAlignment="1" applyProtection="1">
      <alignment horizontal="center"/>
    </xf>
    <xf numFmtId="42" fontId="56" fillId="0" borderId="0" xfId="3" applyNumberFormat="1" applyFont="1" applyProtection="1"/>
    <xf numFmtId="0" fontId="64" fillId="0" borderId="0" xfId="3" applyFont="1" applyProtection="1"/>
    <xf numFmtId="0" fontId="56" fillId="0" borderId="0" xfId="13" applyFont="1" applyBorder="1" applyProtection="1"/>
    <xf numFmtId="0" fontId="56" fillId="0" borderId="0" xfId="13" applyFont="1" applyBorder="1" applyAlignment="1" applyProtection="1">
      <alignment horizontal="center"/>
    </xf>
    <xf numFmtId="42" fontId="56" fillId="2" borderId="9" xfId="3" applyNumberFormat="1" applyFont="1" applyFill="1" applyBorder="1" applyProtection="1"/>
    <xf numFmtId="41" fontId="56" fillId="2" borderId="9" xfId="3" applyNumberFormat="1" applyFont="1" applyFill="1" applyBorder="1" applyProtection="1"/>
    <xf numFmtId="0" fontId="64" fillId="0" borderId="0" xfId="3" applyFont="1" applyAlignment="1" applyProtection="1">
      <alignment horizontal="left" indent="2"/>
    </xf>
    <xf numFmtId="42" fontId="56" fillId="2" borderId="47" xfId="3" applyNumberFormat="1" applyFont="1" applyFill="1" applyBorder="1" applyProtection="1"/>
    <xf numFmtId="0" fontId="74" fillId="0" borderId="0" xfId="3" applyFont="1" applyProtection="1"/>
    <xf numFmtId="42" fontId="56" fillId="0" borderId="69" xfId="3" applyNumberFormat="1" applyFont="1" applyBorder="1" applyProtection="1">
      <protection locked="0"/>
    </xf>
    <xf numFmtId="42" fontId="56" fillId="0" borderId="0" xfId="3" applyNumberFormat="1" applyFont="1" applyFill="1" applyProtection="1"/>
    <xf numFmtId="42" fontId="56" fillId="0" borderId="9" xfId="3" applyNumberFormat="1" applyFont="1" applyBorder="1" applyProtection="1">
      <protection locked="0"/>
    </xf>
    <xf numFmtId="42" fontId="56" fillId="0" borderId="68" xfId="3" applyNumberFormat="1" applyFont="1" applyBorder="1" applyProtection="1">
      <protection locked="0"/>
    </xf>
    <xf numFmtId="0" fontId="56" fillId="0" borderId="0" xfId="3" applyFont="1" applyAlignment="1" applyProtection="1">
      <alignment horizontal="right"/>
    </xf>
    <xf numFmtId="42" fontId="56" fillId="2" borderId="129" xfId="3" applyNumberFormat="1" applyFont="1" applyFill="1" applyBorder="1" applyProtection="1"/>
    <xf numFmtId="0" fontId="64" fillId="0" borderId="0" xfId="3" applyFont="1" applyAlignment="1" applyProtection="1">
      <alignment horizontal="center" vertical="center"/>
    </xf>
    <xf numFmtId="165" fontId="64" fillId="0" borderId="0" xfId="3" applyNumberFormat="1" applyFont="1" applyAlignment="1" applyProtection="1">
      <alignment vertical="center"/>
    </xf>
    <xf numFmtId="0" fontId="53" fillId="0" borderId="0" xfId="3" applyFont="1" applyProtection="1"/>
    <xf numFmtId="0" fontId="53" fillId="0" borderId="0" xfId="3" applyFont="1" applyFill="1" applyProtection="1"/>
    <xf numFmtId="0" fontId="56" fillId="0" borderId="0" xfId="3" applyFont="1" applyFill="1" applyProtection="1"/>
    <xf numFmtId="169" fontId="54" fillId="0" borderId="0" xfId="3" applyNumberFormat="1" applyFont="1" applyFill="1" applyProtection="1"/>
    <xf numFmtId="0" fontId="54" fillId="0" borderId="0" xfId="3" applyFont="1" applyFill="1" applyProtection="1"/>
    <xf numFmtId="0" fontId="56" fillId="0" borderId="9" xfId="3" applyFont="1" applyFill="1" applyBorder="1" applyAlignment="1" applyProtection="1">
      <alignment horizontal="center" vertical="center"/>
      <protection locked="0"/>
    </xf>
    <xf numFmtId="0" fontId="54" fillId="0" borderId="0" xfId="3" applyFont="1" applyProtection="1"/>
    <xf numFmtId="0" fontId="54" fillId="0" borderId="147" xfId="3" applyFont="1" applyBorder="1" applyProtection="1"/>
    <xf numFmtId="0" fontId="54" fillId="0" borderId="148" xfId="3" applyFont="1" applyBorder="1" applyProtection="1">
      <protection locked="0"/>
    </xf>
    <xf numFmtId="0" fontId="54" fillId="0" borderId="147" xfId="3" applyFont="1" applyBorder="1" applyAlignment="1" applyProtection="1">
      <alignment horizontal="center"/>
      <protection locked="0"/>
    </xf>
    <xf numFmtId="0" fontId="64" fillId="0" borderId="0" xfId="3" applyFont="1" applyAlignment="1" applyProtection="1">
      <alignment horizontal="center"/>
    </xf>
    <xf numFmtId="0" fontId="53" fillId="0" borderId="0" xfId="3" applyFont="1" applyBorder="1" applyProtection="1"/>
    <xf numFmtId="5" fontId="54" fillId="0" borderId="76" xfId="3" applyNumberFormat="1" applyFont="1" applyBorder="1" applyAlignment="1" applyProtection="1">
      <protection locked="0"/>
    </xf>
    <xf numFmtId="5" fontId="64" fillId="0" borderId="0" xfId="3" applyNumberFormat="1" applyFont="1" applyAlignment="1" applyProtection="1"/>
    <xf numFmtId="0" fontId="64" fillId="0" borderId="0" xfId="3" applyFont="1" applyAlignment="1" applyProtection="1"/>
    <xf numFmtId="5" fontId="54" fillId="0" borderId="78" xfId="3" applyNumberFormat="1" applyFont="1" applyBorder="1" applyAlignment="1" applyProtection="1">
      <alignment horizontal="center"/>
      <protection locked="0"/>
    </xf>
    <xf numFmtId="5" fontId="54" fillId="0" borderId="76" xfId="3" applyNumberFormat="1" applyFont="1" applyBorder="1" applyAlignment="1" applyProtection="1">
      <alignment horizontal="center"/>
      <protection locked="0"/>
    </xf>
    <xf numFmtId="0" fontId="64" fillId="0" borderId="0" xfId="3" applyFont="1" applyBorder="1" applyProtection="1"/>
    <xf numFmtId="0" fontId="61" fillId="0" borderId="0" xfId="3" applyFont="1" applyAlignment="1" applyProtection="1">
      <alignment vertical="top"/>
    </xf>
    <xf numFmtId="0" fontId="61" fillId="0" borderId="78" xfId="3" applyFont="1" applyBorder="1" applyAlignment="1" applyProtection="1">
      <alignment vertical="top"/>
    </xf>
    <xf numFmtId="0" fontId="56" fillId="0" borderId="78" xfId="3" applyFont="1" applyBorder="1" applyProtection="1"/>
    <xf numFmtId="0" fontId="61" fillId="0" borderId="0" xfId="3" applyFont="1" applyBorder="1" applyAlignment="1" applyProtection="1">
      <alignment vertical="top"/>
    </xf>
    <xf numFmtId="0" fontId="118" fillId="0" borderId="0" xfId="3" applyFont="1" applyAlignment="1" applyProtection="1">
      <alignment vertical="top"/>
    </xf>
    <xf numFmtId="0" fontId="61" fillId="0" borderId="0" xfId="3" applyFont="1" applyProtection="1"/>
    <xf numFmtId="0" fontId="118" fillId="0" borderId="0" xfId="3" applyFont="1" applyAlignment="1" applyProtection="1">
      <alignment horizontal="right" vertical="top"/>
    </xf>
    <xf numFmtId="0" fontId="71" fillId="0" borderId="0" xfId="3" applyFont="1" applyAlignment="1" applyProtection="1">
      <alignment horizontal="center" vertical="center"/>
    </xf>
    <xf numFmtId="0" fontId="56" fillId="0" borderId="45" xfId="3" applyFont="1" applyBorder="1" applyProtection="1"/>
    <xf numFmtId="169" fontId="63" fillId="0" borderId="45" xfId="3" applyNumberFormat="1" applyFont="1" applyBorder="1" applyAlignment="1" applyProtection="1">
      <alignment horizontal="center"/>
    </xf>
    <xf numFmtId="1" fontId="63" fillId="0" borderId="146" xfId="3" applyNumberFormat="1" applyFont="1" applyBorder="1" applyAlignment="1" applyProtection="1">
      <alignment horizontal="center"/>
    </xf>
    <xf numFmtId="0" fontId="63" fillId="0" borderId="145" xfId="3" applyFont="1" applyBorder="1" applyAlignment="1" applyProtection="1">
      <alignment horizontal="centerContinuous"/>
    </xf>
    <xf numFmtId="0" fontId="63" fillId="0" borderId="146" xfId="3" applyFont="1" applyBorder="1" applyAlignment="1" applyProtection="1">
      <alignment horizontal="centerContinuous"/>
    </xf>
    <xf numFmtId="0" fontId="63" fillId="0" borderId="73" xfId="3" applyFont="1" applyBorder="1" applyAlignment="1" applyProtection="1">
      <alignment horizontal="centerContinuous"/>
    </xf>
    <xf numFmtId="0" fontId="63" fillId="0" borderId="45" xfId="3" applyFont="1" applyBorder="1" applyAlignment="1" applyProtection="1">
      <alignment horizontal="center"/>
    </xf>
    <xf numFmtId="0" fontId="63" fillId="5" borderId="45" xfId="3" applyFont="1" applyFill="1" applyBorder="1" applyAlignment="1" applyProtection="1">
      <alignment horizontal="center"/>
    </xf>
    <xf numFmtId="0" fontId="63" fillId="5" borderId="146" xfId="3" applyFont="1" applyFill="1" applyBorder="1" applyAlignment="1" applyProtection="1">
      <alignment horizontal="center"/>
    </xf>
    <xf numFmtId="0" fontId="63" fillId="0" borderId="5" xfId="3" applyFont="1" applyBorder="1" applyAlignment="1" applyProtection="1">
      <alignment horizontal="left"/>
    </xf>
    <xf numFmtId="169" fontId="63" fillId="0" borderId="44" xfId="3" applyNumberFormat="1" applyFont="1" applyBorder="1" applyAlignment="1" applyProtection="1">
      <alignment horizontal="center"/>
    </xf>
    <xf numFmtId="1" fontId="63" fillId="0" borderId="40" xfId="3" applyNumberFormat="1" applyFont="1" applyBorder="1" applyAlignment="1" applyProtection="1">
      <alignment horizontal="center"/>
    </xf>
    <xf numFmtId="0" fontId="63" fillId="0" borderId="0" xfId="3" applyFont="1" applyBorder="1" applyAlignment="1" applyProtection="1">
      <alignment horizontal="centerContinuous"/>
    </xf>
    <xf numFmtId="0" fontId="63" fillId="0" borderId="40" xfId="3" applyFont="1" applyBorder="1" applyAlignment="1" applyProtection="1">
      <alignment horizontal="centerContinuous"/>
    </xf>
    <xf numFmtId="0" fontId="63" fillId="21" borderId="72" xfId="3" applyFont="1" applyFill="1" applyBorder="1" applyAlignment="1" applyProtection="1">
      <alignment horizontal="center"/>
    </xf>
    <xf numFmtId="0" fontId="63" fillId="22" borderId="72" xfId="3" applyFont="1" applyFill="1" applyBorder="1" applyAlignment="1" applyProtection="1">
      <alignment horizontal="center"/>
    </xf>
    <xf numFmtId="0" fontId="63" fillId="0" borderId="72" xfId="3" applyFont="1" applyBorder="1" applyAlignment="1" applyProtection="1">
      <alignment horizontal="center"/>
    </xf>
    <xf numFmtId="0" fontId="63" fillId="5" borderId="72" xfId="3" applyFont="1" applyFill="1" applyBorder="1" applyAlignment="1" applyProtection="1">
      <alignment horizontal="center"/>
    </xf>
    <xf numFmtId="0" fontId="63" fillId="5" borderId="40" xfId="3" applyFont="1" applyFill="1" applyBorder="1" applyAlignment="1" applyProtection="1">
      <alignment horizontal="center"/>
    </xf>
    <xf numFmtId="0" fontId="63" fillId="0" borderId="44" xfId="3" applyFont="1" applyBorder="1" applyAlignment="1" applyProtection="1">
      <alignment horizontal="center"/>
    </xf>
    <xf numFmtId="0" fontId="63" fillId="0" borderId="40" xfId="3" applyFont="1" applyBorder="1" applyAlignment="1" applyProtection="1">
      <alignment horizontal="center"/>
    </xf>
    <xf numFmtId="0" fontId="63" fillId="0" borderId="5" xfId="3" applyFont="1" applyBorder="1" applyAlignment="1" applyProtection="1">
      <alignment horizontal="center"/>
    </xf>
    <xf numFmtId="0" fontId="63" fillId="0" borderId="71" xfId="3" applyFont="1" applyBorder="1" applyAlignment="1" applyProtection="1"/>
    <xf numFmtId="0" fontId="63" fillId="5" borderId="72" xfId="3" quotePrefix="1" applyFont="1" applyFill="1" applyBorder="1" applyAlignment="1" applyProtection="1">
      <alignment horizontal="center"/>
    </xf>
    <xf numFmtId="169" fontId="63" fillId="0" borderId="8" xfId="3" applyNumberFormat="1" applyFont="1" applyBorder="1" applyAlignment="1" applyProtection="1">
      <alignment horizontal="center"/>
    </xf>
    <xf numFmtId="1" fontId="63" fillId="0" borderId="59" xfId="3" applyNumberFormat="1" applyFont="1" applyBorder="1" applyAlignment="1" applyProtection="1">
      <alignment horizontal="center"/>
    </xf>
    <xf numFmtId="0" fontId="63" fillId="0" borderId="8" xfId="3" applyFont="1" applyBorder="1" applyAlignment="1" applyProtection="1">
      <alignment horizontal="center"/>
    </xf>
    <xf numFmtId="0" fontId="63" fillId="0" borderId="59" xfId="3" applyFont="1" applyBorder="1" applyAlignment="1" applyProtection="1">
      <alignment horizontal="center"/>
    </xf>
    <xf numFmtId="0" fontId="63" fillId="0" borderId="50" xfId="3" applyFont="1" applyBorder="1" applyAlignment="1" applyProtection="1">
      <alignment horizontal="center"/>
    </xf>
    <xf numFmtId="0" fontId="63" fillId="21" borderId="70" xfId="3" applyFont="1" applyFill="1" applyBorder="1" applyAlignment="1" applyProtection="1">
      <alignment horizontal="center"/>
    </xf>
    <xf numFmtId="0" fontId="63" fillId="5" borderId="70" xfId="3" applyFont="1" applyFill="1" applyBorder="1" applyAlignment="1" applyProtection="1">
      <alignment horizontal="center"/>
    </xf>
    <xf numFmtId="0" fontId="63" fillId="22" borderId="70" xfId="3" applyFont="1" applyFill="1" applyBorder="1" applyAlignment="1" applyProtection="1">
      <alignment horizontal="center"/>
    </xf>
    <xf numFmtId="0" fontId="63" fillId="0" borderId="70" xfId="3" applyFont="1" applyBorder="1" applyAlignment="1" applyProtection="1">
      <alignment horizontal="center"/>
    </xf>
    <xf numFmtId="0" fontId="63" fillId="5" borderId="59" xfId="3" applyFont="1" applyFill="1" applyBorder="1" applyAlignment="1" applyProtection="1">
      <alignment horizontal="center"/>
    </xf>
    <xf numFmtId="3" fontId="61" fillId="0" borderId="22" xfId="3" applyNumberFormat="1" applyFont="1" applyBorder="1" applyAlignment="1" applyProtection="1">
      <alignment horizontal="left" vertical="center" wrapText="1"/>
      <protection locked="0"/>
    </xf>
    <xf numFmtId="169" fontId="61" fillId="0" borderId="8" xfId="3" applyNumberFormat="1" applyFont="1" applyBorder="1" applyAlignment="1" applyProtection="1">
      <alignment horizontal="center"/>
      <protection locked="0"/>
    </xf>
    <xf numFmtId="1" fontId="61" fillId="0" borderId="8" xfId="3" applyNumberFormat="1" applyFont="1" applyBorder="1" applyAlignment="1" applyProtection="1">
      <alignment horizontal="center"/>
      <protection locked="0"/>
    </xf>
    <xf numFmtId="3" fontId="61" fillId="0" borderId="8" xfId="3" applyNumberFormat="1" applyFont="1" applyBorder="1" applyAlignment="1" applyProtection="1">
      <alignment horizontal="center"/>
      <protection locked="0"/>
    </xf>
    <xf numFmtId="169" fontId="61" fillId="0" borderId="22" xfId="3" applyNumberFormat="1" applyFont="1" applyBorder="1" applyAlignment="1" applyProtection="1">
      <alignment horizontal="center"/>
      <protection locked="0"/>
    </xf>
    <xf numFmtId="1" fontId="61" fillId="0" borderId="22" xfId="3" applyNumberFormat="1" applyFont="1" applyBorder="1" applyAlignment="1" applyProtection="1">
      <alignment horizontal="center"/>
      <protection locked="0"/>
    </xf>
    <xf numFmtId="3" fontId="61" fillId="0" borderId="22" xfId="3" applyNumberFormat="1" applyFont="1" applyBorder="1" applyAlignment="1" applyProtection="1">
      <alignment horizontal="center"/>
      <protection locked="0"/>
    </xf>
    <xf numFmtId="0" fontId="56" fillId="0" borderId="0" xfId="3" applyFont="1" applyAlignment="1" applyProtection="1">
      <alignment textRotation="180" wrapText="1"/>
    </xf>
    <xf numFmtId="3" fontId="61" fillId="0" borderId="0" xfId="3" applyNumberFormat="1" applyFont="1" applyBorder="1" applyAlignment="1" applyProtection="1">
      <alignment horizontal="left" vertical="center" wrapText="1"/>
      <protection locked="0"/>
    </xf>
    <xf numFmtId="169" fontId="61" fillId="0" borderId="0" xfId="3" applyNumberFormat="1" applyFont="1" applyBorder="1" applyAlignment="1" applyProtection="1">
      <alignment horizontal="center"/>
      <protection locked="0"/>
    </xf>
    <xf numFmtId="1" fontId="61" fillId="0" borderId="0" xfId="3" applyNumberFormat="1" applyFont="1" applyBorder="1" applyAlignment="1" applyProtection="1">
      <alignment horizontal="center"/>
      <protection locked="0"/>
    </xf>
    <xf numFmtId="3" fontId="61" fillId="0" borderId="0" xfId="3" applyNumberFormat="1" applyFont="1" applyBorder="1" applyAlignment="1" applyProtection="1">
      <alignment horizontal="center"/>
      <protection locked="0"/>
    </xf>
    <xf numFmtId="169" fontId="61" fillId="0" borderId="0" xfId="3" applyNumberFormat="1" applyFont="1" applyBorder="1" applyProtection="1"/>
    <xf numFmtId="1" fontId="61" fillId="0" borderId="0" xfId="3" applyNumberFormat="1" applyFont="1" applyBorder="1" applyProtection="1"/>
    <xf numFmtId="0" fontId="53" fillId="21" borderId="0" xfId="3" applyFont="1" applyFill="1" applyProtection="1"/>
    <xf numFmtId="169" fontId="56" fillId="21" borderId="0" xfId="3" applyNumberFormat="1" applyFont="1" applyFill="1" applyProtection="1"/>
    <xf numFmtId="1" fontId="56" fillId="21" borderId="0" xfId="3" applyNumberFormat="1" applyFont="1" applyFill="1" applyProtection="1"/>
    <xf numFmtId="0" fontId="56" fillId="21" borderId="0" xfId="3" applyFont="1" applyFill="1" applyProtection="1"/>
    <xf numFmtId="169" fontId="56" fillId="0" borderId="0" xfId="3" applyNumberFormat="1" applyFont="1" applyFill="1" applyProtection="1"/>
    <xf numFmtId="1" fontId="56" fillId="0" borderId="0" xfId="3" applyNumberFormat="1" applyFont="1" applyFill="1" applyProtection="1"/>
    <xf numFmtId="169" fontId="56" fillId="0" borderId="0" xfId="3" applyNumberFormat="1" applyFont="1" applyProtection="1"/>
    <xf numFmtId="1" fontId="56" fillId="0" borderId="0" xfId="3" applyNumberFormat="1" applyFont="1" applyProtection="1"/>
    <xf numFmtId="0" fontId="53" fillId="0" borderId="78" xfId="3" applyFont="1" applyBorder="1" applyProtection="1"/>
    <xf numFmtId="169" fontId="56" fillId="0" borderId="78" xfId="3" applyNumberFormat="1" applyFont="1" applyBorder="1" applyProtection="1"/>
    <xf numFmtId="1" fontId="56" fillId="0" borderId="78" xfId="3" applyNumberFormat="1" applyFont="1" applyBorder="1" applyProtection="1"/>
    <xf numFmtId="0" fontId="56" fillId="0" borderId="78" xfId="3" applyFont="1" applyBorder="1" applyAlignment="1" applyProtection="1">
      <alignment horizontal="center"/>
    </xf>
    <xf numFmtId="0" fontId="118" fillId="0" borderId="0" xfId="3" applyFont="1" applyAlignment="1" applyProtection="1">
      <alignment horizontal="left" wrapText="1"/>
    </xf>
    <xf numFmtId="0" fontId="118" fillId="0" borderId="0" xfId="3" applyFont="1" applyAlignment="1" applyProtection="1"/>
    <xf numFmtId="0" fontId="118" fillId="0" borderId="0" xfId="3" applyFont="1" applyAlignment="1" applyProtection="1">
      <alignment wrapText="1"/>
    </xf>
    <xf numFmtId="0" fontId="61" fillId="0" borderId="0" xfId="3" applyFont="1" applyAlignment="1" applyProtection="1">
      <alignment horizontal="left" wrapText="1"/>
    </xf>
    <xf numFmtId="0" fontId="61" fillId="0" borderId="0" xfId="3" applyFont="1" applyAlignment="1" applyProtection="1">
      <alignment horizontal="left"/>
    </xf>
    <xf numFmtId="169" fontId="61" fillId="0" borderId="0" xfId="3" applyNumberFormat="1" applyFont="1" applyProtection="1"/>
    <xf numFmtId="1" fontId="61" fillId="0" borderId="0" xfId="3" applyNumberFormat="1" applyFont="1" applyProtection="1"/>
    <xf numFmtId="0" fontId="61" fillId="0" borderId="0" xfId="3" applyFont="1" applyAlignment="1" applyProtection="1">
      <alignment horizontal="center"/>
    </xf>
    <xf numFmtId="0" fontId="118" fillId="0" borderId="0" xfId="3" applyFont="1" applyAlignment="1" applyProtection="1">
      <alignment vertical="center"/>
    </xf>
    <xf numFmtId="0" fontId="119" fillId="0" borderId="0" xfId="3" applyFont="1" applyFill="1" applyProtection="1"/>
    <xf numFmtId="0" fontId="64" fillId="0" borderId="0" xfId="3" applyFont="1" applyAlignment="1" applyProtection="1">
      <alignment vertical="center"/>
    </xf>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5" xfId="3" applyFont="1" applyBorder="1" applyProtection="1"/>
    <xf numFmtId="0" fontId="56" fillId="0" borderId="145" xfId="3" applyFont="1" applyBorder="1" applyProtection="1"/>
    <xf numFmtId="0" fontId="56" fillId="0" borderId="145"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0" fontId="64" fillId="0" borderId="0" xfId="3" applyFont="1" applyBorder="1" applyAlignment="1" applyProtection="1">
      <alignment horizontal="right"/>
    </xf>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5" xfId="3" quotePrefix="1" applyFont="1" applyBorder="1" applyAlignment="1" applyProtection="1">
      <alignment horizontal="left"/>
    </xf>
    <xf numFmtId="0" fontId="54" fillId="0" borderId="145" xfId="3" applyFont="1" applyBorder="1" applyProtection="1"/>
    <xf numFmtId="0" fontId="54" fillId="0" borderId="145"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5" xfId="3" applyFont="1" applyBorder="1" applyProtection="1"/>
    <xf numFmtId="0" fontId="56" fillId="0" borderId="0" xfId="3" applyFont="1" applyBorder="1" applyAlignment="1" applyProtection="1">
      <alignment horizontal="left"/>
    </xf>
    <xf numFmtId="0" fontId="63" fillId="0" borderId="145" xfId="3" applyFont="1" applyBorder="1" applyAlignment="1" applyProtection="1">
      <alignment horizontal="left"/>
    </xf>
    <xf numFmtId="0" fontId="56" fillId="9" borderId="145" xfId="3" applyFont="1" applyFill="1" applyBorder="1" applyProtection="1"/>
    <xf numFmtId="0" fontId="56" fillId="9" borderId="145" xfId="3" applyFont="1" applyFill="1" applyBorder="1" applyAlignment="1" applyProtection="1">
      <alignment horizontal="center"/>
    </xf>
    <xf numFmtId="0" fontId="56" fillId="9" borderId="146" xfId="3" applyFont="1" applyFill="1" applyBorder="1" applyProtection="1"/>
    <xf numFmtId="0" fontId="61" fillId="9" borderId="5" xfId="3" applyFont="1" applyFill="1" applyBorder="1" applyProtection="1"/>
    <xf numFmtId="0" fontId="61" fillId="9" borderId="111" xfId="3" applyFont="1" applyFill="1" applyBorder="1" applyProtection="1"/>
    <xf numFmtId="14" fontId="56" fillId="9" borderId="0" xfId="3" applyNumberFormat="1" applyFont="1" applyFill="1" applyBorder="1" applyProtection="1"/>
    <xf numFmtId="0" fontId="56" fillId="9" borderId="0" xfId="3" applyFont="1" applyFill="1" applyBorder="1" applyProtection="1"/>
    <xf numFmtId="0" fontId="56" fillId="9" borderId="0" xfId="3" applyFont="1" applyFill="1" applyBorder="1" applyAlignment="1" applyProtection="1">
      <alignment horizontal="center"/>
    </xf>
    <xf numFmtId="0" fontId="56" fillId="9" borderId="9" xfId="3" applyFont="1" applyFill="1" applyBorder="1" applyProtection="1"/>
    <xf numFmtId="0" fontId="61" fillId="9" borderId="0" xfId="3" applyFont="1" applyFill="1" applyBorder="1" applyProtection="1"/>
    <xf numFmtId="0" fontId="56" fillId="9" borderId="50" xfId="3" applyFont="1" applyFill="1" applyBorder="1" applyProtection="1"/>
    <xf numFmtId="0" fontId="56" fillId="9" borderId="9" xfId="3" applyFont="1" applyFill="1" applyBorder="1" applyAlignment="1" applyProtection="1">
      <alignment horizontal="center"/>
    </xf>
    <xf numFmtId="0" fontId="56" fillId="9" borderId="59" xfId="3" applyFont="1" applyFill="1" applyBorder="1" applyProtection="1"/>
    <xf numFmtId="0" fontId="56" fillId="0" borderId="78" xfId="3" applyFont="1" applyFill="1" applyBorder="1" applyProtection="1"/>
    <xf numFmtId="0" fontId="56" fillId="0" borderId="78"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63" fillId="0" borderId="0" xfId="3" applyFont="1" applyAlignment="1" applyProtection="1">
      <alignment horizontal="right" vertical="center" textRotation="180"/>
    </xf>
    <xf numFmtId="0" fontId="64" fillId="0" borderId="0" xfId="3" applyFont="1" applyAlignment="1" applyProtection="1">
      <alignment vertical="center" textRotation="180"/>
    </xf>
    <xf numFmtId="169" fontId="64" fillId="0" borderId="0" xfId="3" applyNumberFormat="1" applyFont="1" applyBorder="1" applyProtection="1"/>
    <xf numFmtId="169" fontId="56" fillId="0" borderId="145" xfId="3" applyNumberFormat="1" applyFont="1" applyBorder="1" applyProtection="1"/>
    <xf numFmtId="169" fontId="56" fillId="0" borderId="9" xfId="3" applyNumberFormat="1" applyFont="1" applyBorder="1" applyProtection="1"/>
    <xf numFmtId="0" fontId="56" fillId="0" borderId="9" xfId="3" applyFont="1" applyBorder="1" applyProtection="1"/>
    <xf numFmtId="0" fontId="56" fillId="0" borderId="9" xfId="3" applyFont="1" applyBorder="1" applyAlignment="1" applyProtection="1">
      <alignment horizontal="center"/>
    </xf>
    <xf numFmtId="169" fontId="56" fillId="0" borderId="0" xfId="3" applyNumberFormat="1" applyFont="1" applyBorder="1" applyProtection="1"/>
    <xf numFmtId="169" fontId="86" fillId="0" borderId="0" xfId="3" applyNumberFormat="1" applyFont="1" applyBorder="1" applyAlignment="1" applyProtection="1">
      <alignment horizontal="left"/>
    </xf>
    <xf numFmtId="0" fontId="78" fillId="0" borderId="0" xfId="3" applyFont="1" applyBorder="1" applyAlignment="1" applyProtection="1">
      <alignment horizontal="left"/>
    </xf>
    <xf numFmtId="0" fontId="56" fillId="0" borderId="0" xfId="3" applyFont="1" applyBorder="1" applyAlignment="1" applyProtection="1"/>
    <xf numFmtId="0" fontId="61" fillId="0" borderId="0" xfId="3" applyFont="1" applyBorder="1" applyAlignment="1" applyProtection="1">
      <alignment horizontal="centerContinuous"/>
    </xf>
    <xf numFmtId="0" fontId="56" fillId="0" borderId="0" xfId="3" applyFont="1" applyBorder="1" applyAlignment="1" applyProtection="1">
      <alignment horizontal="centerContinuous"/>
    </xf>
    <xf numFmtId="169" fontId="63" fillId="0" borderId="0" xfId="3" applyNumberFormat="1" applyFont="1" applyProtection="1"/>
    <xf numFmtId="169" fontId="61" fillId="0" borderId="0" xfId="3" applyNumberFormat="1" applyFont="1" applyAlignment="1" applyProtection="1">
      <alignment horizontal="left"/>
    </xf>
    <xf numFmtId="0" fontId="54" fillId="0" borderId="0" xfId="3" applyFont="1" applyAlignment="1" applyProtection="1">
      <alignment horizontal="left"/>
    </xf>
    <xf numFmtId="0" fontId="56" fillId="0" borderId="9" xfId="3" applyFont="1" applyBorder="1" applyAlignment="1" applyProtection="1">
      <alignment horizontal="center" vertical="center"/>
      <protection locked="0"/>
    </xf>
    <xf numFmtId="0" fontId="56" fillId="0" borderId="0" xfId="3" applyFont="1" applyBorder="1" applyAlignment="1" applyProtection="1">
      <alignment horizontal="center" vertical="center"/>
      <protection locked="0"/>
    </xf>
    <xf numFmtId="0" fontId="109" fillId="0" borderId="0" xfId="3" applyFont="1" applyBorder="1" applyAlignment="1" applyProtection="1">
      <alignment horizontal="left"/>
    </xf>
    <xf numFmtId="169" fontId="67" fillId="0" borderId="0" xfId="3" applyNumberFormat="1" applyFont="1" applyProtection="1"/>
    <xf numFmtId="0" fontId="58" fillId="0" borderId="0" xfId="3" applyFont="1" applyProtection="1"/>
    <xf numFmtId="169" fontId="61" fillId="0" borderId="150" xfId="3" applyNumberFormat="1" applyFont="1" applyBorder="1" applyAlignment="1" applyProtection="1">
      <alignment horizontal="center"/>
    </xf>
    <xf numFmtId="169" fontId="61" fillId="0" borderId="77" xfId="3" applyNumberFormat="1" applyFont="1" applyBorder="1" applyAlignment="1" applyProtection="1">
      <alignment horizontal="center"/>
      <protection locked="0"/>
    </xf>
    <xf numFmtId="169" fontId="121" fillId="0" borderId="0" xfId="3" applyNumberFormat="1" applyFont="1" applyProtection="1"/>
    <xf numFmtId="6" fontId="117" fillId="0" borderId="76" xfId="3" applyNumberFormat="1" applyFont="1" applyBorder="1" applyProtection="1"/>
    <xf numFmtId="6" fontId="117" fillId="0" borderId="0" xfId="3" applyNumberFormat="1" applyFont="1" applyBorder="1" applyProtection="1"/>
    <xf numFmtId="10" fontId="63" fillId="0" borderId="77" xfId="3" applyNumberFormat="1" applyFont="1" applyBorder="1" applyProtection="1"/>
    <xf numFmtId="6" fontId="61" fillId="0" borderId="0" xfId="3" applyNumberFormat="1" applyFont="1" applyProtection="1"/>
    <xf numFmtId="0" fontId="117" fillId="0" borderId="0" xfId="3" applyFont="1" applyProtection="1"/>
    <xf numFmtId="10" fontId="121" fillId="0" borderId="0" xfId="3" applyNumberFormat="1" applyFont="1" applyBorder="1" applyProtection="1"/>
    <xf numFmtId="2" fontId="74" fillId="0" borderId="78" xfId="3" applyNumberFormat="1" applyFont="1" applyBorder="1" applyProtection="1"/>
    <xf numFmtId="0" fontId="74" fillId="0" borderId="78" xfId="3" applyFont="1" applyBorder="1" applyAlignment="1" applyProtection="1">
      <alignment horizontal="center"/>
    </xf>
    <xf numFmtId="0" fontId="74" fillId="0" borderId="78" xfId="3" applyFont="1" applyBorder="1" applyProtection="1"/>
    <xf numFmtId="2" fontId="74" fillId="0" borderId="0" xfId="3" applyNumberFormat="1" applyFont="1" applyBorder="1" applyProtection="1"/>
    <xf numFmtId="0" fontId="74" fillId="0" borderId="0" xfId="3" applyFont="1" applyBorder="1" applyAlignment="1" applyProtection="1">
      <alignment horizontal="center"/>
    </xf>
    <xf numFmtId="0" fontId="74" fillId="0" borderId="0" xfId="3" applyFont="1" applyBorder="1" applyProtection="1"/>
    <xf numFmtId="0" fontId="61" fillId="0" borderId="0" xfId="3" applyFont="1" applyAlignment="1" applyProtection="1">
      <alignment horizontal="left" vertical="center"/>
    </xf>
    <xf numFmtId="169" fontId="118" fillId="0" borderId="0" xfId="3" applyNumberFormat="1" applyFont="1" applyBorder="1" applyAlignment="1" applyProtection="1">
      <alignment horizontal="left" vertical="center"/>
    </xf>
    <xf numFmtId="0" fontId="118" fillId="0" borderId="0" xfId="3" applyFont="1" applyBorder="1" applyAlignment="1" applyProtection="1">
      <alignment horizontal="left" vertical="center"/>
    </xf>
    <xf numFmtId="0" fontId="56" fillId="0" borderId="0" xfId="3" applyFont="1" applyAlignment="1" applyProtection="1">
      <alignment horizontal="left" vertical="center"/>
    </xf>
    <xf numFmtId="169" fontId="61" fillId="0" borderId="0" xfId="3" applyNumberFormat="1" applyFont="1" applyAlignment="1" applyProtection="1">
      <alignment horizontal="left" vertical="center"/>
    </xf>
    <xf numFmtId="169" fontId="118" fillId="0" borderId="0" xfId="3" applyNumberFormat="1" applyFont="1" applyAlignment="1" applyProtection="1">
      <alignment horizontal="left" vertical="center"/>
    </xf>
    <xf numFmtId="0" fontId="118" fillId="0" borderId="0" xfId="3" applyFont="1" applyAlignment="1" applyProtection="1">
      <alignment horizontal="left" vertical="center"/>
    </xf>
    <xf numFmtId="49" fontId="64"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center"/>
    </xf>
    <xf numFmtId="0" fontId="64" fillId="0" borderId="0" xfId="3" applyFont="1" applyAlignment="1" applyProtection="1">
      <alignment horizontal="right"/>
    </xf>
    <xf numFmtId="178" fontId="64" fillId="0" borderId="74" xfId="3" applyNumberFormat="1" applyFont="1" applyBorder="1" applyAlignment="1" applyProtection="1">
      <alignment horizontal="center"/>
      <protection locked="0"/>
    </xf>
    <xf numFmtId="0" fontId="56" fillId="0" borderId="22" xfId="3" applyFont="1" applyBorder="1" applyAlignment="1" applyProtection="1">
      <alignment horizontal="center"/>
      <protection locked="0"/>
    </xf>
    <xf numFmtId="0" fontId="61" fillId="0" borderId="0" xfId="3" applyFont="1" applyAlignment="1" applyProtection="1">
      <alignment horizontal="left" vertical="center" indent="1"/>
    </xf>
    <xf numFmtId="0" fontId="61" fillId="0" borderId="0" xfId="3" applyFont="1" applyAlignment="1" applyProtection="1">
      <alignment horizontal="left" indent="1"/>
    </xf>
    <xf numFmtId="0" fontId="61" fillId="0" borderId="0" xfId="3" applyFont="1" applyBorder="1" applyAlignment="1" applyProtection="1">
      <alignment horizontal="left"/>
    </xf>
    <xf numFmtId="0" fontId="56" fillId="0" borderId="74" xfId="3" applyFont="1" applyBorder="1" applyProtection="1">
      <protection locked="0"/>
    </xf>
    <xf numFmtId="0" fontId="64" fillId="0" borderId="9" xfId="3" applyFont="1" applyBorder="1" applyProtection="1"/>
    <xf numFmtId="0" fontId="63" fillId="0" borderId="0" xfId="3" applyFont="1" applyAlignment="1" applyProtection="1">
      <alignment horizontal="center"/>
    </xf>
    <xf numFmtId="0" fontId="64" fillId="0" borderId="0" xfId="3" applyFont="1" applyBorder="1" applyAlignment="1" applyProtection="1">
      <alignment horizontal="center"/>
    </xf>
    <xf numFmtId="0" fontId="63" fillId="0" borderId="0" xfId="3" quotePrefix="1" applyFont="1" applyBorder="1" applyAlignment="1" applyProtection="1">
      <alignment horizontal="left"/>
    </xf>
    <xf numFmtId="0" fontId="54" fillId="0" borderId="0" xfId="3" applyFont="1" applyBorder="1" applyAlignment="1" applyProtection="1">
      <alignment horizontal="center"/>
    </xf>
    <xf numFmtId="0" fontId="56" fillId="0" borderId="9" xfId="3" applyFont="1" applyBorder="1" applyAlignment="1" applyProtection="1">
      <alignment horizontal="left"/>
    </xf>
    <xf numFmtId="0" fontId="56" fillId="0" borderId="9" xfId="3" applyFont="1" applyBorder="1" applyAlignment="1" applyProtection="1"/>
    <xf numFmtId="170" fontId="56" fillId="0" borderId="9" xfId="3" applyNumberFormat="1" applyFont="1" applyBorder="1" applyAlignment="1" applyProtection="1">
      <alignment horizontal="centerContinuous"/>
    </xf>
    <xf numFmtId="0" fontId="63" fillId="9" borderId="144" xfId="3" applyFont="1" applyFill="1" applyBorder="1" applyProtection="1"/>
    <xf numFmtId="0" fontId="63" fillId="9" borderId="145" xfId="3" applyFont="1" applyFill="1" applyBorder="1" applyProtection="1"/>
    <xf numFmtId="0" fontId="56" fillId="0" borderId="5" xfId="3" applyFont="1" applyFill="1" applyBorder="1" applyProtection="1"/>
    <xf numFmtId="14" fontId="56" fillId="9" borderId="74" xfId="3" applyNumberFormat="1" applyFont="1" applyFill="1" applyBorder="1" applyAlignment="1" applyProtection="1">
      <alignment horizontal="center"/>
    </xf>
    <xf numFmtId="0" fontId="56" fillId="9" borderId="74" xfId="3" applyFont="1" applyFill="1" applyBorder="1" applyAlignment="1" applyProtection="1">
      <alignment horizontal="center"/>
    </xf>
    <xf numFmtId="0" fontId="56" fillId="9" borderId="40" xfId="3" applyFont="1" applyFill="1" applyBorder="1" applyProtection="1"/>
    <xf numFmtId="0" fontId="71" fillId="0" borderId="152" xfId="3" applyFont="1" applyBorder="1" applyAlignment="1" applyProtection="1">
      <alignment horizontal="left"/>
    </xf>
    <xf numFmtId="0" fontId="56" fillId="0" borderId="152" xfId="3" applyFont="1" applyBorder="1" applyProtection="1"/>
    <xf numFmtId="0" fontId="56" fillId="0" borderId="152" xfId="3" applyFont="1" applyBorder="1" applyAlignment="1" applyProtection="1">
      <alignment horizontal="center"/>
    </xf>
    <xf numFmtId="49" fontId="53" fillId="0" borderId="0" xfId="3" applyNumberFormat="1" applyFont="1" applyBorder="1" applyAlignment="1" applyProtection="1">
      <alignment horizontal="center" vertical="center"/>
    </xf>
    <xf numFmtId="166" fontId="53" fillId="0" borderId="0" xfId="3" applyNumberFormat="1" applyFont="1" applyBorder="1" applyAlignment="1" applyProtection="1">
      <alignment horizontal="center" vertical="center"/>
    </xf>
    <xf numFmtId="49" fontId="53" fillId="0" borderId="0" xfId="3" applyNumberFormat="1" applyFont="1" applyAlignment="1" applyProtection="1">
      <alignment horizontal="center" vertical="center"/>
    </xf>
    <xf numFmtId="0" fontId="54" fillId="0" borderId="0" xfId="3" applyFont="1" applyBorder="1" applyAlignment="1" applyProtection="1">
      <alignment vertical="center"/>
    </xf>
    <xf numFmtId="0" fontId="67" fillId="0" borderId="0" xfId="3" applyFont="1" applyBorder="1" applyAlignment="1" applyProtection="1">
      <alignment horizontal="center"/>
    </xf>
    <xf numFmtId="49" fontId="56" fillId="0" borderId="78" xfId="3" applyNumberFormat="1" applyFont="1" applyBorder="1" applyAlignment="1" applyProtection="1">
      <protection locked="0"/>
    </xf>
    <xf numFmtId="0" fontId="56" fillId="0" borderId="78" xfId="3" applyFont="1" applyBorder="1" applyProtection="1">
      <protection locked="0"/>
    </xf>
    <xf numFmtId="0" fontId="118" fillId="0" borderId="0" xfId="3" applyFont="1" applyAlignment="1" applyProtection="1">
      <alignment horizontal="left"/>
    </xf>
    <xf numFmtId="0" fontId="61" fillId="0" borderId="0" xfId="3" applyFont="1" applyAlignment="1" applyProtection="1">
      <alignment horizontal="left" vertical="center" indent="2"/>
    </xf>
    <xf numFmtId="49" fontId="69" fillId="0" borderId="0" xfId="0" applyNumberFormat="1" applyFont="1" applyBorder="1" applyAlignment="1">
      <alignment horizontal="left"/>
    </xf>
    <xf numFmtId="49" fontId="57" fillId="0" borderId="0" xfId="2" applyNumberFormat="1" applyFont="1" applyBorder="1" applyAlignment="1" applyProtection="1">
      <alignment horizontal="left" indent="4"/>
    </xf>
    <xf numFmtId="49" fontId="62" fillId="0" borderId="0" xfId="0" applyNumberFormat="1" applyFont="1" applyBorder="1" applyAlignment="1">
      <alignment horizontal="left" indent="1"/>
    </xf>
    <xf numFmtId="0" fontId="69" fillId="0" borderId="0" xfId="0" applyFont="1" applyBorder="1" applyProtection="1"/>
    <xf numFmtId="164" fontId="61" fillId="0" borderId="19"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indent="1"/>
    </xf>
    <xf numFmtId="0" fontId="61" fillId="0" borderId="0" xfId="0" applyFont="1" applyFill="1" applyAlignment="1" applyProtection="1">
      <alignment horizontal="left" vertical="center" indent="1"/>
    </xf>
    <xf numFmtId="164" fontId="61" fillId="0" borderId="0" xfId="0" applyNumberFormat="1" applyFont="1" applyFill="1" applyBorder="1" applyAlignment="1" applyProtection="1">
      <alignment horizontal="left" vertical="center" wrapText="1" indent="1"/>
    </xf>
    <xf numFmtId="0" fontId="63" fillId="0" borderId="20" xfId="0" applyFont="1" applyFill="1" applyBorder="1" applyAlignment="1" applyProtection="1">
      <alignment horizontal="left" vertical="center" indent="2"/>
    </xf>
    <xf numFmtId="0" fontId="61" fillId="0" borderId="0" xfId="0" applyFont="1" applyFill="1" applyBorder="1" applyAlignment="1" applyProtection="1">
      <alignment horizontal="left" vertical="center" indent="1"/>
    </xf>
    <xf numFmtId="0" fontId="61" fillId="0" borderId="21" xfId="0" applyFont="1" applyBorder="1" applyAlignment="1" applyProtection="1">
      <alignment horizontal="left" vertical="top" indent="1"/>
    </xf>
    <xf numFmtId="0" fontId="61" fillId="0" borderId="0" xfId="0" applyFont="1" applyFill="1" applyBorder="1" applyAlignment="1" applyProtection="1">
      <alignment horizontal="left" vertical="top" indent="1"/>
    </xf>
    <xf numFmtId="0" fontId="61" fillId="0" borderId="129" xfId="0" applyFont="1" applyBorder="1" applyAlignment="1" applyProtection="1">
      <alignment horizontal="left" vertical="center" indent="1"/>
    </xf>
    <xf numFmtId="0" fontId="61" fillId="0" borderId="24" xfId="0" applyFont="1" applyBorder="1" applyAlignment="1" applyProtection="1">
      <alignment horizontal="left" vertical="center" indent="1"/>
    </xf>
    <xf numFmtId="0" fontId="61" fillId="0" borderId="52" xfId="0" applyFont="1" applyBorder="1" applyAlignment="1" applyProtection="1">
      <alignment horizontal="left" vertical="center" indent="1"/>
    </xf>
    <xf numFmtId="0" fontId="61" fillId="0" borderId="21" xfId="0" applyFont="1" applyBorder="1" applyAlignment="1" applyProtection="1">
      <alignment horizontal="left" vertical="center" wrapText="1" indent="1"/>
    </xf>
    <xf numFmtId="0" fontId="61" fillId="0" borderId="130" xfId="0" applyFont="1" applyFill="1" applyBorder="1" applyAlignment="1" applyProtection="1">
      <alignment horizontal="left" vertical="center" indent="1"/>
    </xf>
    <xf numFmtId="0" fontId="61" fillId="0" borderId="100" xfId="0" applyFont="1" applyFill="1" applyBorder="1" applyAlignment="1" applyProtection="1">
      <alignment horizontal="left" vertical="center" indent="1"/>
    </xf>
    <xf numFmtId="3" fontId="61" fillId="0" borderId="2" xfId="0" applyNumberFormat="1" applyFont="1" applyBorder="1" applyAlignment="1">
      <alignment horizontal="left" vertical="center" wrapText="1" indent="1"/>
    </xf>
    <xf numFmtId="3" fontId="61" fillId="0" borderId="12" xfId="0" applyNumberFormat="1" applyFont="1" applyBorder="1" applyAlignment="1">
      <alignment horizontal="left" vertical="center" wrapText="1" indent="1"/>
    </xf>
    <xf numFmtId="3" fontId="61" fillId="0" borderId="12" xfId="0" applyNumberFormat="1" applyFont="1" applyBorder="1" applyAlignment="1">
      <alignment horizontal="left" vertical="center" indent="1"/>
    </xf>
    <xf numFmtId="3" fontId="63" fillId="2" borderId="36"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wrapText="1" indent="1"/>
    </xf>
    <xf numFmtId="3" fontId="61" fillId="0" borderId="128" xfId="0" applyNumberFormat="1" applyFont="1" applyBorder="1" applyAlignment="1">
      <alignment horizontal="left" vertical="center" wrapText="1" indent="1"/>
    </xf>
    <xf numFmtId="3" fontId="61" fillId="0" borderId="126" xfId="0" applyNumberFormat="1" applyFont="1" applyFill="1" applyBorder="1" applyAlignment="1">
      <alignment horizontal="left" vertical="center" wrapText="1" indent="1"/>
    </xf>
    <xf numFmtId="3" fontId="61" fillId="0" borderId="29" xfId="0" applyNumberFormat="1" applyFont="1" applyFill="1" applyBorder="1" applyAlignment="1">
      <alignment horizontal="left" vertical="center" wrapText="1" indent="1"/>
    </xf>
    <xf numFmtId="3" fontId="61" fillId="0" borderId="128" xfId="0" applyNumberFormat="1" applyFont="1" applyFill="1" applyBorder="1" applyAlignment="1">
      <alignment horizontal="left" vertical="center" wrapText="1" indent="1"/>
    </xf>
    <xf numFmtId="3" fontId="61" fillId="0" borderId="2" xfId="0" applyNumberFormat="1" applyFont="1" applyFill="1" applyBorder="1" applyAlignment="1">
      <alignment horizontal="left" vertical="center" wrapText="1" indent="1"/>
    </xf>
    <xf numFmtId="3" fontId="63" fillId="0" borderId="49" xfId="0" applyNumberFormat="1" applyFont="1" applyFill="1" applyBorder="1" applyAlignment="1">
      <alignment horizontal="left" vertical="center" wrapText="1" indent="1"/>
    </xf>
    <xf numFmtId="3" fontId="63" fillId="7" borderId="27" xfId="0" applyNumberFormat="1" applyFont="1" applyFill="1" applyBorder="1" applyAlignment="1">
      <alignment horizontal="left" vertical="center" wrapText="1" indent="1"/>
    </xf>
    <xf numFmtId="3" fontId="61" fillId="0" borderId="2" xfId="0" applyNumberFormat="1" applyFont="1" applyBorder="1" applyAlignment="1">
      <alignment horizontal="left" vertical="center" indent="1"/>
    </xf>
    <xf numFmtId="3" fontId="61" fillId="0" borderId="13" xfId="0" applyNumberFormat="1" applyFont="1" applyBorder="1" applyAlignment="1">
      <alignment horizontal="left" vertical="center" wrapText="1" indent="1"/>
    </xf>
    <xf numFmtId="164" fontId="61" fillId="0" borderId="13" xfId="0" applyNumberFormat="1" applyFont="1" applyFill="1" applyBorder="1" applyAlignment="1">
      <alignment horizontal="left" vertical="center" wrapText="1" indent="1"/>
    </xf>
    <xf numFmtId="0" fontId="61" fillId="0" borderId="2" xfId="0" applyFont="1" applyFill="1" applyBorder="1" applyAlignment="1">
      <alignment horizontal="left" vertical="center" wrapText="1" indent="1"/>
    </xf>
    <xf numFmtId="0" fontId="61" fillId="0" borderId="12" xfId="0" applyFont="1" applyFill="1" applyBorder="1" applyAlignment="1">
      <alignment horizontal="left" vertical="center" wrapText="1" indent="1"/>
    </xf>
    <xf numFmtId="3" fontId="63" fillId="7" borderId="55"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indent="1"/>
    </xf>
    <xf numFmtId="0" fontId="61" fillId="0" borderId="2" xfId="0" applyFont="1" applyFill="1" applyBorder="1" applyAlignment="1">
      <alignment horizontal="left" vertical="center" indent="1"/>
    </xf>
    <xf numFmtId="38" fontId="54" fillId="0" borderId="128" xfId="0" applyNumberFormat="1" applyFont="1" applyFill="1" applyBorder="1" applyAlignment="1" applyProtection="1">
      <alignment horizontal="right" vertical="center"/>
      <protection locked="0"/>
    </xf>
    <xf numFmtId="38" fontId="53" fillId="6" borderId="156" xfId="0" applyNumberFormat="1" applyFont="1" applyFill="1" applyBorder="1" applyAlignment="1">
      <alignment horizontal="center" vertical="center" wrapText="1"/>
    </xf>
    <xf numFmtId="38" fontId="53" fillId="6" borderId="156" xfId="0" applyNumberFormat="1" applyFont="1" applyFill="1" applyBorder="1" applyAlignment="1">
      <alignment horizontal="center" vertical="top" wrapText="1"/>
    </xf>
    <xf numFmtId="38" fontId="63" fillId="6" borderId="156" xfId="0" applyNumberFormat="1" applyFont="1" applyFill="1" applyBorder="1" applyAlignment="1">
      <alignment horizontal="center" vertical="center" wrapText="1"/>
    </xf>
    <xf numFmtId="38" fontId="63" fillId="6" borderId="10" xfId="0" applyNumberFormat="1" applyFont="1" applyFill="1" applyBorder="1" applyAlignment="1">
      <alignment horizontal="center" vertical="center" wrapText="1"/>
    </xf>
    <xf numFmtId="0" fontId="53" fillId="0" borderId="2" xfId="9" applyFont="1" applyFill="1" applyBorder="1" applyAlignment="1">
      <alignment horizontal="center" vertical="center"/>
    </xf>
    <xf numFmtId="0" fontId="56" fillId="0" borderId="50" xfId="0" applyFont="1" applyBorder="1" applyAlignment="1">
      <alignment horizontal="left" wrapText="1"/>
    </xf>
    <xf numFmtId="0" fontId="93" fillId="0" borderId="0" xfId="0" applyFont="1" applyAlignment="1" applyProtection="1">
      <alignment horizontal="right"/>
    </xf>
    <xf numFmtId="0" fontId="93" fillId="0" borderId="0" xfId="0" applyFont="1" applyAlignment="1" applyProtection="1">
      <alignment horizontal="right" vertical="top"/>
    </xf>
    <xf numFmtId="0" fontId="6" fillId="0" borderId="0" xfId="17"/>
    <xf numFmtId="0" fontId="98" fillId="0" borderId="141" xfId="17" applyFont="1" applyBorder="1" applyAlignment="1">
      <alignment horizontal="left" vertical="top"/>
    </xf>
    <xf numFmtId="0" fontId="125" fillId="0" borderId="142" xfId="17" applyFont="1" applyBorder="1" applyAlignment="1">
      <alignment horizontal="center" vertical="top"/>
    </xf>
    <xf numFmtId="0" fontId="125" fillId="0" borderId="143" xfId="17" applyFont="1" applyBorder="1" applyAlignment="1">
      <alignment horizontal="center" vertical="top"/>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38" fontId="6" fillId="23" borderId="158" xfId="17" applyNumberFormat="1" applyFill="1" applyBorder="1" applyAlignment="1">
      <alignment horizontal="right" vertical="top"/>
    </xf>
    <xf numFmtId="38" fontId="6" fillId="23" borderId="159" xfId="17" applyNumberFormat="1" applyFill="1" applyBorder="1" applyAlignment="1">
      <alignment horizontal="right" vertical="top"/>
    </xf>
    <xf numFmtId="0" fontId="6" fillId="0" borderId="0" xfId="17" applyAlignment="1">
      <alignment horizontal="left" vertical="top" wrapText="1"/>
    </xf>
    <xf numFmtId="0" fontId="6" fillId="0" borderId="0" xfId="17" applyAlignment="1">
      <alignment vertical="top"/>
    </xf>
    <xf numFmtId="38" fontId="6" fillId="0" borderId="0" xfId="17" applyNumberFormat="1" applyAlignment="1">
      <alignment horizontal="right" vertical="top"/>
    </xf>
    <xf numFmtId="0" fontId="6" fillId="0" borderId="0" xfId="17" applyAlignment="1">
      <alignment horizontal="center" vertical="top" wrapText="1"/>
    </xf>
    <xf numFmtId="0" fontId="124" fillId="24" borderId="157" xfId="17" applyFont="1" applyFill="1" applyBorder="1" applyAlignment="1">
      <alignment horizontal="center" vertical="center" wrapText="1"/>
    </xf>
    <xf numFmtId="38" fontId="124" fillId="24" borderId="157" xfId="17" applyNumberFormat="1" applyFont="1" applyFill="1" applyBorder="1" applyAlignment="1">
      <alignment horizontal="center" vertical="center" wrapText="1"/>
    </xf>
    <xf numFmtId="3" fontId="54" fillId="24" borderId="132" xfId="0" applyNumberFormat="1" applyFont="1" applyFill="1" applyBorder="1" applyAlignment="1">
      <alignment horizontal="center"/>
    </xf>
    <xf numFmtId="3" fontId="54" fillId="24" borderId="132" xfId="0" applyNumberFormat="1" applyFont="1" applyFill="1" applyBorder="1" applyAlignment="1">
      <alignment horizontal="right"/>
    </xf>
    <xf numFmtId="3" fontId="54" fillId="24" borderId="133" xfId="0" applyNumberFormat="1" applyFont="1" applyFill="1" applyBorder="1" applyAlignment="1">
      <alignment horizontal="center"/>
    </xf>
    <xf numFmtId="38" fontId="54" fillId="24" borderId="19" xfId="0" applyNumberFormat="1" applyFont="1" applyFill="1" applyBorder="1" applyAlignment="1">
      <alignment horizontal="right"/>
    </xf>
    <xf numFmtId="38" fontId="54" fillId="24" borderId="20" xfId="0" applyNumberFormat="1" applyFont="1" applyFill="1" applyBorder="1" applyAlignment="1">
      <alignment horizontal="right"/>
    </xf>
    <xf numFmtId="38" fontId="54" fillId="24" borderId="11" xfId="0" applyNumberFormat="1" applyFont="1" applyFill="1" applyBorder="1" applyAlignment="1">
      <alignment horizontal="right"/>
    </xf>
    <xf numFmtId="3" fontId="64" fillId="24" borderId="126" xfId="0" applyNumberFormat="1" applyFont="1" applyFill="1" applyBorder="1" applyAlignment="1">
      <alignment horizontal="center" vertical="center" wrapText="1"/>
    </xf>
    <xf numFmtId="49" fontId="61" fillId="24" borderId="11" xfId="0" applyNumberFormat="1" applyFont="1" applyFill="1" applyBorder="1" applyAlignment="1">
      <alignment horizontal="center" vertical="center"/>
    </xf>
    <xf numFmtId="38" fontId="54" fillId="24" borderId="13" xfId="0" applyNumberFormat="1" applyFont="1" applyFill="1" applyBorder="1" applyAlignment="1">
      <alignment horizontal="right"/>
    </xf>
    <xf numFmtId="38" fontId="54" fillId="24" borderId="21" xfId="0" applyNumberFormat="1" applyFont="1" applyFill="1" applyBorder="1" applyAlignment="1">
      <alignment horizontal="right"/>
    </xf>
    <xf numFmtId="38" fontId="54" fillId="24" borderId="14" xfId="0" applyNumberFormat="1" applyFont="1" applyFill="1" applyBorder="1" applyAlignment="1">
      <alignment horizontal="right"/>
    </xf>
    <xf numFmtId="38" fontId="53" fillId="24" borderId="13" xfId="0" applyNumberFormat="1" applyFont="1" applyFill="1" applyBorder="1" applyAlignment="1" applyProtection="1">
      <alignment horizontal="right"/>
    </xf>
    <xf numFmtId="38" fontId="53" fillId="24" borderId="21" xfId="0" applyNumberFormat="1" applyFont="1" applyFill="1" applyBorder="1" applyAlignment="1" applyProtection="1">
      <alignment horizontal="right"/>
    </xf>
    <xf numFmtId="38" fontId="53" fillId="24" borderId="21" xfId="1" applyNumberFormat="1" applyFont="1" applyFill="1" applyBorder="1" applyAlignment="1" applyProtection="1">
      <alignment horizontal="right"/>
    </xf>
    <xf numFmtId="38" fontId="53" fillId="24" borderId="14" xfId="0" applyNumberFormat="1" applyFont="1" applyFill="1" applyBorder="1" applyAlignment="1" applyProtection="1">
      <alignment horizontal="right"/>
    </xf>
    <xf numFmtId="38" fontId="54" fillId="24" borderId="19" xfId="0" applyNumberFormat="1" applyFont="1" applyFill="1" applyBorder="1" applyAlignment="1" applyProtection="1">
      <alignment horizontal="right"/>
    </xf>
    <xf numFmtId="38" fontId="54" fillId="24" borderId="20" xfId="0" applyNumberFormat="1" applyFont="1" applyFill="1" applyBorder="1" applyAlignment="1" applyProtection="1">
      <alignment horizontal="right"/>
    </xf>
    <xf numFmtId="38" fontId="54" fillId="24" borderId="21" xfId="0" applyNumberFormat="1" applyFont="1" applyFill="1" applyBorder="1" applyAlignment="1" applyProtection="1">
      <alignment horizontal="right"/>
    </xf>
    <xf numFmtId="38" fontId="54" fillId="24" borderId="14" xfId="0" applyNumberFormat="1" applyFont="1" applyFill="1" applyBorder="1" applyAlignment="1" applyProtection="1">
      <alignment horizontal="right"/>
    </xf>
    <xf numFmtId="0" fontId="56" fillId="24" borderId="31" xfId="0" applyFont="1" applyFill="1" applyBorder="1" applyAlignment="1">
      <alignment horizontal="center" vertical="center"/>
    </xf>
    <xf numFmtId="38" fontId="54" fillId="24" borderId="13" xfId="0" applyNumberFormat="1" applyFont="1" applyFill="1" applyBorder="1" applyAlignment="1" applyProtection="1">
      <alignment horizontal="right"/>
    </xf>
    <xf numFmtId="38" fontId="54" fillId="24" borderId="11" xfId="0" applyNumberFormat="1" applyFont="1" applyFill="1" applyBorder="1" applyAlignment="1" applyProtection="1">
      <alignment horizontal="right"/>
    </xf>
    <xf numFmtId="38" fontId="54" fillId="24" borderId="49" xfId="0" applyNumberFormat="1" applyFont="1" applyFill="1" applyBorder="1" applyAlignment="1" applyProtection="1">
      <alignment horizontal="right"/>
    </xf>
    <xf numFmtId="38" fontId="54" fillId="24" borderId="34" xfId="0" applyNumberFormat="1" applyFont="1" applyFill="1" applyBorder="1" applyAlignment="1" applyProtection="1">
      <alignment horizontal="right"/>
    </xf>
    <xf numFmtId="38" fontId="54" fillId="24" borderId="31" xfId="0" applyNumberFormat="1" applyFont="1" applyFill="1" applyBorder="1" applyAlignment="1" applyProtection="1">
      <alignment horizontal="right"/>
    </xf>
    <xf numFmtId="3" fontId="53" fillId="24" borderId="13" xfId="0" applyNumberFormat="1" applyFont="1" applyFill="1" applyBorder="1" applyAlignment="1" applyProtection="1">
      <alignment horizontal="right" vertical="center"/>
    </xf>
    <xf numFmtId="3" fontId="53" fillId="24" borderId="21" xfId="0" applyNumberFormat="1" applyFont="1" applyFill="1" applyBorder="1" applyAlignment="1" applyProtection="1">
      <alignment horizontal="right" vertical="center"/>
    </xf>
    <xf numFmtId="3" fontId="53" fillId="24" borderId="14" xfId="0" applyNumberFormat="1" applyFont="1" applyFill="1" applyBorder="1" applyAlignment="1" applyProtection="1">
      <alignment horizontal="right" vertical="center"/>
    </xf>
    <xf numFmtId="0" fontId="63" fillId="18" borderId="14" xfId="0" applyFont="1" applyFill="1" applyBorder="1" applyAlignment="1" applyProtection="1">
      <alignment horizontal="left" vertical="center"/>
    </xf>
    <xf numFmtId="0" fontId="63" fillId="18" borderId="2" xfId="0" applyFont="1" applyFill="1" applyBorder="1" applyAlignment="1" applyProtection="1">
      <alignment horizontal="center" vertical="top"/>
    </xf>
    <xf numFmtId="0" fontId="63" fillId="18" borderId="2" xfId="0" applyFont="1" applyFill="1" applyBorder="1" applyAlignment="1" applyProtection="1">
      <alignment horizontal="center" vertical="center"/>
    </xf>
    <xf numFmtId="3" fontId="53" fillId="24" borderId="13" xfId="0" applyNumberFormat="1" applyFont="1" applyFill="1" applyBorder="1" applyAlignment="1" applyProtection="1">
      <alignment horizontal="center" vertical="center"/>
    </xf>
    <xf numFmtId="49" fontId="63" fillId="24" borderId="21" xfId="0" applyNumberFormat="1" applyFont="1" applyFill="1" applyBorder="1" applyAlignment="1" applyProtection="1">
      <alignment horizontal="center" vertical="center"/>
    </xf>
    <xf numFmtId="3" fontId="54" fillId="24" borderId="21" xfId="0" applyNumberFormat="1" applyFont="1" applyFill="1" applyBorder="1" applyAlignment="1" applyProtection="1">
      <alignment horizontal="center"/>
    </xf>
    <xf numFmtId="3" fontId="56" fillId="24" borderId="21" xfId="0" applyNumberFormat="1" applyFont="1" applyFill="1" applyBorder="1" applyAlignment="1" applyProtection="1">
      <alignment horizontal="center"/>
    </xf>
    <xf numFmtId="38" fontId="56" fillId="24" borderId="21" xfId="0" applyNumberFormat="1" applyFont="1" applyFill="1" applyBorder="1" applyAlignment="1" applyProtection="1">
      <alignment horizontal="center"/>
    </xf>
    <xf numFmtId="3" fontId="56" fillId="24" borderId="14" xfId="0" applyNumberFormat="1" applyFont="1" applyFill="1" applyBorder="1" applyAlignment="1" applyProtection="1">
      <alignment horizontal="center"/>
    </xf>
    <xf numFmtId="0" fontId="53" fillId="24" borderId="49" xfId="0" applyFont="1" applyFill="1" applyBorder="1" applyAlignment="1" applyProtection="1">
      <alignment horizontal="center" vertical="center" wrapText="1"/>
    </xf>
    <xf numFmtId="0" fontId="54" fillId="24" borderId="34" xfId="0" applyFont="1" applyFill="1" applyBorder="1" applyAlignment="1">
      <alignment horizontal="center" vertical="center" wrapText="1"/>
    </xf>
    <xf numFmtId="164" fontId="53" fillId="24" borderId="49" xfId="0" applyNumberFormat="1" applyFont="1" applyFill="1" applyBorder="1" applyAlignment="1" applyProtection="1">
      <alignment horizontal="center" vertical="center" wrapText="1"/>
    </xf>
    <xf numFmtId="0" fontId="56" fillId="24" borderId="31" xfId="0" applyFont="1" applyFill="1" applyBorder="1" applyAlignment="1">
      <alignment horizontal="center" vertical="center" wrapText="1"/>
    </xf>
    <xf numFmtId="164" fontId="53" fillId="24" borderId="49" xfId="0" applyNumberFormat="1" applyFont="1" applyFill="1" applyBorder="1" applyAlignment="1" applyProtection="1">
      <alignment horizontal="center" vertical="center"/>
    </xf>
    <xf numFmtId="3" fontId="63" fillId="18" borderId="20" xfId="0" applyNumberFormat="1" applyFont="1" applyFill="1" applyBorder="1" applyAlignment="1" applyProtection="1">
      <alignment horizontal="left" vertical="center"/>
    </xf>
    <xf numFmtId="0" fontId="63" fillId="18" borderId="2" xfId="0" applyFont="1" applyFill="1" applyBorder="1" applyAlignment="1">
      <alignment horizontal="center" vertical="center"/>
    </xf>
    <xf numFmtId="164" fontId="63" fillId="18" borderId="20" xfId="0" applyNumberFormat="1" applyFont="1" applyFill="1" applyBorder="1" applyAlignment="1" applyProtection="1">
      <alignment horizontal="left" vertical="center"/>
    </xf>
    <xf numFmtId="0" fontId="63" fillId="18" borderId="29" xfId="0" applyFont="1" applyFill="1" applyBorder="1" applyAlignment="1" applyProtection="1">
      <alignment horizontal="center" vertical="center"/>
    </xf>
    <xf numFmtId="0" fontId="63" fillId="18" borderId="128" xfId="0" applyFont="1" applyFill="1" applyBorder="1" applyAlignment="1" applyProtection="1">
      <alignment horizontal="center" vertical="center"/>
    </xf>
    <xf numFmtId="164" fontId="63" fillId="18" borderId="21" xfId="0" applyNumberFormat="1" applyFont="1" applyFill="1" applyBorder="1" applyAlignment="1" applyProtection="1">
      <alignment horizontal="left" vertical="center"/>
    </xf>
    <xf numFmtId="0" fontId="63" fillId="18" borderId="14" xfId="0" applyFont="1" applyFill="1" applyBorder="1" applyAlignment="1" applyProtection="1">
      <alignment horizontal="center" vertical="center"/>
    </xf>
    <xf numFmtId="0" fontId="63" fillId="18" borderId="31" xfId="0" applyFont="1" applyFill="1" applyBorder="1" applyAlignment="1" applyProtection="1">
      <alignment horizontal="center" vertical="center"/>
    </xf>
    <xf numFmtId="164" fontId="63" fillId="16" borderId="21" xfId="0" applyNumberFormat="1" applyFont="1" applyFill="1" applyBorder="1" applyAlignment="1" applyProtection="1">
      <alignment horizontal="left" vertical="center" indent="1"/>
    </xf>
    <xf numFmtId="0" fontId="61" fillId="16" borderId="14" xfId="0" applyFont="1" applyFill="1" applyBorder="1" applyAlignment="1" applyProtection="1">
      <alignment horizontal="center" vertical="center"/>
    </xf>
    <xf numFmtId="164" fontId="63" fillId="16" borderId="20" xfId="0" applyNumberFormat="1" applyFont="1" applyFill="1" applyBorder="1" applyAlignment="1" applyProtection="1">
      <alignment horizontal="left" vertical="center" indent="1"/>
    </xf>
    <xf numFmtId="1" fontId="61" fillId="16" borderId="11" xfId="0" applyNumberFormat="1" applyFont="1" applyFill="1" applyBorder="1" applyAlignment="1" applyProtection="1">
      <alignment horizontal="center" vertical="center"/>
    </xf>
    <xf numFmtId="1" fontId="61" fillId="16" borderId="4" xfId="0" applyNumberFormat="1" applyFont="1" applyFill="1" applyBorder="1" applyAlignment="1" applyProtection="1">
      <alignment horizontal="center" vertical="center"/>
    </xf>
    <xf numFmtId="0" fontId="63" fillId="16" borderId="21" xfId="0" applyFont="1" applyFill="1" applyBorder="1" applyAlignment="1">
      <alignment horizontal="left" vertical="center" indent="1"/>
    </xf>
    <xf numFmtId="0" fontId="61" fillId="16" borderId="14" xfId="0" applyFont="1" applyFill="1" applyBorder="1" applyAlignment="1">
      <alignment horizontal="left" vertical="center"/>
    </xf>
    <xf numFmtId="0" fontId="61" fillId="16" borderId="11" xfId="0" applyFont="1" applyFill="1" applyBorder="1" applyAlignment="1" applyProtection="1">
      <alignment horizontal="center" vertical="center"/>
    </xf>
    <xf numFmtId="3" fontId="63" fillId="18" borderId="126" xfId="0" applyNumberFormat="1" applyFont="1" applyFill="1" applyBorder="1" applyAlignment="1">
      <alignment horizontal="left" vertical="center" wrapText="1"/>
    </xf>
    <xf numFmtId="49" fontId="63" fillId="18" borderId="128" xfId="0" applyNumberFormat="1" applyFont="1" applyFill="1" applyBorder="1" applyAlignment="1">
      <alignment horizontal="center" vertical="center"/>
    </xf>
    <xf numFmtId="0" fontId="63" fillId="18" borderId="17" xfId="0" applyFont="1" applyFill="1" applyBorder="1" applyAlignment="1">
      <alignment horizontal="left" vertical="center" wrapText="1"/>
    </xf>
    <xf numFmtId="49" fontId="63" fillId="18" borderId="29" xfId="0" applyNumberFormat="1" applyFont="1" applyFill="1" applyBorder="1" applyAlignment="1">
      <alignment horizontal="center" vertical="center"/>
    </xf>
    <xf numFmtId="3" fontId="63" fillId="18" borderId="33" xfId="0" applyNumberFormat="1" applyFont="1" applyFill="1" applyBorder="1" applyAlignment="1">
      <alignment horizontal="left" vertical="center" wrapText="1"/>
    </xf>
    <xf numFmtId="49" fontId="63" fillId="18" borderId="33" xfId="0" applyNumberFormat="1" applyFont="1" applyFill="1" applyBorder="1" applyAlignment="1">
      <alignment horizontal="center" vertical="center"/>
    </xf>
    <xf numFmtId="164" fontId="63" fillId="18" borderId="126" xfId="0" applyNumberFormat="1" applyFont="1" applyFill="1" applyBorder="1" applyAlignment="1">
      <alignment horizontal="left" vertical="center" wrapText="1"/>
    </xf>
    <xf numFmtId="49" fontId="63" fillId="18" borderId="4" xfId="0" applyNumberFormat="1" applyFont="1" applyFill="1" applyBorder="1" applyAlignment="1">
      <alignment horizontal="center" vertical="center"/>
    </xf>
    <xf numFmtId="3" fontId="63" fillId="18" borderId="13" xfId="0" applyNumberFormat="1" applyFont="1" applyFill="1" applyBorder="1" applyAlignment="1">
      <alignment horizontal="left" vertical="center" wrapText="1"/>
    </xf>
    <xf numFmtId="49" fontId="63" fillId="18" borderId="2" xfId="0" applyNumberFormat="1" applyFont="1" applyFill="1" applyBorder="1" applyAlignment="1">
      <alignment horizontal="center" vertical="center"/>
    </xf>
    <xf numFmtId="164" fontId="63" fillId="18" borderId="17" xfId="0" applyNumberFormat="1" applyFont="1" applyFill="1" applyBorder="1" applyAlignment="1">
      <alignment horizontal="left" vertical="center" wrapText="1"/>
    </xf>
    <xf numFmtId="0" fontId="63" fillId="18" borderId="36" xfId="0" applyFont="1" applyFill="1" applyBorder="1" applyAlignment="1">
      <alignment horizontal="left" vertical="center" wrapText="1"/>
    </xf>
    <xf numFmtId="49" fontId="63" fillId="18" borderId="27" xfId="0" applyNumberFormat="1" applyFont="1" applyFill="1" applyBorder="1" applyAlignment="1">
      <alignment horizontal="center" vertical="center"/>
    </xf>
    <xf numFmtId="3" fontId="63" fillId="18" borderId="37" xfId="0" applyNumberFormat="1" applyFont="1" applyFill="1" applyBorder="1" applyAlignment="1">
      <alignment horizontal="left" vertical="center" wrapText="1"/>
    </xf>
    <xf numFmtId="0" fontId="63" fillId="18" borderId="13" xfId="0" applyFont="1" applyFill="1" applyBorder="1" applyAlignment="1">
      <alignment horizontal="left" vertical="center" wrapText="1"/>
    </xf>
    <xf numFmtId="49" fontId="63" fillId="18" borderId="14" xfId="0" applyNumberFormat="1" applyFont="1" applyFill="1" applyBorder="1" applyAlignment="1">
      <alignment horizontal="center" vertical="center"/>
    </xf>
    <xf numFmtId="0" fontId="63" fillId="18" borderId="37" xfId="0" applyFont="1" applyFill="1" applyBorder="1" applyAlignment="1">
      <alignment horizontal="left" vertical="center" wrapText="1"/>
    </xf>
    <xf numFmtId="164" fontId="63" fillId="18" borderId="13" xfId="0" applyNumberFormat="1" applyFont="1" applyFill="1" applyBorder="1" applyAlignment="1">
      <alignment horizontal="left" vertical="center" wrapText="1"/>
    </xf>
    <xf numFmtId="0" fontId="63" fillId="18" borderId="128" xfId="0" applyFont="1" applyFill="1" applyBorder="1" applyAlignment="1">
      <alignment horizontal="left" vertical="center" wrapText="1"/>
    </xf>
    <xf numFmtId="3" fontId="63" fillId="18" borderId="128" xfId="0" applyNumberFormat="1" applyFont="1" applyFill="1" applyBorder="1" applyAlignment="1">
      <alignment horizontal="left" vertical="center" wrapText="1"/>
    </xf>
    <xf numFmtId="38" fontId="54" fillId="25" borderId="19" xfId="0" applyNumberFormat="1" applyFont="1" applyFill="1" applyBorder="1" applyAlignment="1">
      <alignment horizontal="right"/>
    </xf>
    <xf numFmtId="38" fontId="54" fillId="25" borderId="20" xfId="0" applyNumberFormat="1" applyFont="1" applyFill="1" applyBorder="1" applyAlignment="1">
      <alignment horizontal="right"/>
    </xf>
    <xf numFmtId="38" fontId="54" fillId="25" borderId="11" xfId="0" applyNumberFormat="1" applyFont="1" applyFill="1" applyBorder="1" applyAlignment="1">
      <alignment horizontal="right"/>
    </xf>
    <xf numFmtId="0" fontId="63" fillId="18" borderId="50" xfId="0" applyFont="1" applyFill="1" applyBorder="1" applyAlignment="1" applyProtection="1">
      <alignment horizontal="left" vertical="center"/>
    </xf>
    <xf numFmtId="0" fontId="63" fillId="18" borderId="22" xfId="0" applyFont="1" applyFill="1" applyBorder="1" applyAlignment="1" applyProtection="1">
      <alignment horizontal="center" vertical="center"/>
    </xf>
    <xf numFmtId="0" fontId="63" fillId="18" borderId="46" xfId="0" applyFont="1" applyFill="1" applyBorder="1" applyAlignment="1" applyProtection="1">
      <alignment horizontal="left" vertical="center"/>
    </xf>
    <xf numFmtId="0" fontId="63" fillId="18" borderId="46" xfId="0" applyFont="1" applyFill="1" applyBorder="1" applyAlignment="1" applyProtection="1">
      <alignment horizontal="left" vertical="center" wrapText="1"/>
    </xf>
    <xf numFmtId="0" fontId="63" fillId="18" borderId="46" xfId="0" applyFont="1" applyFill="1" applyBorder="1" applyAlignment="1" applyProtection="1">
      <alignment horizontal="left" vertical="center" indent="1"/>
    </xf>
    <xf numFmtId="0" fontId="64" fillId="24" borderId="13" xfId="0" applyFont="1" applyFill="1" applyBorder="1" applyAlignment="1">
      <alignment horizontal="left" vertical="center"/>
    </xf>
    <xf numFmtId="0" fontId="64" fillId="24" borderId="21" xfId="0" applyFont="1" applyFill="1" applyBorder="1" applyAlignment="1">
      <alignment horizontal="left" vertical="center"/>
    </xf>
    <xf numFmtId="0" fontId="64" fillId="24" borderId="14" xfId="0" applyFont="1" applyFill="1" applyBorder="1" applyAlignment="1">
      <alignment horizontal="left" vertical="center"/>
    </xf>
    <xf numFmtId="0" fontId="53" fillId="16" borderId="12" xfId="0" applyFont="1" applyFill="1" applyBorder="1" applyAlignment="1" applyProtection="1">
      <alignment vertical="center"/>
    </xf>
    <xf numFmtId="0" fontId="63" fillId="0" borderId="160" xfId="0" applyFont="1" applyBorder="1" applyAlignment="1">
      <alignment horizontal="centerContinuous" vertical="center"/>
    </xf>
    <xf numFmtId="0" fontId="54" fillId="0" borderId="161" xfId="0" applyFont="1" applyBorder="1" applyAlignment="1">
      <alignment horizontal="centerContinuous" vertical="center"/>
    </xf>
    <xf numFmtId="0" fontId="56" fillId="0" borderId="161" xfId="0" applyFont="1" applyBorder="1" applyAlignment="1">
      <alignment horizontal="centerContinuous" vertical="center"/>
    </xf>
    <xf numFmtId="0" fontId="63" fillId="0" borderId="105" xfId="0" applyFont="1" applyBorder="1" applyAlignment="1">
      <alignment horizontal="center"/>
    </xf>
    <xf numFmtId="0" fontId="56" fillId="24" borderId="16" xfId="3" applyFont="1" applyFill="1" applyBorder="1" applyAlignment="1">
      <alignment horizontal="left" vertical="center"/>
    </xf>
    <xf numFmtId="0" fontId="56" fillId="24" borderId="10" xfId="3" applyFont="1" applyFill="1" applyBorder="1" applyAlignment="1">
      <alignment horizontal="left" vertical="center"/>
    </xf>
    <xf numFmtId="0" fontId="56" fillId="24" borderId="19" xfId="3" applyNumberFormat="1" applyFont="1" applyFill="1" applyBorder="1" applyAlignment="1">
      <alignment vertical="center"/>
    </xf>
    <xf numFmtId="0" fontId="56" fillId="24" borderId="20" xfId="3" applyNumberFormat="1" applyFont="1" applyFill="1" applyBorder="1" applyAlignment="1">
      <alignment vertical="center"/>
    </xf>
    <xf numFmtId="0" fontId="56" fillId="24" borderId="11" xfId="3" applyNumberFormat="1" applyFont="1" applyFill="1" applyBorder="1" applyAlignment="1">
      <alignment vertical="center"/>
    </xf>
    <xf numFmtId="0" fontId="5" fillId="0" borderId="0" xfId="17" quotePrefix="1" applyNumberFormat="1" applyFont="1"/>
    <xf numFmtId="0" fontId="126" fillId="21" borderId="158" xfId="17" applyFont="1" applyFill="1" applyBorder="1" applyAlignment="1" applyProtection="1">
      <alignment horizontal="left" vertical="top" wrapText="1"/>
    </xf>
    <xf numFmtId="49" fontId="126" fillId="21" borderId="158" xfId="17" applyNumberFormat="1" applyFont="1" applyFill="1" applyBorder="1" applyAlignment="1" applyProtection="1">
      <alignment horizontal="center" vertical="top"/>
    </xf>
    <xf numFmtId="0" fontId="126" fillId="21" borderId="158" xfId="17" applyFont="1" applyFill="1" applyBorder="1" applyAlignment="1" applyProtection="1">
      <alignment vertical="top"/>
    </xf>
    <xf numFmtId="38" fontId="126" fillId="21" borderId="158" xfId="17" applyNumberFormat="1" applyFont="1" applyFill="1" applyBorder="1" applyAlignment="1" applyProtection="1">
      <alignment horizontal="right" vertical="top"/>
    </xf>
    <xf numFmtId="38" fontId="126" fillId="21" borderId="158" xfId="17" applyNumberFormat="1" applyFont="1" applyFill="1" applyBorder="1" applyAlignment="1" applyProtection="1">
      <alignment vertical="top"/>
    </xf>
    <xf numFmtId="0" fontId="6" fillId="0" borderId="158" xfId="17" applyBorder="1" applyAlignment="1" applyProtection="1">
      <alignment horizontal="left" vertical="top" wrapText="1"/>
      <protection locked="0"/>
    </xf>
    <xf numFmtId="0" fontId="6" fillId="0" borderId="158" xfId="17" applyBorder="1" applyAlignment="1" applyProtection="1">
      <alignment vertical="top"/>
      <protection locked="0"/>
    </xf>
    <xf numFmtId="0" fontId="5" fillId="0" borderId="158" xfId="17" applyFont="1" applyBorder="1" applyAlignment="1" applyProtection="1">
      <alignment vertical="top"/>
      <protection locked="0"/>
    </xf>
    <xf numFmtId="0" fontId="6" fillId="0" borderId="0" xfId="17" applyAlignment="1">
      <alignment horizontal="center" vertical="center" wrapText="1"/>
    </xf>
    <xf numFmtId="0" fontId="4" fillId="0" borderId="0" xfId="17" applyFont="1" applyAlignment="1">
      <alignment horizontal="left" vertical="center" wrapText="1"/>
    </xf>
    <xf numFmtId="0" fontId="4" fillId="0" borderId="0" xfId="17" applyFont="1" applyAlignment="1">
      <alignment vertical="center"/>
    </xf>
    <xf numFmtId="0" fontId="6" fillId="0" borderId="0" xfId="17" applyAlignment="1">
      <alignment vertical="center"/>
    </xf>
    <xf numFmtId="0" fontId="126" fillId="0" borderId="98" xfId="17" applyFont="1" applyBorder="1" applyAlignment="1">
      <alignment horizontal="left" vertical="top"/>
    </xf>
    <xf numFmtId="0" fontId="126" fillId="0" borderId="78" xfId="17" applyFont="1" applyBorder="1" applyAlignment="1">
      <alignment horizontal="left" vertical="top"/>
    </xf>
    <xf numFmtId="0" fontId="126" fillId="0" borderId="99" xfId="17" applyFont="1" applyBorder="1" applyAlignment="1">
      <alignment horizontal="left" vertical="top"/>
    </xf>
    <xf numFmtId="0" fontId="32" fillId="0" borderId="0" xfId="2" applyNumberFormat="1" applyAlignment="1" applyProtection="1">
      <alignment vertical="center"/>
    </xf>
    <xf numFmtId="0" fontId="63" fillId="0" borderId="5" xfId="3" applyFont="1" applyFill="1" applyBorder="1" applyAlignment="1" applyProtection="1"/>
    <xf numFmtId="49" fontId="4" fillId="0" borderId="158" xfId="17" applyNumberFormat="1" applyFont="1" applyBorder="1" applyAlignment="1" applyProtection="1">
      <alignment horizontal="center" vertical="center"/>
      <protection locked="0"/>
    </xf>
    <xf numFmtId="3" fontId="63" fillId="17" borderId="36" xfId="0" applyNumberFormat="1" applyFont="1" applyFill="1" applyBorder="1" applyAlignment="1">
      <alignment horizontal="left" vertical="center" wrapText="1" indent="1"/>
    </xf>
    <xf numFmtId="49" fontId="63" fillId="17" borderId="27" xfId="0" applyNumberFormat="1" applyFont="1" applyFill="1" applyBorder="1" applyAlignment="1">
      <alignment horizontal="center" vertical="center"/>
    </xf>
    <xf numFmtId="38" fontId="54" fillId="17" borderId="27" xfId="0" applyNumberFormat="1" applyFont="1" applyFill="1" applyBorder="1" applyAlignment="1">
      <alignment horizontal="right"/>
    </xf>
    <xf numFmtId="38" fontId="54" fillId="17" borderId="2" xfId="0" applyNumberFormat="1" applyFont="1" applyFill="1" applyBorder="1" applyAlignment="1">
      <alignment horizontal="right"/>
    </xf>
    <xf numFmtId="38" fontId="54" fillId="17" borderId="4" xfId="0" applyNumberFormat="1" applyFont="1" applyFill="1" applyBorder="1" applyAlignment="1">
      <alignment horizontal="right"/>
    </xf>
    <xf numFmtId="49" fontId="63" fillId="17" borderId="36" xfId="0" applyNumberFormat="1" applyFont="1" applyFill="1" applyBorder="1" applyAlignment="1">
      <alignment horizontal="center" vertical="center"/>
    </xf>
    <xf numFmtId="38" fontId="54" fillId="17" borderId="30" xfId="0" applyNumberFormat="1" applyFont="1" applyFill="1" applyBorder="1" applyAlignment="1">
      <alignment horizontal="right"/>
    </xf>
    <xf numFmtId="49" fontId="63" fillId="17" borderId="30" xfId="0" applyNumberFormat="1" applyFont="1" applyFill="1" applyBorder="1" applyAlignment="1">
      <alignment horizontal="center" vertical="center"/>
    </xf>
    <xf numFmtId="0" fontId="63" fillId="17" borderId="32" xfId="0" applyNumberFormat="1" applyFont="1" applyFill="1" applyBorder="1" applyAlignment="1">
      <alignment horizontal="center" vertical="center"/>
    </xf>
    <xf numFmtId="38" fontId="54" fillId="17" borderId="32" xfId="0" applyNumberFormat="1" applyFont="1" applyFill="1" applyBorder="1" applyAlignment="1">
      <alignment horizontal="right"/>
    </xf>
    <xf numFmtId="0" fontId="63" fillId="17" borderId="27" xfId="0" applyFont="1" applyFill="1" applyBorder="1" applyAlignment="1">
      <alignment horizontal="center" vertical="center"/>
    </xf>
    <xf numFmtId="38" fontId="54" fillId="17" borderId="33" xfId="0" applyNumberFormat="1" applyFont="1" applyFill="1" applyBorder="1" applyAlignment="1">
      <alignment horizontal="right"/>
    </xf>
    <xf numFmtId="3" fontId="63" fillId="17" borderId="27" xfId="0" applyNumberFormat="1" applyFont="1" applyFill="1" applyBorder="1" applyAlignment="1">
      <alignment horizontal="left" vertical="center" indent="1"/>
    </xf>
    <xf numFmtId="0" fontId="63" fillId="17" borderId="27" xfId="0" applyFont="1" applyFill="1" applyBorder="1" applyAlignment="1">
      <alignment horizontal="center" vertical="top"/>
    </xf>
    <xf numFmtId="0" fontId="56" fillId="17" borderId="30" xfId="0" applyFont="1" applyFill="1" applyBorder="1" applyAlignment="1">
      <alignment horizontal="left" vertical="center" indent="1"/>
    </xf>
    <xf numFmtId="38" fontId="54" fillId="17" borderId="26" xfId="0" applyNumberFormat="1" applyFont="1" applyFill="1" applyBorder="1" applyAlignment="1">
      <alignment horizontal="right"/>
    </xf>
    <xf numFmtId="38" fontId="54" fillId="17" borderId="28" xfId="0" applyNumberFormat="1" applyFont="1" applyFill="1" applyBorder="1" applyAlignment="1">
      <alignment horizontal="right"/>
    </xf>
    <xf numFmtId="38" fontId="54" fillId="17" borderId="29" xfId="0" applyNumberFormat="1" applyFont="1" applyFill="1" applyBorder="1" applyAlignment="1">
      <alignment horizontal="right"/>
    </xf>
    <xf numFmtId="3" fontId="63" fillId="17" borderId="55" xfId="0" applyNumberFormat="1" applyFont="1" applyFill="1" applyBorder="1" applyAlignment="1">
      <alignment horizontal="left" vertical="center" wrapText="1" indent="1"/>
    </xf>
    <xf numFmtId="49" fontId="63" fillId="17" borderId="32" xfId="0" applyNumberFormat="1" applyFont="1" applyFill="1" applyBorder="1" applyAlignment="1">
      <alignment horizontal="center" vertical="center"/>
    </xf>
    <xf numFmtId="38" fontId="54" fillId="17" borderId="27" xfId="0" applyNumberFormat="1" applyFont="1" applyFill="1" applyBorder="1" applyAlignment="1" applyProtection="1">
      <alignment horizontal="right"/>
    </xf>
    <xf numFmtId="3" fontId="63" fillId="17" borderId="55" xfId="0" applyNumberFormat="1" applyFont="1" applyFill="1" applyBorder="1" applyAlignment="1">
      <alignment horizontal="left" vertical="top" wrapText="1" indent="1"/>
    </xf>
    <xf numFmtId="49" fontId="61" fillId="17" borderId="51" xfId="0" applyNumberFormat="1" applyFont="1" applyFill="1" applyBorder="1" applyAlignment="1">
      <alignment horizontal="center" vertical="top"/>
    </xf>
    <xf numFmtId="3" fontId="63" fillId="17" borderId="27" xfId="0" applyNumberFormat="1" applyFont="1" applyFill="1" applyBorder="1" applyAlignment="1">
      <alignment horizontal="left" vertical="center" wrapText="1" indent="1"/>
    </xf>
    <xf numFmtId="3" fontId="63" fillId="17" borderId="36" xfId="0" applyNumberFormat="1" applyFont="1" applyFill="1" applyBorder="1" applyAlignment="1">
      <alignment horizontal="left" vertical="top" wrapText="1" indent="1"/>
    </xf>
    <xf numFmtId="0" fontId="61" fillId="17" borderId="30" xfId="0" applyFont="1" applyFill="1" applyBorder="1" applyAlignment="1">
      <alignment vertical="top"/>
    </xf>
    <xf numFmtId="3" fontId="63" fillId="17" borderId="36" xfId="0" applyNumberFormat="1" applyFont="1" applyFill="1" applyBorder="1" applyAlignment="1">
      <alignment horizontal="left" vertical="center" indent="1"/>
    </xf>
    <xf numFmtId="0" fontId="63" fillId="17" borderId="30" xfId="0" applyFont="1" applyFill="1" applyBorder="1" applyAlignment="1">
      <alignment horizontal="center" vertical="center"/>
    </xf>
    <xf numFmtId="0" fontId="63" fillId="17" borderId="27" xfId="0" applyFont="1" applyFill="1" applyBorder="1" applyAlignment="1">
      <alignment horizontal="center" vertical="center" wrapText="1"/>
    </xf>
    <xf numFmtId="49" fontId="63" fillId="17" borderId="27" xfId="0" applyNumberFormat="1" applyFont="1" applyFill="1" applyBorder="1" applyAlignment="1">
      <alignment horizontal="center" vertical="top" wrapText="1"/>
    </xf>
    <xf numFmtId="3" fontId="63" fillId="17" borderId="36" xfId="0" applyNumberFormat="1" applyFont="1" applyFill="1" applyBorder="1" applyAlignment="1">
      <alignment horizontal="left" vertical="top" indent="1"/>
    </xf>
    <xf numFmtId="38" fontId="54" fillId="17" borderId="3" xfId="0" applyNumberFormat="1" applyFont="1" applyFill="1" applyBorder="1" applyAlignment="1">
      <alignment horizontal="right"/>
    </xf>
    <xf numFmtId="0" fontId="63" fillId="17" borderId="36" xfId="0" applyFont="1" applyFill="1" applyBorder="1" applyAlignment="1">
      <alignment horizontal="left" vertical="center" wrapText="1" indent="1"/>
    </xf>
    <xf numFmtId="49" fontId="61" fillId="17" borderId="51" xfId="0" applyNumberFormat="1" applyFont="1" applyFill="1" applyBorder="1" applyAlignment="1">
      <alignment horizontal="center" vertical="center"/>
    </xf>
    <xf numFmtId="38" fontId="54" fillId="17" borderId="33" xfId="0" applyNumberFormat="1" applyFont="1" applyFill="1" applyBorder="1" applyAlignment="1" applyProtection="1">
      <alignment horizontal="right"/>
    </xf>
    <xf numFmtId="38" fontId="54" fillId="17" borderId="32" xfId="0" applyNumberFormat="1" applyFont="1" applyFill="1" applyBorder="1" applyAlignment="1" applyProtection="1">
      <alignment horizontal="right"/>
    </xf>
    <xf numFmtId="0" fontId="61" fillId="17" borderId="30" xfId="0" applyFont="1" applyFill="1" applyBorder="1" applyAlignment="1">
      <alignment horizontal="left" vertical="top" wrapText="1" indent="1"/>
    </xf>
    <xf numFmtId="0" fontId="63" fillId="17" borderId="35" xfId="0" applyFont="1" applyFill="1" applyBorder="1" applyAlignment="1" applyProtection="1">
      <alignment horizontal="left" vertical="center" wrapText="1" indent="1"/>
    </xf>
    <xf numFmtId="0" fontId="61" fillId="17" borderId="30" xfId="0" applyFont="1" applyFill="1" applyBorder="1" applyAlignment="1" applyProtection="1">
      <alignment horizontal="left" vertical="center"/>
    </xf>
    <xf numFmtId="38" fontId="54" fillId="17" borderId="36" xfId="0" applyNumberFormat="1" applyFont="1" applyFill="1" applyBorder="1" applyAlignment="1" applyProtection="1">
      <alignment horizontal="right"/>
    </xf>
    <xf numFmtId="0" fontId="63" fillId="17" borderId="35" xfId="0" applyFont="1" applyFill="1" applyBorder="1" applyAlignment="1" applyProtection="1">
      <alignment horizontal="left" vertical="center" indent="1"/>
    </xf>
    <xf numFmtId="0" fontId="61" fillId="17" borderId="30" xfId="0" applyFont="1" applyFill="1" applyBorder="1" applyAlignment="1" applyProtection="1">
      <alignment horizontal="center" vertical="center"/>
    </xf>
    <xf numFmtId="37" fontId="54" fillId="17" borderId="36" xfId="0" applyNumberFormat="1" applyFont="1" applyFill="1" applyBorder="1" applyAlignment="1" applyProtection="1">
      <alignment horizontal="right"/>
    </xf>
    <xf numFmtId="37" fontId="54" fillId="17" borderId="27" xfId="0" applyNumberFormat="1" applyFont="1" applyFill="1" applyBorder="1" applyAlignment="1" applyProtection="1">
      <alignment horizontal="right"/>
    </xf>
    <xf numFmtId="0" fontId="61" fillId="17" borderId="30" xfId="0" applyFont="1" applyFill="1" applyBorder="1" applyAlignment="1" applyProtection="1">
      <alignment horizontal="left" vertical="center" indent="2"/>
    </xf>
    <xf numFmtId="0" fontId="63" fillId="17" borderId="52" xfId="0" applyFont="1" applyFill="1" applyBorder="1" applyAlignment="1" applyProtection="1">
      <alignment horizontal="left" vertical="top" wrapText="1" indent="1"/>
    </xf>
    <xf numFmtId="49" fontId="63" fillId="17" borderId="33" xfId="0" applyNumberFormat="1" applyFont="1" applyFill="1" applyBorder="1" applyAlignment="1">
      <alignment horizontal="center" vertical="center"/>
    </xf>
    <xf numFmtId="38" fontId="54" fillId="17" borderId="37" xfId="0" applyNumberFormat="1" applyFont="1" applyFill="1" applyBorder="1" applyAlignment="1" applyProtection="1">
      <alignment horizontal="right"/>
    </xf>
    <xf numFmtId="49" fontId="63" fillId="17" borderId="35" xfId="0" applyNumberFormat="1" applyFont="1" applyFill="1" applyBorder="1" applyAlignment="1" applyProtection="1">
      <alignment horizontal="left" vertical="top" indent="1"/>
    </xf>
    <xf numFmtId="49" fontId="63" fillId="17" borderId="27" xfId="0" applyNumberFormat="1" applyFont="1" applyFill="1" applyBorder="1" applyAlignment="1">
      <alignment horizontal="center" vertical="top"/>
    </xf>
    <xf numFmtId="38" fontId="54" fillId="17" borderId="12" xfId="0" applyNumberFormat="1" applyFont="1" applyFill="1" applyBorder="1" applyAlignment="1" applyProtection="1">
      <alignment horizontal="right"/>
    </xf>
    <xf numFmtId="49" fontId="61" fillId="17" borderId="30" xfId="0" applyNumberFormat="1" applyFont="1" applyFill="1" applyBorder="1" applyAlignment="1" applyProtection="1">
      <alignment horizontal="center" vertical="center"/>
    </xf>
    <xf numFmtId="1" fontId="61" fillId="17" borderId="30" xfId="0" applyNumberFormat="1" applyFont="1" applyFill="1" applyBorder="1" applyAlignment="1" applyProtection="1">
      <alignment horizontal="center" vertical="center"/>
    </xf>
    <xf numFmtId="38" fontId="54" fillId="17" borderId="3" xfId="0" applyNumberFormat="1" applyFont="1" applyFill="1" applyBorder="1" applyAlignment="1" applyProtection="1">
      <alignment horizontal="right"/>
    </xf>
    <xf numFmtId="38" fontId="54" fillId="17" borderId="55" xfId="0" applyNumberFormat="1" applyFont="1" applyFill="1" applyBorder="1" applyAlignment="1" applyProtection="1">
      <alignment horizontal="right"/>
    </xf>
    <xf numFmtId="0" fontId="63" fillId="17" borderId="35" xfId="0" applyFont="1" applyFill="1" applyBorder="1" applyAlignment="1" applyProtection="1">
      <alignment horizontal="left" indent="1"/>
    </xf>
    <xf numFmtId="0" fontId="61" fillId="17" borderId="30" xfId="0" applyFont="1" applyFill="1" applyBorder="1" applyAlignment="1" applyProtection="1">
      <alignment horizontal="center"/>
    </xf>
    <xf numFmtId="0" fontId="63" fillId="17" borderId="36" xfId="0" applyFont="1" applyFill="1" applyBorder="1" applyAlignment="1" applyProtection="1">
      <alignment horizontal="left" vertical="center" indent="1"/>
    </xf>
    <xf numFmtId="0" fontId="61" fillId="17" borderId="27" xfId="0" applyFont="1" applyFill="1" applyBorder="1" applyAlignment="1" applyProtection="1">
      <alignment horizontal="center" vertical="center"/>
    </xf>
    <xf numFmtId="0" fontId="63" fillId="17" borderId="30" xfId="0" applyFont="1" applyFill="1" applyBorder="1" applyAlignment="1">
      <alignment vertical="center"/>
    </xf>
    <xf numFmtId="49" fontId="63" fillId="17" borderId="33" xfId="0" applyNumberFormat="1" applyFont="1" applyFill="1" applyBorder="1" applyAlignment="1" applyProtection="1">
      <alignment horizontal="left" vertical="center" wrapText="1" indent="1"/>
    </xf>
    <xf numFmtId="49" fontId="63" fillId="17" borderId="53" xfId="0" applyNumberFormat="1" applyFont="1" applyFill="1" applyBorder="1" applyAlignment="1">
      <alignment horizontal="center" vertical="center"/>
    </xf>
    <xf numFmtId="0" fontId="63" fillId="17" borderId="52" xfId="0" applyFont="1" applyFill="1" applyBorder="1" applyAlignment="1" applyProtection="1">
      <alignment horizontal="left" wrapText="1" indent="1"/>
    </xf>
    <xf numFmtId="0" fontId="61" fillId="17" borderId="53" xfId="0" applyFont="1" applyFill="1" applyBorder="1" applyAlignment="1" applyProtection="1">
      <alignment horizontal="left" indent="2"/>
    </xf>
    <xf numFmtId="176" fontId="56" fillId="17" borderId="2" xfId="0" applyNumberFormat="1" applyFont="1" applyFill="1" applyBorder="1" applyAlignment="1" applyProtection="1">
      <alignment vertical="center"/>
    </xf>
    <xf numFmtId="38" fontId="56" fillId="17" borderId="2" xfId="0" applyNumberFormat="1" applyFont="1" applyFill="1" applyBorder="1" applyAlignment="1" applyProtection="1">
      <alignment horizontal="right" vertical="center"/>
    </xf>
    <xf numFmtId="38" fontId="56" fillId="17" borderId="2" xfId="0" applyNumberFormat="1" applyFont="1" applyFill="1" applyBorder="1" applyAlignment="1" applyProtection="1">
      <alignment vertical="center"/>
    </xf>
    <xf numFmtId="37" fontId="56" fillId="17" borderId="13" xfId="5" applyNumberFormat="1" applyFont="1" applyFill="1" applyBorder="1" applyAlignment="1" applyProtection="1">
      <alignment horizontal="right"/>
    </xf>
    <xf numFmtId="0" fontId="63" fillId="17" borderId="35" xfId="0" applyFont="1" applyFill="1" applyBorder="1" applyAlignment="1" applyProtection="1">
      <alignment horizontal="left" vertical="center" indent="2"/>
    </xf>
    <xf numFmtId="38" fontId="54" fillId="17" borderId="30" xfId="0" applyNumberFormat="1" applyFont="1" applyFill="1" applyBorder="1" applyAlignment="1" applyProtection="1">
      <alignment horizontal="right"/>
    </xf>
    <xf numFmtId="0" fontId="63" fillId="17" borderId="20" xfId="0" applyFont="1" applyFill="1" applyBorder="1" applyAlignment="1" applyProtection="1">
      <alignment horizontal="left" vertical="center" indent="2"/>
    </xf>
    <xf numFmtId="0" fontId="63" fillId="17" borderId="14" xfId="0" applyFont="1" applyFill="1" applyBorder="1" applyAlignment="1" applyProtection="1">
      <alignment horizontal="center" vertical="center"/>
    </xf>
    <xf numFmtId="38" fontId="54" fillId="17" borderId="26" xfId="0" applyNumberFormat="1" applyFont="1" applyFill="1" applyBorder="1" applyAlignment="1" applyProtection="1">
      <alignment horizontal="right"/>
    </xf>
    <xf numFmtId="0" fontId="63" fillId="17" borderId="30" xfId="0" applyFont="1" applyFill="1" applyBorder="1" applyAlignment="1" applyProtection="1">
      <alignment horizontal="center" vertical="center"/>
    </xf>
    <xf numFmtId="38" fontId="54" fillId="17" borderId="4" xfId="0" applyNumberFormat="1" applyFont="1" applyFill="1" applyBorder="1" applyAlignment="1" applyProtection="1">
      <alignment horizontal="right"/>
    </xf>
    <xf numFmtId="38" fontId="54" fillId="17" borderId="2" xfId="0" applyNumberFormat="1" applyFont="1" applyFill="1" applyBorder="1" applyAlignment="1" applyProtection="1">
      <alignment horizontal="right"/>
    </xf>
    <xf numFmtId="0" fontId="72" fillId="17" borderId="20" xfId="0" applyFont="1" applyFill="1" applyBorder="1" applyAlignment="1" applyProtection="1">
      <alignment horizontal="left" vertical="center" indent="1"/>
    </xf>
    <xf numFmtId="0" fontId="61" fillId="17" borderId="4" xfId="0" applyFont="1" applyFill="1" applyBorder="1" applyAlignment="1" applyProtection="1">
      <alignment horizontal="center"/>
    </xf>
    <xf numFmtId="38" fontId="54" fillId="17" borderId="28" xfId="0" applyNumberFormat="1" applyFont="1" applyFill="1" applyBorder="1" applyAlignment="1" applyProtection="1">
      <alignment horizontal="right"/>
    </xf>
    <xf numFmtId="38" fontId="54" fillId="17" borderId="18" xfId="0" applyNumberFormat="1" applyFont="1" applyFill="1" applyBorder="1" applyAlignment="1" applyProtection="1">
      <alignment horizontal="right"/>
    </xf>
    <xf numFmtId="38" fontId="54" fillId="17" borderId="0" xfId="0" applyNumberFormat="1" applyFont="1" applyFill="1" applyAlignment="1" applyProtection="1">
      <alignment horizontal="right"/>
    </xf>
    <xf numFmtId="38" fontId="54" fillId="17" borderId="128" xfId="0" applyNumberFormat="1" applyFont="1" applyFill="1" applyBorder="1" applyAlignment="1" applyProtection="1">
      <alignment horizontal="right" vertical="center"/>
      <protection locked="0"/>
    </xf>
    <xf numFmtId="38" fontId="54" fillId="17" borderId="2" xfId="0" applyNumberFormat="1" applyFont="1" applyFill="1" applyBorder="1" applyAlignment="1" applyProtection="1">
      <alignment horizontal="right" vertical="center"/>
      <protection locked="0"/>
    </xf>
    <xf numFmtId="38" fontId="54" fillId="17" borderId="27" xfId="0" applyNumberFormat="1" applyFont="1" applyFill="1" applyBorder="1" applyAlignment="1" applyProtection="1">
      <alignment horizontal="right" vertical="center"/>
      <protection locked="0"/>
    </xf>
    <xf numFmtId="38" fontId="54" fillId="17" borderId="128" xfId="0" applyNumberFormat="1" applyFont="1" applyFill="1" applyBorder="1" applyAlignment="1" applyProtection="1">
      <alignment horizontal="right" vertical="center"/>
    </xf>
    <xf numFmtId="38" fontId="54" fillId="17" borderId="2" xfId="0" applyNumberFormat="1" applyFont="1" applyFill="1" applyBorder="1" applyAlignment="1" applyProtection="1">
      <alignment horizontal="right" vertical="center"/>
    </xf>
    <xf numFmtId="0" fontId="63" fillId="17" borderId="27" xfId="0" applyFont="1" applyFill="1" applyBorder="1" applyAlignment="1">
      <alignment horizontal="left" vertical="center" wrapText="1" indent="1"/>
    </xf>
    <xf numFmtId="38" fontId="54" fillId="17" borderId="27" xfId="0" applyNumberFormat="1" applyFont="1" applyFill="1" applyBorder="1" applyAlignment="1" applyProtection="1">
      <alignment horizontal="right" vertical="center"/>
    </xf>
    <xf numFmtId="38" fontId="54" fillId="17" borderId="2" xfId="9" applyNumberFormat="1" applyFont="1" applyFill="1" applyBorder="1" applyAlignment="1" applyProtection="1">
      <alignment horizontal="right"/>
    </xf>
    <xf numFmtId="49" fontId="61" fillId="17" borderId="41" xfId="0" applyNumberFormat="1" applyFont="1" applyFill="1" applyBorder="1" applyAlignment="1" applyProtection="1">
      <alignment horizontal="center" vertical="center"/>
    </xf>
    <xf numFmtId="38" fontId="54" fillId="17" borderId="41" xfId="0" applyNumberFormat="1" applyFont="1" applyFill="1" applyBorder="1" applyAlignment="1" applyProtection="1">
      <alignment vertical="center"/>
    </xf>
    <xf numFmtId="49" fontId="61" fillId="17" borderId="7" xfId="0" applyNumberFormat="1" applyFont="1" applyFill="1" applyBorder="1" applyAlignment="1" applyProtection="1">
      <alignment horizontal="center" vertical="center"/>
    </xf>
    <xf numFmtId="38" fontId="54" fillId="17" borderId="41" xfId="0" applyNumberFormat="1" applyFont="1" applyFill="1" applyBorder="1" applyAlignment="1" applyProtection="1">
      <alignment horizontal="right" vertical="center"/>
    </xf>
    <xf numFmtId="49" fontId="61" fillId="17" borderId="7" xfId="0" applyNumberFormat="1" applyFont="1" applyFill="1" applyBorder="1" applyAlignment="1" applyProtection="1">
      <alignment horizontal="left" vertical="center" indent="2"/>
    </xf>
    <xf numFmtId="0" fontId="56" fillId="17" borderId="7" xfId="0" applyFont="1" applyFill="1" applyBorder="1" applyAlignment="1">
      <alignment horizontal="left" indent="2"/>
    </xf>
    <xf numFmtId="38" fontId="54" fillId="17" borderId="60" xfId="0" applyNumberFormat="1" applyFont="1" applyFill="1" applyBorder="1" applyAlignment="1" applyProtection="1"/>
    <xf numFmtId="38" fontId="54" fillId="17" borderId="41" xfId="0" applyNumberFormat="1" applyFont="1" applyFill="1" applyBorder="1" applyAlignment="1" applyProtection="1">
      <alignment horizontal="right"/>
    </xf>
    <xf numFmtId="0" fontId="63" fillId="17" borderId="54" xfId="0" applyFont="1" applyFill="1" applyBorder="1" applyAlignment="1" applyProtection="1">
      <alignment horizontal="left" vertical="center" indent="2"/>
    </xf>
    <xf numFmtId="0" fontId="63" fillId="17" borderId="41" xfId="0" applyFont="1" applyFill="1" applyBorder="1" applyAlignment="1" applyProtection="1">
      <alignment horizontal="center" vertical="center"/>
    </xf>
    <xf numFmtId="0" fontId="63" fillId="17" borderId="41" xfId="0" applyFont="1" applyFill="1" applyBorder="1" applyAlignment="1" applyProtection="1">
      <alignment horizontal="left" vertical="center" indent="1"/>
    </xf>
    <xf numFmtId="0" fontId="56" fillId="17" borderId="41" xfId="0" applyFont="1" applyFill="1" applyBorder="1" applyAlignment="1" applyProtection="1">
      <alignment vertical="center"/>
    </xf>
    <xf numFmtId="38" fontId="54" fillId="17" borderId="22" xfId="0" applyNumberFormat="1" applyFont="1" applyFill="1" applyBorder="1" applyAlignment="1" applyProtection="1">
      <alignment horizontal="right" vertical="center"/>
    </xf>
    <xf numFmtId="0" fontId="61" fillId="17" borderId="0" xfId="10" applyFont="1" applyFill="1" applyAlignment="1">
      <alignment vertical="center"/>
    </xf>
    <xf numFmtId="0" fontId="61" fillId="17" borderId="0" xfId="10" applyFont="1" applyFill="1" applyAlignment="1">
      <alignment horizontal="center" vertical="center"/>
    </xf>
    <xf numFmtId="0" fontId="61" fillId="17" borderId="0" xfId="10" applyFont="1" applyFill="1" applyAlignment="1">
      <alignment horizontal="right" vertical="center"/>
    </xf>
    <xf numFmtId="0" fontId="63" fillId="17" borderId="0" xfId="10" applyFont="1" applyFill="1" applyAlignment="1">
      <alignment horizontal="right" vertical="center" indent="3"/>
    </xf>
    <xf numFmtId="0" fontId="61" fillId="17" borderId="0" xfId="10" applyFont="1" applyFill="1" applyBorder="1" applyAlignment="1">
      <alignment horizontal="right" vertical="center"/>
    </xf>
    <xf numFmtId="3" fontId="63" fillId="17" borderId="57" xfId="10" applyNumberFormat="1" applyFont="1" applyFill="1" applyBorder="1" applyAlignment="1" applyProtection="1">
      <alignment vertical="center"/>
    </xf>
    <xf numFmtId="0" fontId="61" fillId="17" borderId="0" xfId="10" applyFont="1" applyFill="1" applyAlignment="1">
      <alignment horizontal="left" vertical="center"/>
    </xf>
    <xf numFmtId="0" fontId="63" fillId="17" borderId="0" xfId="10" applyFont="1" applyFill="1" applyAlignment="1">
      <alignment horizontal="right" vertical="center"/>
    </xf>
    <xf numFmtId="38" fontId="63" fillId="17" borderId="47" xfId="10" applyNumberFormat="1" applyFont="1" applyFill="1" applyBorder="1" applyAlignment="1">
      <alignment horizontal="right"/>
    </xf>
    <xf numFmtId="0" fontId="61" fillId="17" borderId="0" xfId="10" quotePrefix="1" applyFont="1" applyFill="1" applyAlignment="1">
      <alignment horizontal="left" vertical="center"/>
    </xf>
    <xf numFmtId="38" fontId="61" fillId="17" borderId="58" xfId="10" applyNumberFormat="1" applyFont="1" applyFill="1" applyBorder="1" applyAlignment="1" applyProtection="1">
      <alignment horizontal="right"/>
    </xf>
    <xf numFmtId="0" fontId="61" fillId="17" borderId="0" xfId="11" quotePrefix="1" applyFont="1" applyFill="1" applyAlignment="1">
      <alignment horizontal="left" vertical="center"/>
    </xf>
    <xf numFmtId="0" fontId="63" fillId="17" borderId="0" xfId="10" quotePrefix="1" applyFont="1" applyFill="1" applyAlignment="1">
      <alignment horizontal="left" vertical="center"/>
    </xf>
    <xf numFmtId="40" fontId="63" fillId="17" borderId="47" xfId="10" applyNumberFormat="1" applyFont="1" applyFill="1" applyBorder="1" applyAlignment="1" applyProtection="1">
      <alignment horizontal="right"/>
    </xf>
    <xf numFmtId="0" fontId="61" fillId="17" borderId="0" xfId="11" applyFont="1" applyFill="1" applyAlignment="1">
      <alignment horizontal="left" vertical="center"/>
    </xf>
    <xf numFmtId="0" fontId="61" fillId="17" borderId="0" xfId="11" applyFont="1" applyFill="1" applyAlignment="1">
      <alignment horizontal="right" vertical="center"/>
    </xf>
    <xf numFmtId="0" fontId="63" fillId="17" borderId="0" xfId="11" applyFont="1" applyFill="1" applyAlignment="1">
      <alignment horizontal="right" vertical="center"/>
    </xf>
    <xf numFmtId="0" fontId="61" fillId="17" borderId="0" xfId="11" applyFont="1" applyFill="1" applyBorder="1" applyAlignment="1">
      <alignment horizontal="right" vertical="center"/>
    </xf>
    <xf numFmtId="38" fontId="63" fillId="17" borderId="9" xfId="11" applyNumberFormat="1" applyFont="1" applyFill="1" applyBorder="1" applyAlignment="1" applyProtection="1">
      <alignment horizontal="right"/>
    </xf>
    <xf numFmtId="38" fontId="61" fillId="17" borderId="6" xfId="11" applyNumberFormat="1" applyFont="1" applyFill="1" applyBorder="1" applyAlignment="1" applyProtection="1">
      <alignment horizontal="right"/>
    </xf>
    <xf numFmtId="0" fontId="61" fillId="17" borderId="0" xfId="11" applyFont="1" applyFill="1" applyAlignment="1">
      <alignment vertical="center"/>
    </xf>
    <xf numFmtId="40" fontId="61" fillId="17" borderId="9" xfId="11" applyNumberFormat="1" applyFont="1" applyFill="1" applyBorder="1" applyAlignment="1" applyProtection="1">
      <alignment horizontal="right"/>
    </xf>
    <xf numFmtId="40" fontId="63" fillId="17" borderId="57" xfId="11" applyNumberFormat="1" applyFont="1" applyFill="1" applyBorder="1" applyAlignment="1" applyProtection="1">
      <alignment horizontal="right"/>
    </xf>
    <xf numFmtId="38" fontId="6" fillId="17" borderId="158" xfId="17" applyNumberFormat="1" applyFill="1" applyBorder="1" applyAlignment="1" applyProtection="1">
      <alignment horizontal="right" vertical="top"/>
    </xf>
    <xf numFmtId="38" fontId="6" fillId="17" borderId="158" xfId="17" applyNumberFormat="1" applyFill="1" applyBorder="1" applyAlignment="1" applyProtection="1">
      <alignment vertical="top"/>
    </xf>
    <xf numFmtId="38" fontId="6" fillId="17" borderId="159" xfId="17" applyNumberFormat="1" applyFill="1" applyBorder="1" applyAlignment="1" applyProtection="1">
      <alignment horizontal="right" vertical="top"/>
    </xf>
    <xf numFmtId="38" fontId="6" fillId="17" borderId="159" xfId="17" applyNumberFormat="1" applyFill="1" applyBorder="1" applyAlignment="1" applyProtection="1">
      <alignment vertical="top"/>
    </xf>
    <xf numFmtId="0" fontId="6" fillId="17" borderId="159" xfId="17" applyFill="1" applyBorder="1" applyAlignment="1" applyProtection="1">
      <alignment horizontal="left" vertical="top" wrapText="1"/>
    </xf>
    <xf numFmtId="49" fontId="6" fillId="17" borderId="159" xfId="17" applyNumberFormat="1" applyFill="1" applyBorder="1" applyAlignment="1" applyProtection="1">
      <alignment vertical="top"/>
    </xf>
    <xf numFmtId="0" fontId="6" fillId="17" borderId="159" xfId="17" applyFill="1" applyBorder="1" applyAlignment="1" applyProtection="1">
      <alignment vertical="top"/>
    </xf>
    <xf numFmtId="0" fontId="54" fillId="17" borderId="127" xfId="0" applyFont="1" applyFill="1" applyBorder="1"/>
    <xf numFmtId="37" fontId="54" fillId="17" borderId="127" xfId="0" applyNumberFormat="1" applyFont="1" applyFill="1" applyBorder="1"/>
    <xf numFmtId="37" fontId="54" fillId="17" borderId="129" xfId="0" applyNumberFormat="1" applyFont="1" applyFill="1" applyBorder="1"/>
    <xf numFmtId="0" fontId="54" fillId="17" borderId="14" xfId="0" applyFont="1" applyFill="1" applyBorder="1"/>
    <xf numFmtId="0" fontId="54" fillId="17" borderId="21" xfId="0" applyFont="1" applyFill="1" applyBorder="1"/>
    <xf numFmtId="37" fontId="54" fillId="17" borderId="14" xfId="0" applyNumberFormat="1" applyFont="1" applyFill="1" applyBorder="1"/>
    <xf numFmtId="37" fontId="54" fillId="17" borderId="21" xfId="0" applyNumberFormat="1" applyFont="1" applyFill="1" applyBorder="1"/>
    <xf numFmtId="38" fontId="54" fillId="17" borderId="14" xfId="0" applyNumberFormat="1" applyFont="1" applyFill="1" applyBorder="1"/>
    <xf numFmtId="0" fontId="61" fillId="17" borderId="0" xfId="0" applyFont="1" applyFill="1" applyBorder="1" applyAlignment="1">
      <alignment horizontal="right"/>
    </xf>
    <xf numFmtId="38" fontId="54" fillId="17" borderId="18" xfId="0" applyNumberFormat="1" applyFont="1" applyFill="1" applyBorder="1"/>
    <xf numFmtId="0" fontId="54" fillId="17" borderId="13" xfId="0" applyFont="1" applyFill="1" applyBorder="1" applyAlignment="1">
      <alignment horizontal="right"/>
    </xf>
    <xf numFmtId="10" fontId="53" fillId="17" borderId="14" xfId="0" applyNumberFormat="1" applyFont="1" applyFill="1" applyBorder="1" applyAlignment="1">
      <alignment horizontal="left" indent="2"/>
    </xf>
    <xf numFmtId="38" fontId="54" fillId="17" borderId="2" xfId="3" applyNumberFormat="1" applyFont="1" applyFill="1" applyBorder="1" applyAlignment="1">
      <alignment vertical="center"/>
    </xf>
    <xf numFmtId="38" fontId="54" fillId="17" borderId="2" xfId="3" applyNumberFormat="1" applyFont="1" applyFill="1" applyBorder="1" applyAlignment="1" applyProtection="1">
      <alignment vertical="center"/>
    </xf>
    <xf numFmtId="38" fontId="54" fillId="17" borderId="27" xfId="3" applyNumberFormat="1" applyFont="1" applyFill="1" applyBorder="1" applyAlignment="1">
      <alignment vertical="center"/>
    </xf>
    <xf numFmtId="9" fontId="54" fillId="17" borderId="4" xfId="3" applyNumberFormat="1" applyFont="1" applyFill="1" applyBorder="1" applyAlignment="1">
      <alignment horizontal="center" vertical="center"/>
    </xf>
    <xf numFmtId="38" fontId="54" fillId="17" borderId="22" xfId="3" applyNumberFormat="1" applyFont="1" applyFill="1" applyBorder="1" applyAlignment="1">
      <alignment horizontal="right" vertical="center"/>
    </xf>
    <xf numFmtId="38" fontId="54" fillId="17" borderId="41" xfId="3" applyNumberFormat="1" applyFont="1" applyFill="1" applyBorder="1" applyAlignment="1">
      <alignment horizontal="right" vertical="center"/>
    </xf>
    <xf numFmtId="38" fontId="54" fillId="17" borderId="75" xfId="3" applyNumberFormat="1" applyFont="1" applyFill="1" applyBorder="1" applyAlignment="1">
      <alignment horizontal="right" vertical="center"/>
    </xf>
    <xf numFmtId="38" fontId="53" fillId="17" borderId="75" xfId="3" applyNumberFormat="1" applyFont="1" applyFill="1" applyBorder="1" applyAlignment="1">
      <alignment horizontal="right" vertical="center"/>
    </xf>
    <xf numFmtId="38" fontId="54" fillId="17" borderId="60" xfId="3" applyNumberFormat="1" applyFont="1" applyFill="1" applyBorder="1" applyAlignment="1">
      <alignment horizontal="right" vertical="center"/>
    </xf>
    <xf numFmtId="38" fontId="53" fillId="17" borderId="60" xfId="3" applyNumberFormat="1" applyFont="1" applyFill="1" applyBorder="1" applyAlignment="1">
      <alignment horizontal="right" vertical="center"/>
    </xf>
    <xf numFmtId="38" fontId="54" fillId="17" borderId="128" xfId="0" applyNumberFormat="1" applyFont="1" applyFill="1" applyBorder="1" applyAlignment="1" applyProtection="1">
      <alignment horizontal="right"/>
    </xf>
    <xf numFmtId="0" fontId="63" fillId="16" borderId="17" xfId="0" applyFont="1" applyFill="1" applyBorder="1" applyAlignment="1">
      <alignment horizontal="left" vertical="center" wrapText="1"/>
    </xf>
    <xf numFmtId="49" fontId="63" fillId="16" borderId="26" xfId="0" applyNumberFormat="1" applyFont="1" applyFill="1" applyBorder="1" applyAlignment="1">
      <alignment horizontal="center" vertical="center"/>
    </xf>
    <xf numFmtId="38" fontId="54" fillId="16" borderId="26" xfId="0" applyNumberFormat="1" applyFont="1" applyFill="1" applyBorder="1" applyAlignment="1">
      <alignment horizontal="right"/>
    </xf>
    <xf numFmtId="38" fontId="54" fillId="16" borderId="3" xfId="0" applyNumberFormat="1" applyFont="1" applyFill="1" applyBorder="1" applyAlignment="1">
      <alignment horizontal="right"/>
    </xf>
    <xf numFmtId="0" fontId="63" fillId="0" borderId="13" xfId="0" applyFont="1" applyFill="1" applyBorder="1" applyAlignment="1">
      <alignment horizontal="left" vertical="center" wrapText="1"/>
    </xf>
    <xf numFmtId="49" fontId="63" fillId="0" borderId="2" xfId="0" applyNumberFormat="1" applyFont="1" applyFill="1" applyBorder="1" applyAlignment="1">
      <alignment horizontal="center" vertical="center"/>
    </xf>
    <xf numFmtId="0" fontId="63" fillId="17" borderId="13" xfId="0" applyFont="1" applyFill="1" applyBorder="1" applyAlignment="1">
      <alignment horizontal="left" vertical="center" wrapText="1"/>
    </xf>
    <xf numFmtId="49" fontId="63" fillId="17" borderId="2" xfId="0" applyNumberFormat="1" applyFont="1" applyFill="1" applyBorder="1" applyAlignment="1">
      <alignment horizontal="center" vertical="center"/>
    </xf>
    <xf numFmtId="3" fontId="61" fillId="0" borderId="13" xfId="0" applyNumberFormat="1" applyFont="1" applyFill="1" applyBorder="1" applyAlignment="1">
      <alignment horizontal="left" vertical="center" wrapText="1" indent="1"/>
    </xf>
    <xf numFmtId="0" fontId="63" fillId="0" borderId="49" xfId="0" applyFont="1" applyFill="1" applyBorder="1" applyAlignment="1">
      <alignment horizontal="left" vertical="center" wrapText="1" indent="1"/>
    </xf>
    <xf numFmtId="0" fontId="63" fillId="0" borderId="13" xfId="0" applyFont="1" applyFill="1" applyBorder="1" applyAlignment="1">
      <alignment horizontal="left" vertical="center" wrapText="1" indent="1"/>
    </xf>
    <xf numFmtId="38" fontId="54" fillId="27" borderId="26" xfId="0" applyNumberFormat="1" applyFont="1" applyFill="1" applyBorder="1" applyAlignment="1">
      <alignment horizontal="right"/>
    </xf>
    <xf numFmtId="3" fontId="61" fillId="0" borderId="12" xfId="0" applyNumberFormat="1" applyFont="1" applyBorder="1" applyAlignment="1">
      <alignment horizontal="left" vertical="top" wrapText="1" indent="1"/>
    </xf>
    <xf numFmtId="38" fontId="54" fillId="17" borderId="19" xfId="0" applyNumberFormat="1" applyFont="1" applyFill="1" applyBorder="1" applyAlignment="1" applyProtection="1">
      <alignment horizontal="right"/>
    </xf>
    <xf numFmtId="49" fontId="32" fillId="0" borderId="0" xfId="2" applyNumberFormat="1" applyBorder="1" applyAlignment="1" applyProtection="1">
      <alignment horizontal="center"/>
    </xf>
    <xf numFmtId="14" fontId="56" fillId="0" borderId="0" xfId="0" applyNumberFormat="1" applyFont="1" applyBorder="1" applyAlignment="1" applyProtection="1">
      <alignment vertical="center"/>
      <protection locked="0"/>
    </xf>
    <xf numFmtId="0" fontId="72" fillId="0" borderId="0" xfId="3" applyFont="1" applyBorder="1" applyAlignment="1" applyProtection="1">
      <alignment horizontal="center" vertical="top"/>
    </xf>
    <xf numFmtId="0" fontId="56" fillId="0" borderId="162" xfId="3" applyFont="1" applyBorder="1" applyProtection="1"/>
    <xf numFmtId="49" fontId="61" fillId="0" borderId="14" xfId="0" applyNumberFormat="1" applyFont="1" applyFill="1" applyBorder="1" applyAlignment="1" applyProtection="1">
      <alignment horizontal="center" vertical="center"/>
    </xf>
    <xf numFmtId="38" fontId="54" fillId="16" borderId="3" xfId="0" applyNumberFormat="1" applyFont="1" applyFill="1" applyBorder="1" applyAlignment="1" applyProtection="1">
      <alignment horizontal="right"/>
    </xf>
    <xf numFmtId="38" fontId="54" fillId="16" borderId="26" xfId="0" applyNumberFormat="1" applyFont="1" applyFill="1" applyBorder="1" applyAlignment="1" applyProtection="1">
      <alignment horizontal="right"/>
    </xf>
    <xf numFmtId="38" fontId="6" fillId="0" borderId="158" xfId="17" applyNumberFormat="1" applyBorder="1" applyAlignment="1" applyProtection="1">
      <alignment horizontal="right" vertical="top"/>
      <protection locked="0"/>
    </xf>
    <xf numFmtId="49" fontId="5" fillId="0" borderId="158" xfId="17" applyNumberFormat="1" applyFont="1" applyBorder="1" applyAlignment="1" applyProtection="1">
      <alignment horizontal="center" vertical="top"/>
      <protection locked="0"/>
    </xf>
    <xf numFmtId="49" fontId="4" fillId="0" borderId="158" xfId="17" applyNumberFormat="1" applyFont="1" applyBorder="1" applyAlignment="1" applyProtection="1">
      <alignment horizontal="center" vertical="top"/>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99" fillId="0" borderId="0" xfId="18" applyFont="1"/>
    <xf numFmtId="0" fontId="100" fillId="24" borderId="0" xfId="18" applyFont="1" applyFill="1" applyAlignment="1">
      <alignment horizontal="centerContinuous" vertical="center"/>
    </xf>
    <xf numFmtId="0" fontId="99" fillId="24" borderId="0" xfId="18" applyFont="1" applyFill="1" applyAlignment="1">
      <alignment horizontal="centerContinuous"/>
    </xf>
    <xf numFmtId="0" fontId="87" fillId="0" borderId="138" xfId="18" applyFont="1" applyFill="1" applyBorder="1" applyAlignment="1">
      <alignment horizontal="center" vertical="top" wrapText="1"/>
    </xf>
    <xf numFmtId="0" fontId="87" fillId="0" borderId="0" xfId="18" applyFont="1" applyFill="1" applyBorder="1" applyAlignment="1">
      <alignment horizontal="center" vertical="top" wrapText="1"/>
    </xf>
    <xf numFmtId="0" fontId="3" fillId="0" borderId="0" xfId="18" applyFont="1" applyAlignment="1">
      <alignment wrapText="1"/>
    </xf>
    <xf numFmtId="0" fontId="131" fillId="0" borderId="163" xfId="18" applyFont="1" applyFill="1" applyBorder="1" applyAlignment="1" applyProtection="1">
      <alignment horizontal="center" vertical="center"/>
      <protection locked="0"/>
    </xf>
    <xf numFmtId="0" fontId="102" fillId="0" borderId="0" xfId="18" applyNumberFormat="1" applyFont="1"/>
    <xf numFmtId="0" fontId="77" fillId="0" borderId="107" xfId="18" applyFont="1" applyBorder="1" applyAlignment="1">
      <alignment horizontal="left" vertical="center" wrapText="1"/>
    </xf>
    <xf numFmtId="0" fontId="77" fillId="0" borderId="165" xfId="18" applyFont="1" applyBorder="1" applyAlignment="1">
      <alignment horizontal="left" vertical="center" wrapText="1"/>
    </xf>
    <xf numFmtId="49" fontId="125" fillId="0" borderId="106" xfId="18" applyNumberFormat="1" applyFont="1" applyBorder="1" applyAlignment="1" applyProtection="1">
      <alignment horizontal="center" vertical="center"/>
      <protection locked="0"/>
    </xf>
    <xf numFmtId="0" fontId="125" fillId="0" borderId="106" xfId="18" applyFont="1" applyFill="1" applyBorder="1" applyAlignment="1" applyProtection="1">
      <alignment horizontal="center" vertical="center" wrapText="1"/>
      <protection locked="0"/>
    </xf>
    <xf numFmtId="0" fontId="99" fillId="0" borderId="106" xfId="18" applyFont="1" applyFill="1" applyBorder="1"/>
    <xf numFmtId="0" fontId="103" fillId="0" borderId="160" xfId="18" applyFont="1" applyBorder="1" applyAlignment="1">
      <alignment horizontal="left" vertical="center" wrapText="1"/>
    </xf>
    <xf numFmtId="0" fontId="103" fillId="0" borderId="161" xfId="18" applyFont="1" applyBorder="1" applyAlignment="1">
      <alignment horizontal="left" vertical="center" wrapText="1"/>
    </xf>
    <xf numFmtId="49" fontId="103" fillId="18" borderId="106" xfId="18" applyNumberFormat="1" applyFont="1" applyFill="1" applyBorder="1" applyAlignment="1">
      <alignment horizontal="center" vertical="center"/>
    </xf>
    <xf numFmtId="0" fontId="77" fillId="0" borderId="107" xfId="18" applyFont="1" applyFill="1" applyBorder="1" applyAlignment="1">
      <alignment horizontal="left" vertical="center" wrapText="1"/>
    </xf>
    <xf numFmtId="0" fontId="77" fillId="0" borderId="133" xfId="18" applyFont="1" applyFill="1" applyBorder="1" applyAlignment="1">
      <alignment horizontal="left" vertical="center" wrapText="1"/>
    </xf>
    <xf numFmtId="49" fontId="132" fillId="0" borderId="105" xfId="18" applyNumberFormat="1" applyFont="1" applyBorder="1" applyAlignment="1" applyProtection="1">
      <alignment horizontal="center" vertical="center"/>
      <protection locked="0"/>
    </xf>
    <xf numFmtId="49" fontId="132" fillId="0" borderId="109" xfId="18" applyNumberFormat="1" applyFont="1" applyFill="1" applyBorder="1" applyAlignment="1" applyProtection="1">
      <alignment horizontal="center" vertical="center"/>
      <protection locked="0"/>
    </xf>
    <xf numFmtId="0" fontId="99" fillId="0" borderId="105" xfId="18" applyFont="1" applyBorder="1" applyProtection="1">
      <protection locked="0"/>
    </xf>
    <xf numFmtId="49" fontId="132" fillId="0" borderId="107" xfId="18" applyNumberFormat="1" applyFont="1" applyFill="1" applyBorder="1" applyAlignment="1" applyProtection="1">
      <alignment horizontal="center" vertical="center"/>
      <protection locked="0"/>
    </xf>
    <xf numFmtId="0" fontId="99" fillId="0" borderId="0" xfId="18" applyFont="1" applyProtection="1"/>
    <xf numFmtId="0" fontId="3" fillId="0" borderId="0" xfId="18" applyFont="1"/>
    <xf numFmtId="0" fontId="47" fillId="0" borderId="141" xfId="18" applyFont="1" applyBorder="1" applyAlignment="1">
      <alignment vertical="top"/>
    </xf>
    <xf numFmtId="0" fontId="47" fillId="0" borderId="142" xfId="18" applyFont="1" applyBorder="1" applyAlignment="1">
      <alignment vertical="top"/>
    </xf>
    <xf numFmtId="0" fontId="48" fillId="16" borderId="76" xfId="18" applyFont="1" applyFill="1" applyBorder="1" applyAlignment="1">
      <alignment vertical="top"/>
    </xf>
    <xf numFmtId="0" fontId="47" fillId="0" borderId="141" xfId="18" applyFont="1" applyBorder="1" applyAlignment="1">
      <alignment vertical="top" wrapText="1"/>
    </xf>
    <xf numFmtId="0" fontId="47" fillId="0" borderId="142" xfId="18" applyFont="1" applyBorder="1" applyAlignment="1">
      <alignment vertical="top" wrapText="1"/>
    </xf>
    <xf numFmtId="0" fontId="99" fillId="0" borderId="0" xfId="18" applyFont="1" applyAlignment="1">
      <alignment horizontal="left" vertical="center" wrapText="1"/>
    </xf>
    <xf numFmtId="0" fontId="99" fillId="0" borderId="0" xfId="18" applyFont="1" applyFill="1" applyBorder="1"/>
    <xf numFmtId="0" fontId="102" fillId="0" borderId="0" xfId="18" applyFont="1"/>
    <xf numFmtId="0" fontId="133" fillId="0" borderId="0" xfId="18" applyFont="1"/>
    <xf numFmtId="0" fontId="64" fillId="13" borderId="46" xfId="0" applyFont="1" applyFill="1" applyBorder="1" applyAlignment="1" applyProtection="1">
      <alignment horizontal="left" vertical="center"/>
    </xf>
    <xf numFmtId="0" fontId="63" fillId="13" borderId="6" xfId="0" applyFont="1" applyFill="1" applyBorder="1" applyAlignment="1" applyProtection="1">
      <alignment horizontal="left" vertical="center"/>
    </xf>
    <xf numFmtId="0" fontId="61" fillId="13" borderId="7" xfId="0" applyFont="1" applyFill="1" applyBorder="1" applyAlignment="1" applyProtection="1">
      <alignment horizontal="left" vertical="center" indent="2"/>
    </xf>
    <xf numFmtId="0" fontId="64" fillId="13" borderId="2" xfId="0" applyFont="1" applyFill="1" applyBorder="1" applyAlignment="1">
      <alignment horizontal="center" vertical="center"/>
    </xf>
    <xf numFmtId="49" fontId="63" fillId="0" borderId="2" xfId="0" applyNumberFormat="1" applyFont="1" applyFill="1" applyBorder="1" applyAlignment="1" applyProtection="1">
      <alignment horizontal="center" vertical="top" wrapText="1"/>
    </xf>
    <xf numFmtId="49" fontId="63" fillId="0" borderId="2" xfId="9" applyNumberFormat="1" applyFont="1" applyFill="1" applyBorder="1" applyAlignment="1">
      <alignment horizontal="center" vertical="top" wrapText="1"/>
    </xf>
    <xf numFmtId="49" fontId="63" fillId="5" borderId="2" xfId="9" applyNumberFormat="1" applyFont="1" applyFill="1" applyBorder="1" applyAlignment="1" applyProtection="1">
      <alignment horizontal="center" vertical="top" wrapText="1"/>
    </xf>
    <xf numFmtId="0" fontId="99" fillId="24" borderId="0" xfId="18" applyFont="1" applyFill="1" applyAlignment="1">
      <alignment horizontal="centerContinuous" vertical="center"/>
    </xf>
    <xf numFmtId="0" fontId="103" fillId="24" borderId="139" xfId="18" applyFont="1" applyFill="1" applyBorder="1" applyAlignment="1">
      <alignment horizontal="center" vertical="center" wrapText="1"/>
    </xf>
    <xf numFmtId="0" fontId="103" fillId="24" borderId="164" xfId="18" applyFont="1" applyFill="1" applyBorder="1" applyAlignment="1">
      <alignment horizontal="center" vertical="center" wrapText="1"/>
    </xf>
    <xf numFmtId="0" fontId="103" fillId="18" borderId="140" xfId="18" applyFont="1" applyFill="1" applyBorder="1" applyAlignment="1">
      <alignment horizontal="center" vertical="center" wrapText="1"/>
    </xf>
    <xf numFmtId="49" fontId="103" fillId="18" borderId="107" xfId="18" applyNumberFormat="1" applyFont="1" applyFill="1" applyBorder="1" applyAlignment="1">
      <alignment horizontal="center" vertical="center" wrapText="1"/>
    </xf>
    <xf numFmtId="0" fontId="48" fillId="18" borderId="108" xfId="18" applyFont="1" applyFill="1" applyBorder="1" applyAlignment="1">
      <alignment horizontal="center"/>
    </xf>
    <xf numFmtId="0" fontId="101" fillId="0" borderId="140" xfId="18" applyFont="1" applyFill="1" applyBorder="1" applyAlignment="1" applyProtection="1">
      <alignment horizontal="right"/>
    </xf>
    <xf numFmtId="0" fontId="64" fillId="24" borderId="12" xfId="3" applyNumberFormat="1" applyFont="1" applyFill="1" applyBorder="1" applyAlignment="1">
      <alignment horizontal="left"/>
    </xf>
    <xf numFmtId="0" fontId="53" fillId="0" borderId="12" xfId="3" applyNumberFormat="1" applyFont="1" applyFill="1" applyBorder="1" applyAlignment="1">
      <alignment horizontal="centerContinuous" vertical="center"/>
    </xf>
    <xf numFmtId="0" fontId="53" fillId="0" borderId="3" xfId="3" applyNumberFormat="1" applyFont="1" applyFill="1" applyBorder="1" applyAlignment="1">
      <alignment horizontal="centerContinuous" vertical="center"/>
    </xf>
    <xf numFmtId="0" fontId="54" fillId="13" borderId="39" xfId="0" applyFont="1" applyFill="1" applyBorder="1"/>
    <xf numFmtId="0" fontId="54" fillId="13" borderId="23" xfId="0" applyFont="1" applyFill="1" applyBorder="1" applyAlignment="1">
      <alignment horizontal="left" vertical="top"/>
    </xf>
    <xf numFmtId="0" fontId="54" fillId="13" borderId="23" xfId="0" applyFont="1" applyFill="1" applyBorder="1" applyAlignment="1">
      <alignment vertical="top" wrapText="1"/>
    </xf>
    <xf numFmtId="0" fontId="63" fillId="13" borderId="62" xfId="0" applyFont="1" applyFill="1" applyBorder="1" applyAlignment="1">
      <alignment vertical="top"/>
    </xf>
    <xf numFmtId="6" fontId="54" fillId="0" borderId="78" xfId="3" applyNumberFormat="1" applyFont="1" applyBorder="1" applyAlignment="1" applyProtection="1">
      <alignment horizontal="center"/>
      <protection locked="0"/>
    </xf>
    <xf numFmtId="0" fontId="56" fillId="0" borderId="0" xfId="3" applyFont="1" applyFill="1" applyBorder="1" applyAlignment="1" applyProtection="1">
      <alignment horizontal="center" vertical="center"/>
    </xf>
    <xf numFmtId="3" fontId="54" fillId="0" borderId="0" xfId="3" applyNumberFormat="1" applyFont="1" applyBorder="1" applyAlignment="1" applyProtection="1">
      <alignment horizontal="right" indent="1"/>
    </xf>
    <xf numFmtId="5" fontId="54" fillId="0" borderId="0" xfId="3" applyNumberFormat="1" applyFont="1" applyBorder="1" applyAlignment="1" applyProtection="1"/>
    <xf numFmtId="5" fontId="54" fillId="0" borderId="0" xfId="3" applyNumberFormat="1" applyFont="1" applyBorder="1" applyAlignment="1" applyProtection="1">
      <alignment horizontal="center"/>
    </xf>
    <xf numFmtId="38" fontId="61" fillId="0" borderId="148" xfId="11" applyNumberFormat="1" applyFont="1" applyFill="1" applyBorder="1" applyAlignment="1" applyProtection="1">
      <alignment horizontal="right"/>
      <protection locked="0"/>
    </xf>
    <xf numFmtId="38" fontId="61" fillId="17" borderId="0" xfId="11" applyNumberFormat="1" applyFont="1" applyFill="1" applyBorder="1" applyAlignment="1" applyProtection="1">
      <alignment horizontal="right"/>
    </xf>
    <xf numFmtId="38" fontId="61" fillId="17" borderId="9" xfId="11" applyNumberFormat="1" applyFont="1" applyFill="1" applyBorder="1" applyAlignment="1" applyProtection="1">
      <alignment horizontal="right"/>
    </xf>
    <xf numFmtId="3" fontId="61" fillId="17" borderId="9" xfId="10" applyNumberFormat="1" applyFont="1" applyFill="1" applyBorder="1" applyAlignment="1" applyProtection="1">
      <alignment vertical="center"/>
    </xf>
    <xf numFmtId="3" fontId="61" fillId="17" borderId="6" xfId="10" applyNumberFormat="1" applyFont="1" applyFill="1" applyBorder="1" applyAlignment="1" applyProtection="1">
      <alignment vertical="center"/>
    </xf>
    <xf numFmtId="38" fontId="61" fillId="17" borderId="9" xfId="10" applyNumberFormat="1" applyFont="1" applyFill="1" applyBorder="1" applyAlignment="1" applyProtection="1">
      <alignment horizontal="right" vertical="center"/>
    </xf>
    <xf numFmtId="38" fontId="61" fillId="17" borderId="0" xfId="10" applyNumberFormat="1" applyFont="1" applyFill="1" applyAlignment="1">
      <alignment vertical="top"/>
    </xf>
    <xf numFmtId="38" fontId="61" fillId="17" borderId="6" xfId="10" applyNumberFormat="1" applyFont="1" applyFill="1" applyBorder="1" applyAlignment="1" applyProtection="1">
      <alignment horizontal="right" vertical="center"/>
    </xf>
    <xf numFmtId="38" fontId="61" fillId="17" borderId="6" xfId="10" applyNumberFormat="1" applyFont="1" applyFill="1" applyBorder="1" applyAlignment="1" applyProtection="1">
      <alignment horizontal="right"/>
    </xf>
    <xf numFmtId="38" fontId="61" fillId="17" borderId="0" xfId="10" applyNumberFormat="1" applyFont="1" applyFill="1" applyAlignment="1">
      <alignment horizontal="right"/>
    </xf>
    <xf numFmtId="38" fontId="61" fillId="17" borderId="9" xfId="10" applyNumberFormat="1" applyFont="1" applyFill="1" applyBorder="1" applyAlignment="1" applyProtection="1">
      <alignment horizontal="right"/>
    </xf>
    <xf numFmtId="38" fontId="61" fillId="17" borderId="6" xfId="10" applyNumberFormat="1" applyFont="1" applyFill="1" applyBorder="1" applyAlignment="1">
      <alignment horizontal="right"/>
    </xf>
    <xf numFmtId="38" fontId="61" fillId="17" borderId="148" xfId="10" applyNumberFormat="1" applyFont="1" applyFill="1" applyBorder="1" applyAlignment="1" applyProtection="1">
      <alignment horizontal="right"/>
    </xf>
    <xf numFmtId="0" fontId="63" fillId="0" borderId="0" xfId="11" quotePrefix="1" applyFont="1" applyAlignment="1">
      <alignment horizontal="left" vertical="top"/>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0" applyFont="1" applyAlignment="1">
      <alignment vertical="center"/>
    </xf>
    <xf numFmtId="0" fontId="63" fillId="0" borderId="0" xfId="11" applyFont="1" applyAlignment="1">
      <alignment vertical="center"/>
    </xf>
    <xf numFmtId="0" fontId="63" fillId="0" borderId="0" xfId="11" applyFont="1" applyAlignment="1">
      <alignment horizontal="right" vertical="center"/>
    </xf>
    <xf numFmtId="0" fontId="63" fillId="0" borderId="0" xfId="0" applyFont="1" applyBorder="1" applyAlignment="1" applyProtection="1">
      <alignment horizontal="left" vertical="center"/>
    </xf>
    <xf numFmtId="0" fontId="86" fillId="0" borderId="0" xfId="2" applyFont="1" applyAlignment="1" applyProtection="1">
      <alignment horizontal="right" vertical="center"/>
    </xf>
    <xf numFmtId="0" fontId="32" fillId="0" borderId="0" xfId="2" applyAlignment="1" applyProtection="1">
      <alignment vertical="center"/>
    </xf>
    <xf numFmtId="0" fontId="63" fillId="18" borderId="21" xfId="0" applyFont="1" applyFill="1" applyBorder="1" applyAlignment="1" applyProtection="1">
      <alignment vertical="center"/>
    </xf>
    <xf numFmtId="0" fontId="63" fillId="18" borderId="2" xfId="0" applyFont="1" applyFill="1" applyBorder="1" applyAlignment="1" applyProtection="1">
      <alignment vertical="center"/>
    </xf>
    <xf numFmtId="0" fontId="53" fillId="0" borderId="0" xfId="3" applyFont="1" applyAlignment="1" applyProtection="1">
      <alignment horizontal="center" vertical="center"/>
    </xf>
    <xf numFmtId="41" fontId="54" fillId="0" borderId="78" xfId="3" applyNumberFormat="1" applyFont="1" applyBorder="1" applyAlignment="1" applyProtection="1">
      <protection locked="0"/>
    </xf>
    <xf numFmtId="0" fontId="53" fillId="0" borderId="0" xfId="3" applyFont="1" applyAlignment="1" applyProtection="1">
      <alignment horizontal="center" vertical="center"/>
    </xf>
    <xf numFmtId="0" fontId="53" fillId="0" borderId="0" xfId="3" applyFont="1" applyAlignment="1" applyProtection="1">
      <alignment horizontal="center" vertical="center"/>
    </xf>
    <xf numFmtId="0" fontId="1" fillId="0" borderId="158" xfId="17" applyFont="1" applyBorder="1" applyAlignment="1" applyProtection="1">
      <alignment horizontal="left" vertical="top" wrapText="1"/>
      <protection locked="0"/>
    </xf>
    <xf numFmtId="49" fontId="1" fillId="0" borderId="158" xfId="17" applyNumberFormat="1" applyFont="1" applyBorder="1" applyAlignment="1" applyProtection="1">
      <alignment horizontal="center" vertical="top"/>
      <protection locked="0"/>
    </xf>
    <xf numFmtId="0" fontId="1" fillId="0" borderId="158" xfId="17" applyFont="1" applyBorder="1" applyAlignment="1" applyProtection="1">
      <alignment vertical="top"/>
      <protection locked="0"/>
    </xf>
    <xf numFmtId="0" fontId="61" fillId="0" borderId="0" xfId="3" applyFont="1" applyBorder="1" applyAlignment="1" applyProtection="1">
      <alignment horizontal="justify" vertical="top" wrapText="1"/>
      <protection locked="0"/>
    </xf>
    <xf numFmtId="179" fontId="61" fillId="0" borderId="0" xfId="3" applyNumberFormat="1" applyFont="1" applyBorder="1" applyAlignment="1" applyProtection="1">
      <alignment vertical="top"/>
      <protection locked="0"/>
    </xf>
    <xf numFmtId="179" fontId="61" fillId="0" borderId="0" xfId="3" applyNumberFormat="1" applyFont="1" applyBorder="1" applyAlignment="1" applyProtection="1">
      <alignment horizontal="left" vertical="top"/>
      <protection locked="0"/>
    </xf>
    <xf numFmtId="0" fontId="137" fillId="0" borderId="0" xfId="0" applyFont="1"/>
    <xf numFmtId="0" fontId="44" fillId="0" borderId="0" xfId="0" applyFont="1"/>
    <xf numFmtId="164" fontId="138" fillId="0" borderId="0" xfId="0" applyNumberFormat="1" applyFont="1"/>
    <xf numFmtId="164" fontId="44" fillId="0" borderId="0" xfId="0" applyNumberFormat="1" applyFont="1"/>
    <xf numFmtId="0" fontId="44" fillId="0" borderId="0" xfId="0" applyFont="1" applyAlignment="1">
      <alignment wrapText="1"/>
    </xf>
    <xf numFmtId="164" fontId="44" fillId="0" borderId="0" xfId="0" applyNumberFormat="1" applyFont="1" applyAlignment="1">
      <alignment vertical="top"/>
    </xf>
    <xf numFmtId="0" fontId="53" fillId="0" borderId="0" xfId="3" applyFont="1" applyAlignment="1" applyProtection="1">
      <alignment horizontal="center" vertical="center"/>
    </xf>
    <xf numFmtId="0" fontId="53" fillId="0" borderId="0" xfId="3" applyFont="1" applyAlignment="1" applyProtection="1">
      <alignment horizontal="center" vertical="center"/>
    </xf>
    <xf numFmtId="0" fontId="53" fillId="0" borderId="0" xfId="3" applyFont="1" applyAlignment="1" applyProtection="1">
      <alignment horizontal="center" vertical="center"/>
    </xf>
    <xf numFmtId="0" fontId="53" fillId="0" borderId="0" xfId="3" applyFont="1" applyAlignment="1" applyProtection="1">
      <alignment horizontal="center" vertical="center"/>
    </xf>
    <xf numFmtId="0" fontId="53" fillId="0" borderId="0" xfId="3" applyFont="1" applyAlignment="1" applyProtection="1">
      <alignment horizontal="center" vertical="center"/>
    </xf>
    <xf numFmtId="0" fontId="32" fillId="0" borderId="19" xfId="2" applyBorder="1" applyAlignment="1" applyProtection="1">
      <protection locked="0"/>
    </xf>
    <xf numFmtId="0" fontId="18" fillId="0" borderId="20" xfId="0" applyFont="1" applyBorder="1" applyProtection="1">
      <protection locked="0"/>
    </xf>
    <xf numFmtId="0" fontId="18" fillId="0" borderId="11" xfId="0" applyFont="1" applyBorder="1" applyProtection="1">
      <protection locked="0"/>
    </xf>
    <xf numFmtId="0" fontId="12" fillId="0" borderId="17" xfId="12" quotePrefix="1" applyNumberFormat="1" applyFont="1" applyBorder="1" applyAlignment="1" applyProtection="1">
      <alignment horizontal="left" vertical="center" indent="1"/>
      <protection locked="0"/>
    </xf>
    <xf numFmtId="0" fontId="12" fillId="0" borderId="0"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protection locked="0"/>
    </xf>
    <xf numFmtId="180" fontId="12" fillId="0" borderId="20" xfId="0" applyNumberFormat="1" applyFont="1" applyBorder="1" applyAlignment="1" applyProtection="1">
      <alignment horizontal="left" vertical="center"/>
      <protection locked="0"/>
    </xf>
    <xf numFmtId="180" fontId="12" fillId="0" borderId="11" xfId="0" applyNumberFormat="1" applyFont="1" applyBorder="1" applyAlignment="1" applyProtection="1">
      <alignment horizontal="left" vertical="center"/>
      <protection locked="0"/>
    </xf>
    <xf numFmtId="180" fontId="12" fillId="0" borderId="17" xfId="12" applyNumberFormat="1" applyFont="1" applyBorder="1" applyAlignment="1" applyProtection="1">
      <alignment horizontal="left" vertical="center" indent="1"/>
      <protection locked="0"/>
    </xf>
    <xf numFmtId="180" fontId="12" fillId="0" borderId="0" xfId="0" applyNumberFormat="1" applyFont="1" applyBorder="1" applyAlignment="1" applyProtection="1">
      <alignment horizontal="left" vertical="center" indent="1"/>
      <protection locked="0"/>
    </xf>
    <xf numFmtId="180" fontId="12" fillId="0" borderId="19" xfId="12" applyNumberFormat="1" applyFont="1" applyBorder="1" applyAlignment="1" applyProtection="1">
      <alignment horizontal="left" vertical="center"/>
      <protection locked="0"/>
    </xf>
    <xf numFmtId="0" fontId="12" fillId="0" borderId="19" xfId="12" applyNumberFormat="1" applyFont="1" applyBorder="1" applyAlignment="1" applyProtection="1">
      <alignment horizontal="left" vertical="center"/>
      <protection locked="0"/>
    </xf>
    <xf numFmtId="0" fontId="12" fillId="0" borderId="20" xfId="0" applyNumberFormat="1"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43" fillId="0" borderId="19" xfId="2" applyNumberFormat="1" applyFont="1" applyBorder="1" applyAlignment="1" applyProtection="1">
      <alignment horizontal="left" vertical="center"/>
      <protection locked="0"/>
    </xf>
    <xf numFmtId="0" fontId="43" fillId="0" borderId="20" xfId="2" applyNumberFormat="1" applyFont="1" applyBorder="1" applyAlignment="1" applyProtection="1">
      <alignment horizontal="left" vertical="center"/>
      <protection locked="0"/>
    </xf>
    <xf numFmtId="0" fontId="43" fillId="0" borderId="20" xfId="2" applyFont="1" applyBorder="1" applyAlignment="1" applyProtection="1">
      <alignment horizontal="left" vertical="center"/>
      <protection locked="0"/>
    </xf>
    <xf numFmtId="0" fontId="43" fillId="0" borderId="11" xfId="2" applyFont="1" applyBorder="1" applyAlignment="1" applyProtection="1">
      <alignment horizontal="left" vertical="center"/>
      <protection locked="0"/>
    </xf>
    <xf numFmtId="14" fontId="12" fillId="0" borderId="126" xfId="12" applyNumberFormat="1" applyFont="1" applyBorder="1" applyAlignment="1" applyProtection="1">
      <alignment horizontal="left" vertical="center" indent="1"/>
      <protection locked="0"/>
    </xf>
    <xf numFmtId="0" fontId="12" fillId="0" borderId="129" xfId="12" applyNumberFormat="1" applyFont="1" applyBorder="1" applyAlignment="1" applyProtection="1">
      <alignment horizontal="left" vertical="center" indent="1"/>
      <protection locked="0"/>
    </xf>
    <xf numFmtId="0" fontId="12" fillId="0" borderId="127" xfId="12" applyNumberFormat="1" applyFont="1" applyBorder="1" applyAlignment="1" applyProtection="1">
      <alignment horizontal="left" vertical="center" indent="1"/>
      <protection locked="0"/>
    </xf>
    <xf numFmtId="180" fontId="12" fillId="0" borderId="126" xfId="12" applyNumberFormat="1" applyFont="1" applyBorder="1" applyAlignment="1" applyProtection="1">
      <alignment horizontal="left" vertical="center" indent="1"/>
      <protection locked="0"/>
    </xf>
    <xf numFmtId="180" fontId="12" fillId="0" borderId="129" xfId="12" applyNumberFormat="1" applyFont="1" applyBorder="1" applyAlignment="1" applyProtection="1">
      <alignment horizontal="left" vertical="center" indent="1"/>
      <protection locked="0"/>
    </xf>
    <xf numFmtId="180" fontId="12" fillId="0" borderId="127" xfId="12" applyNumberFormat="1" applyFont="1" applyBorder="1" applyAlignment="1" applyProtection="1">
      <alignment horizontal="left" vertical="center" indent="1"/>
      <protection locked="0"/>
    </xf>
    <xf numFmtId="0" fontId="3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3" fillId="0" borderId="17"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38" fillId="0" borderId="19" xfId="0" applyFont="1" applyBorder="1" applyAlignment="1">
      <alignment horizontal="center" vertical="top"/>
    </xf>
    <xf numFmtId="0" fontId="38" fillId="0" borderId="20" xfId="0" applyFont="1" applyBorder="1" applyAlignment="1">
      <alignment horizontal="center" vertical="top"/>
    </xf>
    <xf numFmtId="0" fontId="38" fillId="0" borderId="11" xfId="0" applyFont="1" applyBorder="1" applyAlignment="1">
      <alignment horizontal="center" vertical="top"/>
    </xf>
    <xf numFmtId="0" fontId="12" fillId="0" borderId="19" xfId="12" applyNumberFormat="1" applyFont="1" applyFill="1" applyBorder="1" applyAlignment="1" applyProtection="1">
      <alignment horizontal="left" vertical="center" indent="1"/>
      <protection locked="0"/>
    </xf>
    <xf numFmtId="0" fontId="12" fillId="0" borderId="20" xfId="0" applyFont="1" applyBorder="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indent="1"/>
      <protection locked="0"/>
    </xf>
    <xf numFmtId="0" fontId="12" fillId="0" borderId="20" xfId="0" applyNumberFormat="1" applyFont="1" applyBorder="1" applyAlignment="1" applyProtection="1">
      <alignment horizontal="left" vertical="center" indent="1"/>
      <protection locked="0"/>
    </xf>
    <xf numFmtId="174" fontId="12" fillId="0" borderId="17" xfId="12" applyNumberFormat="1" applyFont="1" applyBorder="1" applyAlignment="1" applyProtection="1">
      <alignment horizontal="left" vertical="center" indent="1"/>
      <protection locked="0"/>
    </xf>
    <xf numFmtId="174" fontId="12" fillId="0" borderId="0" xfId="0" applyNumberFormat="1" applyFont="1" applyBorder="1" applyAlignment="1" applyProtection="1">
      <alignment horizontal="left" vertical="center" indent="1"/>
      <protection locked="0"/>
    </xf>
    <xf numFmtId="174" fontId="12" fillId="0" borderId="18" xfId="0" applyNumberFormat="1" applyFont="1" applyBorder="1" applyAlignment="1" applyProtection="1">
      <alignment horizontal="left" vertical="center" indent="1"/>
      <protection locked="0"/>
    </xf>
    <xf numFmtId="0" fontId="12" fillId="0" borderId="20" xfId="12" applyNumberFormat="1" applyFont="1" applyBorder="1" applyAlignment="1" applyProtection="1">
      <alignment horizontal="left" vertical="center" indent="1"/>
      <protection locked="0"/>
    </xf>
    <xf numFmtId="0" fontId="12" fillId="0" borderId="11" xfId="12"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readingOrder="1"/>
      <protection locked="0"/>
    </xf>
    <xf numFmtId="0" fontId="12" fillId="0" borderId="20" xfId="0" applyNumberFormat="1" applyFont="1" applyBorder="1" applyAlignment="1" applyProtection="1">
      <alignment horizontal="left" vertical="center" readingOrder="1"/>
      <protection locked="0"/>
    </xf>
    <xf numFmtId="0" fontId="13" fillId="0" borderId="20" xfId="0" applyFont="1" applyBorder="1" applyAlignment="1" applyProtection="1">
      <alignment vertical="center" readingOrder="1"/>
      <protection locked="0"/>
    </xf>
    <xf numFmtId="0" fontId="13" fillId="0" borderId="11" xfId="0" applyFont="1" applyBorder="1" applyAlignment="1" applyProtection="1">
      <alignment vertical="center" readingOrder="1"/>
      <protection locked="0"/>
    </xf>
    <xf numFmtId="0" fontId="13" fillId="0" borderId="2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2" fillId="0" borderId="137" xfId="12" applyFont="1" applyBorder="1" applyAlignment="1" applyProtection="1">
      <alignment horizontal="left" vertical="center" indent="1"/>
      <protection locked="0"/>
    </xf>
    <xf numFmtId="0" fontId="12" fillId="0" borderId="127" xfId="0" applyFont="1" applyBorder="1" applyAlignment="1" applyProtection="1">
      <alignment horizontal="left" vertical="center" indent="1"/>
      <protection locked="0"/>
    </xf>
    <xf numFmtId="0" fontId="12" fillId="0" borderId="19" xfId="0" applyFont="1" applyBorder="1" applyAlignment="1" applyProtection="1">
      <alignment horizontal="left" vertical="center" indent="1"/>
      <protection locked="0"/>
    </xf>
    <xf numFmtId="0" fontId="12" fillId="0" borderId="129" xfId="0"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2" fillId="0" borderId="19" xfId="2" applyNumberFormat="1" applyFill="1" applyBorder="1" applyAlignment="1" applyProtection="1">
      <alignment horizontal="left" vertical="center" indent="1"/>
      <protection locked="0"/>
    </xf>
    <xf numFmtId="49" fontId="36" fillId="0" borderId="20" xfId="0" applyNumberFormat="1" applyFont="1" applyBorder="1" applyAlignment="1" applyProtection="1">
      <alignment horizontal="left" vertical="center" indent="1"/>
      <protection locked="0"/>
    </xf>
    <xf numFmtId="49" fontId="36" fillId="0" borderId="11" xfId="0" applyNumberFormat="1" applyFont="1" applyBorder="1" applyAlignment="1" applyProtection="1">
      <alignment horizontal="left" vertical="center" indent="1"/>
      <protection locked="0"/>
    </xf>
    <xf numFmtId="0" fontId="20" fillId="0" borderId="17" xfId="12" applyNumberFormat="1" applyFont="1" applyBorder="1" applyAlignment="1" applyProtection="1">
      <alignment horizontal="center" vertical="center"/>
    </xf>
    <xf numFmtId="0" fontId="32" fillId="0" borderId="17" xfId="2" applyNumberFormat="1" applyBorder="1" applyAlignment="1" applyProtection="1">
      <alignment horizontal="center" vertical="center"/>
    </xf>
    <xf numFmtId="0" fontId="32" fillId="0" borderId="0" xfId="2" applyBorder="1" applyAlignment="1" applyProtection="1">
      <alignment horizontal="center" vertical="center"/>
    </xf>
    <xf numFmtId="0" fontId="32" fillId="0" borderId="18" xfId="2" applyBorder="1" applyAlignment="1" applyProtection="1">
      <alignment horizontal="center" vertical="center"/>
    </xf>
    <xf numFmtId="0" fontId="33"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2" fillId="0" borderId="17" xfId="12" applyNumberFormat="1" applyFont="1" applyBorder="1" applyAlignment="1" applyProtection="1">
      <alignment horizontal="left" vertical="center" indent="1"/>
      <protection locked="0"/>
    </xf>
    <xf numFmtId="0" fontId="12" fillId="0" borderId="0" xfId="0" applyNumberFormat="1" applyFont="1" applyBorder="1" applyAlignment="1" applyProtection="1">
      <alignment horizontal="left" vertical="center" indent="1"/>
      <protection locked="0"/>
    </xf>
    <xf numFmtId="0" fontId="12" fillId="0" borderId="18" xfId="0" applyFont="1" applyBorder="1" applyAlignment="1" applyProtection="1">
      <alignment horizontal="left" vertical="center" indent="1"/>
      <protection locked="0"/>
    </xf>
    <xf numFmtId="49" fontId="15" fillId="0" borderId="0"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12" applyFont="1" applyBorder="1" applyAlignment="1" applyProtection="1">
      <alignment horizontal="center" vertical="center"/>
    </xf>
    <xf numFmtId="171" fontId="12"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3" fillId="0" borderId="12" xfId="12" applyFont="1" applyBorder="1" applyAlignment="1" applyProtection="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12" fillId="0" borderId="0" xfId="12" applyFont="1" applyBorder="1" applyAlignment="1" applyProtection="1">
      <alignment horizontal="center" vertical="center"/>
    </xf>
    <xf numFmtId="49" fontId="12" fillId="0" borderId="0" xfId="12" applyNumberFormat="1" applyFont="1" applyBorder="1" applyAlignment="1" applyProtection="1">
      <alignment horizontal="center" vertical="center"/>
    </xf>
    <xf numFmtId="0" fontId="13" fillId="0" borderId="19" xfId="12" applyFont="1" applyBorder="1" applyAlignment="1" applyProtection="1">
      <alignment vertical="center"/>
    </xf>
    <xf numFmtId="0" fontId="13"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2" fillId="0" borderId="19" xfId="12" applyNumberFormat="1" applyFont="1" applyBorder="1" applyAlignment="1" applyProtection="1">
      <alignment horizontal="left" vertical="center" indent="1"/>
      <protection locked="0"/>
    </xf>
    <xf numFmtId="180" fontId="12" fillId="0" borderId="20" xfId="0" applyNumberFormat="1" applyFont="1" applyBorder="1" applyAlignment="1" applyProtection="1">
      <alignment horizontal="left" vertical="center" indent="1"/>
      <protection locked="0"/>
    </xf>
    <xf numFmtId="180" fontId="12" fillId="0" borderId="11" xfId="0" applyNumberFormat="1" applyFont="1" applyBorder="1" applyAlignment="1" applyProtection="1">
      <alignment horizontal="left" vertical="center" indent="1"/>
      <protection locked="0"/>
    </xf>
    <xf numFmtId="0" fontId="12" fillId="0" borderId="0" xfId="12" applyFont="1" applyBorder="1" applyAlignment="1" applyProtection="1">
      <alignment vertical="center"/>
      <protection locked="0"/>
    </xf>
    <xf numFmtId="0" fontId="1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0" fillId="0" borderId="12"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33" fillId="0" borderId="17" xfId="12" applyNumberFormat="1" applyFont="1" applyBorder="1" applyAlignment="1" applyProtection="1">
      <alignment horizontal="center"/>
    </xf>
    <xf numFmtId="0" fontId="32" fillId="0" borderId="19" xfId="2" applyNumberForma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indent="1"/>
      <protection locked="0"/>
    </xf>
    <xf numFmtId="0" fontId="43" fillId="0" borderId="20" xfId="2" applyFont="1" applyBorder="1" applyAlignment="1" applyProtection="1">
      <alignment horizontal="left" vertical="center" indent="1"/>
      <protection locked="0"/>
    </xf>
    <xf numFmtId="0" fontId="20" fillId="0" borderId="20"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9" xfId="12" applyFont="1" applyBorder="1" applyAlignment="1" applyProtection="1">
      <alignment horizontal="center" vertical="center" wrapText="1"/>
    </xf>
    <xf numFmtId="0" fontId="134" fillId="0" borderId="127" xfId="12" applyFont="1" applyBorder="1" applyAlignment="1" applyProtection="1">
      <alignment horizontal="center" vertical="center" wrapText="1"/>
    </xf>
    <xf numFmtId="0" fontId="53" fillId="0" borderId="0" xfId="0" applyFont="1" applyBorder="1" applyAlignment="1">
      <alignment horizontal="center" vertical="center"/>
    </xf>
    <xf numFmtId="0" fontId="53" fillId="0" borderId="0" xfId="0" applyFont="1" applyBorder="1" applyAlignment="1">
      <alignment horizontal="center"/>
    </xf>
    <xf numFmtId="0" fontId="57" fillId="0" borderId="0" xfId="2" applyFont="1" applyBorder="1" applyAlignment="1" applyProtection="1">
      <alignment horizontal="center"/>
    </xf>
    <xf numFmtId="0" fontId="53" fillId="0" borderId="48" xfId="0" applyFont="1" applyBorder="1" applyAlignment="1">
      <alignment horizontal="center"/>
    </xf>
    <xf numFmtId="0" fontId="65" fillId="0" borderId="0" xfId="0" applyFont="1" applyBorder="1" applyAlignment="1" applyProtection="1">
      <alignment horizontal="center" vertical="center"/>
    </xf>
    <xf numFmtId="0" fontId="54" fillId="0" borderId="12" xfId="3" applyFont="1" applyBorder="1" applyAlignment="1" applyProtection="1">
      <alignment horizontal="left" vertical="top"/>
      <protection locked="0"/>
    </xf>
    <xf numFmtId="0" fontId="54" fillId="0" borderId="16" xfId="3" applyFont="1" applyBorder="1" applyAlignment="1" applyProtection="1">
      <alignment horizontal="left" vertical="top"/>
      <protection locked="0"/>
    </xf>
    <xf numFmtId="0" fontId="54" fillId="0" borderId="10" xfId="3" applyFont="1" applyBorder="1" applyAlignment="1" applyProtection="1">
      <alignment horizontal="left" vertical="top"/>
      <protection locked="0"/>
    </xf>
    <xf numFmtId="0" fontId="54" fillId="0" borderId="17" xfId="3" applyFont="1" applyBorder="1" applyAlignment="1" applyProtection="1">
      <alignment horizontal="left" vertical="top"/>
      <protection locked="0"/>
    </xf>
    <xf numFmtId="0" fontId="54" fillId="0" borderId="0" xfId="3" applyFont="1" applyBorder="1" applyAlignment="1" applyProtection="1">
      <alignment horizontal="left" vertical="top"/>
      <protection locked="0"/>
    </xf>
    <xf numFmtId="0" fontId="54" fillId="0" borderId="18" xfId="3" applyFont="1" applyBorder="1" applyAlignment="1" applyProtection="1">
      <alignment horizontal="left" vertical="top"/>
      <protection locked="0"/>
    </xf>
    <xf numFmtId="0" fontId="54" fillId="0" borderId="126" xfId="3" applyFont="1" applyBorder="1" applyAlignment="1" applyProtection="1">
      <alignment horizontal="left" vertical="top"/>
      <protection locked="0"/>
    </xf>
    <xf numFmtId="0" fontId="54" fillId="0" borderId="129" xfId="3" applyFont="1" applyBorder="1" applyAlignment="1" applyProtection="1">
      <alignment horizontal="left" vertical="top"/>
      <protection locked="0"/>
    </xf>
    <xf numFmtId="0" fontId="54" fillId="0" borderId="127" xfId="3" applyFont="1" applyBorder="1" applyAlignment="1" applyProtection="1">
      <alignment horizontal="left" vertical="top"/>
      <protection locked="0"/>
    </xf>
    <xf numFmtId="0" fontId="53" fillId="0" borderId="135" xfId="3" applyFont="1" applyBorder="1" applyAlignment="1" applyProtection="1">
      <alignment horizontal="center"/>
      <protection locked="0"/>
    </xf>
    <xf numFmtId="0" fontId="72" fillId="0" borderId="0" xfId="3" applyFont="1" applyBorder="1" applyAlignment="1">
      <alignment horizontal="left" vertical="top" wrapText="1"/>
    </xf>
    <xf numFmtId="0" fontId="79" fillId="0" borderId="0" xfId="3" applyFont="1" applyBorder="1" applyAlignment="1">
      <alignment horizontal="left" vertical="top" wrapText="1"/>
    </xf>
    <xf numFmtId="0" fontId="79" fillId="0" borderId="0" xfId="3" applyFont="1" applyAlignment="1">
      <alignment horizontal="left" vertical="top" wrapText="1"/>
    </xf>
    <xf numFmtId="0" fontId="65" fillId="0" borderId="0" xfId="0" applyFont="1" applyBorder="1" applyAlignment="1" applyProtection="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0" fontId="74" fillId="0" borderId="0" xfId="0" applyFont="1" applyAlignment="1">
      <alignment horizontal="left" vertical="center"/>
    </xf>
    <xf numFmtId="0" fontId="56" fillId="0" borderId="0" xfId="0" applyFont="1" applyAlignment="1">
      <alignment horizontal="left" vertical="center"/>
    </xf>
    <xf numFmtId="0" fontId="53" fillId="19" borderId="0" xfId="0" applyFont="1" applyFill="1" applyBorder="1" applyAlignment="1" applyProtection="1">
      <alignment horizontal="center" vertical="center"/>
    </xf>
    <xf numFmtId="0" fontId="53" fillId="19" borderId="104" xfId="0" applyFont="1" applyFill="1" applyBorder="1" applyAlignment="1" applyProtection="1">
      <alignment horizontal="center" vertical="center"/>
    </xf>
    <xf numFmtId="0" fontId="54" fillId="0" borderId="12" xfId="0" applyFont="1" applyBorder="1" applyAlignment="1" applyProtection="1">
      <alignment horizontal="left" vertical="top" wrapText="1"/>
      <protection locked="0"/>
    </xf>
    <xf numFmtId="0" fontId="54" fillId="0" borderId="16"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4" fillId="0" borderId="17" xfId="0" applyFont="1" applyBorder="1" applyAlignment="1" applyProtection="1">
      <alignment horizontal="left" vertical="top" wrapText="1"/>
      <protection locked="0"/>
    </xf>
    <xf numFmtId="0" fontId="54" fillId="0" borderId="0" xfId="0" applyFont="1" applyBorder="1" applyAlignment="1" applyProtection="1">
      <alignment horizontal="left" vertical="top" wrapText="1"/>
      <protection locked="0"/>
    </xf>
    <xf numFmtId="0" fontId="54" fillId="0" borderId="18" xfId="0" applyFont="1" applyBorder="1" applyAlignment="1" applyProtection="1">
      <alignment horizontal="left" vertical="top" wrapText="1"/>
      <protection locked="0"/>
    </xf>
    <xf numFmtId="0" fontId="54" fillId="0" borderId="126" xfId="0" applyFont="1" applyBorder="1" applyAlignment="1" applyProtection="1">
      <alignment horizontal="left" vertical="top" wrapText="1"/>
      <protection locked="0"/>
    </xf>
    <xf numFmtId="0" fontId="54" fillId="0" borderId="129" xfId="0" applyFont="1" applyBorder="1" applyAlignment="1" applyProtection="1">
      <alignment horizontal="left" vertical="top" wrapText="1"/>
      <protection locked="0"/>
    </xf>
    <xf numFmtId="0" fontId="54" fillId="0" borderId="127" xfId="0" applyFont="1" applyBorder="1" applyAlignment="1" applyProtection="1">
      <alignment horizontal="left" vertical="top" wrapText="1"/>
      <protection locked="0"/>
    </xf>
    <xf numFmtId="0" fontId="59" fillId="0" borderId="0" xfId="0" applyFont="1" applyBorder="1" applyAlignment="1" applyProtection="1">
      <alignment horizontal="center" vertical="center"/>
    </xf>
    <xf numFmtId="38" fontId="53" fillId="0" borderId="79" xfId="0" applyNumberFormat="1" applyFont="1" applyBorder="1" applyAlignment="1" applyProtection="1">
      <alignment horizontal="left" vertical="top" wrapText="1"/>
      <protection locked="0"/>
    </xf>
    <xf numFmtId="0" fontId="53" fillId="0" borderId="80" xfId="0" applyFont="1" applyBorder="1" applyAlignment="1" applyProtection="1">
      <alignment wrapText="1"/>
      <protection locked="0"/>
    </xf>
    <xf numFmtId="0" fontId="53" fillId="0" borderId="81" xfId="0" applyFont="1" applyBorder="1" applyAlignment="1" applyProtection="1">
      <alignment wrapText="1"/>
      <protection locked="0"/>
    </xf>
    <xf numFmtId="0" fontId="53" fillId="0" borderId="82" xfId="0" applyFont="1" applyBorder="1" applyAlignment="1" applyProtection="1">
      <alignment wrapText="1"/>
      <protection locked="0"/>
    </xf>
    <xf numFmtId="0" fontId="53" fillId="0" borderId="0" xfId="0" applyFont="1" applyAlignment="1" applyProtection="1">
      <alignment wrapText="1"/>
      <protection locked="0"/>
    </xf>
    <xf numFmtId="0" fontId="53" fillId="0" borderId="83" xfId="0" applyFont="1" applyBorder="1" applyAlignment="1" applyProtection="1">
      <alignment wrapText="1"/>
      <protection locked="0"/>
    </xf>
    <xf numFmtId="0" fontId="53" fillId="0" borderId="84" xfId="0" applyFont="1" applyBorder="1" applyAlignment="1" applyProtection="1">
      <alignment wrapText="1"/>
      <protection locked="0"/>
    </xf>
    <xf numFmtId="0" fontId="53" fillId="0" borderId="85" xfId="0" applyFont="1" applyBorder="1" applyAlignment="1" applyProtection="1">
      <alignment wrapText="1"/>
      <protection locked="0"/>
    </xf>
    <xf numFmtId="0" fontId="53" fillId="0" borderId="86" xfId="0" applyFont="1" applyBorder="1" applyAlignment="1" applyProtection="1">
      <alignment wrapText="1"/>
      <protection locked="0"/>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166" fontId="61" fillId="0" borderId="0" xfId="0" applyNumberFormat="1" applyFont="1" applyBorder="1" applyAlignment="1" applyProtection="1">
      <alignment horizontal="left" vertical="center"/>
    </xf>
    <xf numFmtId="166" fontId="56" fillId="0" borderId="0" xfId="0" applyNumberFormat="1" applyFont="1" applyAlignment="1">
      <alignment horizontal="left" vertical="center"/>
    </xf>
    <xf numFmtId="0" fontId="61" fillId="0" borderId="0" xfId="0" applyFont="1" applyBorder="1" applyAlignment="1" applyProtection="1">
      <alignment wrapText="1"/>
    </xf>
    <xf numFmtId="0" fontId="61" fillId="0" borderId="0" xfId="0" applyFont="1" applyAlignment="1" applyProtection="1">
      <alignment horizontal="left" vertical="center"/>
    </xf>
    <xf numFmtId="0" fontId="61" fillId="0" borderId="0" xfId="0" applyFont="1" applyAlignment="1">
      <alignment horizontal="left" vertical="center"/>
    </xf>
    <xf numFmtId="0" fontId="61" fillId="0" borderId="0" xfId="0" applyFont="1" applyBorder="1" applyAlignment="1" applyProtection="1">
      <alignment vertical="top" wrapText="1"/>
    </xf>
    <xf numFmtId="0" fontId="61" fillId="0" borderId="0" xfId="0" applyFont="1" applyAlignment="1">
      <alignment wrapText="1"/>
    </xf>
    <xf numFmtId="0" fontId="71" fillId="0" borderId="0" xfId="0" applyFont="1" applyAlignment="1">
      <alignment horizontal="center" vertical="center"/>
    </xf>
    <xf numFmtId="0" fontId="56" fillId="0" borderId="0" xfId="0" applyFont="1" applyAlignment="1">
      <alignment horizontal="center" vertical="center"/>
    </xf>
    <xf numFmtId="0" fontId="55" fillId="0" borderId="0" xfId="2" applyFont="1" applyAlignment="1" applyProtection="1">
      <alignment horizontal="center" vertical="center"/>
    </xf>
    <xf numFmtId="0" fontId="53" fillId="0" borderId="10" xfId="0" applyFont="1" applyFill="1" applyBorder="1" applyAlignment="1" applyProtection="1">
      <alignment horizontal="center" vertical="center" wrapText="1"/>
    </xf>
    <xf numFmtId="0" fontId="53" fillId="0" borderId="127" xfId="0" applyFont="1" applyFill="1" applyBorder="1" applyAlignment="1" applyProtection="1">
      <alignment horizontal="center" vertical="center" wrapText="1"/>
    </xf>
    <xf numFmtId="3" fontId="63" fillId="24" borderId="13" xfId="0" applyNumberFormat="1" applyFont="1" applyFill="1" applyBorder="1" applyAlignment="1" applyProtection="1">
      <alignment horizontal="left" vertical="center"/>
    </xf>
    <xf numFmtId="3" fontId="63" fillId="24" borderId="14" xfId="0" applyNumberFormat="1" applyFont="1" applyFill="1" applyBorder="1" applyAlignment="1" applyProtection="1">
      <alignment horizontal="left" vertical="center"/>
    </xf>
    <xf numFmtId="164" fontId="63" fillId="24" borderId="49" xfId="0" applyNumberFormat="1" applyFont="1" applyFill="1" applyBorder="1" applyAlignment="1" applyProtection="1">
      <alignment horizontal="left" vertical="center"/>
    </xf>
    <xf numFmtId="164" fontId="63" fillId="24" borderId="31" xfId="0" applyNumberFormat="1" applyFont="1" applyFill="1" applyBorder="1" applyAlignment="1" applyProtection="1">
      <alignment horizontal="left" vertical="center"/>
    </xf>
    <xf numFmtId="0" fontId="63" fillId="24" borderId="34" xfId="0" applyFont="1" applyFill="1" applyBorder="1" applyAlignment="1" applyProtection="1">
      <alignment horizontal="left" vertical="center"/>
    </xf>
    <xf numFmtId="0" fontId="63" fillId="24" borderId="31" xfId="0" applyFont="1" applyFill="1" applyBorder="1" applyAlignment="1" applyProtection="1">
      <alignment horizontal="left" vertical="center"/>
    </xf>
    <xf numFmtId="164" fontId="63" fillId="24" borderId="13" xfId="0" applyNumberFormat="1" applyFont="1" applyFill="1" applyBorder="1" applyAlignment="1" applyProtection="1">
      <alignment horizontal="left" vertical="center"/>
    </xf>
    <xf numFmtId="164" fontId="63" fillId="24" borderId="14" xfId="0" applyNumberFormat="1" applyFont="1" applyFill="1" applyBorder="1" applyAlignment="1" applyProtection="1">
      <alignment horizontal="left" vertical="center"/>
    </xf>
    <xf numFmtId="164" fontId="63" fillId="17" borderId="36" xfId="0" applyNumberFormat="1" applyFont="1" applyFill="1" applyBorder="1" applyAlignment="1" applyProtection="1">
      <alignment horizontal="left" vertical="center" wrapText="1" indent="2"/>
    </xf>
    <xf numFmtId="164" fontId="63" fillId="17" borderId="30" xfId="0" applyNumberFormat="1" applyFont="1" applyFill="1" applyBorder="1" applyAlignment="1" applyProtection="1">
      <alignment horizontal="left" vertical="center" wrapText="1" indent="2"/>
    </xf>
    <xf numFmtId="0" fontId="63" fillId="17" borderId="52" xfId="0" applyFont="1" applyFill="1" applyBorder="1" applyAlignment="1" applyProtection="1">
      <alignment horizontal="left" vertical="center" indent="2"/>
    </xf>
    <xf numFmtId="0" fontId="63" fillId="17" borderId="53" xfId="0" applyFont="1" applyFill="1" applyBorder="1" applyAlignment="1" applyProtection="1">
      <alignment horizontal="left" vertical="center" indent="2"/>
    </xf>
    <xf numFmtId="0" fontId="63" fillId="17" borderId="35" xfId="0" applyFont="1" applyFill="1" applyBorder="1" applyAlignment="1" applyProtection="1">
      <alignment horizontal="left" vertical="center" indent="2"/>
    </xf>
    <xf numFmtId="0" fontId="63" fillId="17" borderId="30" xfId="0" applyFont="1" applyFill="1" applyBorder="1" applyAlignment="1" applyProtection="1">
      <alignment horizontal="left" vertical="center" indent="2"/>
    </xf>
    <xf numFmtId="0" fontId="61" fillId="17" borderId="52" xfId="0" applyFont="1" applyFill="1" applyBorder="1" applyAlignment="1" applyProtection="1">
      <alignment horizontal="left" vertical="center" wrapText="1" indent="2"/>
    </xf>
    <xf numFmtId="0" fontId="56" fillId="17" borderId="53" xfId="0" applyFont="1" applyFill="1" applyBorder="1" applyAlignment="1">
      <alignment horizontal="left" wrapText="1" indent="2"/>
    </xf>
    <xf numFmtId="3" fontId="63" fillId="0" borderId="10" xfId="0" applyNumberFormat="1" applyFont="1" applyBorder="1" applyAlignment="1" applyProtection="1">
      <alignment horizontal="center" vertical="center" wrapText="1"/>
    </xf>
    <xf numFmtId="3" fontId="63" fillId="0" borderId="127" xfId="0" applyNumberFormat="1" applyFont="1" applyBorder="1" applyAlignment="1" applyProtection="1">
      <alignment horizontal="center" vertical="center" wrapText="1"/>
    </xf>
    <xf numFmtId="0" fontId="63" fillId="17" borderId="34" xfId="0" applyFont="1" applyFill="1" applyBorder="1" applyAlignment="1" applyProtection="1">
      <alignment horizontal="left" vertical="center" indent="1"/>
    </xf>
    <xf numFmtId="0" fontId="63" fillId="17" borderId="31" xfId="0" applyFont="1" applyFill="1" applyBorder="1" applyAlignment="1" applyProtection="1">
      <alignment horizontal="left" vertical="center" inden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left" vertical="center" indent="1"/>
    </xf>
    <xf numFmtId="164" fontId="63" fillId="26" borderId="13" xfId="0" applyNumberFormat="1" applyFont="1" applyFill="1" applyBorder="1" applyAlignment="1" applyProtection="1">
      <alignment horizontal="left" vertical="center" wrapText="1" indent="1"/>
    </xf>
    <xf numFmtId="164" fontId="63" fillId="26" borderId="14" xfId="0" applyNumberFormat="1" applyFont="1" applyFill="1" applyBorder="1" applyAlignment="1" applyProtection="1">
      <alignment horizontal="left" vertical="center" wrapText="1" indent="1"/>
    </xf>
    <xf numFmtId="164" fontId="63" fillId="15" borderId="13" xfId="0" applyNumberFormat="1" applyFont="1" applyFill="1" applyBorder="1" applyAlignment="1" applyProtection="1">
      <alignment horizontal="left" vertical="center" wrapText="1" indent="1"/>
    </xf>
    <xf numFmtId="164" fontId="63" fillId="15" borderId="14" xfId="0" applyNumberFormat="1" applyFont="1" applyFill="1" applyBorder="1" applyAlignment="1" applyProtection="1">
      <alignment horizontal="left" vertical="center" wrapText="1" indent="1"/>
    </xf>
    <xf numFmtId="164" fontId="63" fillId="18" borderId="13" xfId="0" applyNumberFormat="1" applyFont="1" applyFill="1" applyBorder="1" applyAlignment="1" applyProtection="1">
      <alignment horizontal="left" vertical="center" wrapText="1"/>
    </xf>
    <xf numFmtId="164" fontId="63" fillId="18" borderId="14" xfId="0" applyNumberFormat="1" applyFont="1" applyFill="1" applyBorder="1" applyAlignment="1" applyProtection="1">
      <alignment horizontal="left" vertical="center" wrapText="1"/>
    </xf>
    <xf numFmtId="49" fontId="63" fillId="24" borderId="13" xfId="0" applyNumberFormat="1" applyFont="1" applyFill="1" applyBorder="1" applyAlignment="1" applyProtection="1">
      <alignment horizontal="left" vertical="center"/>
    </xf>
    <xf numFmtId="49" fontId="63" fillId="24" borderId="14" xfId="0" applyNumberFormat="1" applyFont="1" applyFill="1" applyBorder="1" applyAlignment="1" applyProtection="1">
      <alignment horizontal="left" vertical="center"/>
    </xf>
    <xf numFmtId="0" fontId="63" fillId="24" borderId="13" xfId="0" applyFont="1" applyFill="1" applyBorder="1" applyAlignment="1" applyProtection="1">
      <alignment vertical="center"/>
    </xf>
    <xf numFmtId="0" fontId="63" fillId="24" borderId="14" xfId="0" applyFont="1" applyFill="1" applyBorder="1" applyAlignment="1" applyProtection="1">
      <alignment vertical="center"/>
    </xf>
    <xf numFmtId="164" fontId="63" fillId="17" borderId="13" xfId="0" applyNumberFormat="1" applyFont="1" applyFill="1" applyBorder="1" applyAlignment="1" applyProtection="1">
      <alignment horizontal="left" vertical="center" wrapText="1" indent="2"/>
    </xf>
    <xf numFmtId="164" fontId="63" fillId="17" borderId="14" xfId="0" applyNumberFormat="1" applyFont="1" applyFill="1" applyBorder="1" applyAlignment="1" applyProtection="1">
      <alignment horizontal="left" vertical="center" wrapText="1" indent="2"/>
    </xf>
    <xf numFmtId="164" fontId="63" fillId="6" borderId="13" xfId="0" applyNumberFormat="1" applyFont="1" applyFill="1" applyBorder="1" applyAlignment="1" applyProtection="1">
      <alignment horizontal="left" vertical="center" wrapText="1" indent="1"/>
    </xf>
    <xf numFmtId="164" fontId="63" fillId="6" borderId="14" xfId="0" applyNumberFormat="1" applyFont="1" applyFill="1" applyBorder="1" applyAlignment="1" applyProtection="1">
      <alignment horizontal="left" vertical="center" wrapText="1" indent="1"/>
    </xf>
    <xf numFmtId="0" fontId="63" fillId="17" borderId="24" xfId="0" applyFont="1" applyFill="1" applyBorder="1" applyAlignment="1" applyProtection="1">
      <alignment horizontal="left" vertical="center" indent="1"/>
    </xf>
    <xf numFmtId="0" fontId="56" fillId="17" borderId="51" xfId="0" applyFont="1" applyFill="1" applyBorder="1" applyAlignment="1">
      <alignment horizontal="left" vertical="center" indent="1"/>
    </xf>
    <xf numFmtId="0" fontId="63" fillId="18" borderId="21" xfId="0" applyFont="1" applyFill="1" applyBorder="1" applyAlignment="1">
      <alignment horizontal="left" vertical="center" wrapText="1"/>
    </xf>
    <xf numFmtId="0" fontId="56" fillId="18" borderId="14" xfId="0" applyFont="1" applyFill="1" applyBorder="1" applyAlignment="1">
      <alignment horizontal="left" vertical="center" wrapText="1"/>
    </xf>
    <xf numFmtId="0" fontId="63" fillId="18" borderId="34" xfId="0" applyFont="1" applyFill="1" applyBorder="1" applyAlignment="1">
      <alignment vertical="top" wrapText="1"/>
    </xf>
    <xf numFmtId="0" fontId="56" fillId="18" borderId="31" xfId="0" applyFont="1" applyFill="1" applyBorder="1" applyAlignment="1">
      <alignment vertical="top" wrapText="1"/>
    </xf>
    <xf numFmtId="0" fontId="63" fillId="17" borderId="35" xfId="0" applyFont="1" applyFill="1" applyBorder="1" applyAlignment="1" applyProtection="1">
      <alignment horizontal="left" vertical="top" wrapText="1" indent="1"/>
    </xf>
    <xf numFmtId="0" fontId="56" fillId="17" borderId="30" xfId="0" applyFont="1" applyFill="1" applyBorder="1" applyAlignment="1">
      <alignment horizontal="left" vertical="top" wrapText="1" indent="1"/>
    </xf>
    <xf numFmtId="0" fontId="63" fillId="17" borderId="35" xfId="0" applyFont="1" applyFill="1" applyBorder="1" applyAlignment="1" applyProtection="1">
      <alignment horizontal="left" vertical="top" indent="1"/>
    </xf>
    <xf numFmtId="0" fontId="56" fillId="17" borderId="30" xfId="0" applyFont="1" applyFill="1" applyBorder="1" applyAlignment="1">
      <alignment horizontal="left" vertical="top" indent="1"/>
    </xf>
    <xf numFmtId="0" fontId="63" fillId="18" borderId="34" xfId="0" applyFont="1" applyFill="1" applyBorder="1" applyAlignment="1">
      <alignment vertical="center" wrapText="1"/>
    </xf>
    <xf numFmtId="0" fontId="56" fillId="18" borderId="31" xfId="0" applyFont="1" applyFill="1" applyBorder="1" applyAlignment="1">
      <alignment vertical="center" wrapText="1"/>
    </xf>
    <xf numFmtId="3" fontId="63" fillId="0" borderId="18" xfId="0" applyNumberFormat="1" applyFont="1" applyBorder="1" applyAlignment="1" applyProtection="1">
      <alignment horizontal="center" vertical="center" wrapText="1"/>
    </xf>
    <xf numFmtId="0" fontId="64" fillId="24" borderId="19" xfId="0" applyFont="1" applyFill="1" applyBorder="1" applyAlignment="1">
      <alignment horizontal="center" vertical="center"/>
    </xf>
    <xf numFmtId="0" fontId="56" fillId="24" borderId="11" xfId="0" applyFont="1" applyFill="1" applyBorder="1" applyAlignment="1">
      <alignment horizontal="center" vertical="center"/>
    </xf>
    <xf numFmtId="0" fontId="64" fillId="25" borderId="20" xfId="0" applyFont="1" applyFill="1" applyBorder="1" applyAlignment="1">
      <alignment horizontal="center" vertical="center"/>
    </xf>
    <xf numFmtId="0" fontId="64" fillId="25" borderId="11" xfId="0" applyFont="1" applyFill="1" applyBorder="1" applyAlignment="1">
      <alignment horizontal="center" vertical="center"/>
    </xf>
    <xf numFmtId="0" fontId="56" fillId="25" borderId="11" xfId="0" applyFont="1" applyFill="1" applyBorder="1" applyAlignment="1">
      <alignment horizontal="center" vertical="center"/>
    </xf>
    <xf numFmtId="0" fontId="64" fillId="24" borderId="107" xfId="0" applyFont="1" applyFill="1" applyBorder="1" applyAlignment="1">
      <alignment horizontal="center" vertical="center"/>
    </xf>
    <xf numFmtId="0" fontId="56" fillId="24" borderId="132" xfId="0" applyFont="1" applyFill="1" applyBorder="1" applyAlignment="1">
      <alignment horizontal="center" vertical="center"/>
    </xf>
    <xf numFmtId="0" fontId="64" fillId="24" borderId="20" xfId="0" applyFont="1" applyFill="1" applyBorder="1" applyAlignment="1">
      <alignment horizontal="center" vertical="center"/>
    </xf>
    <xf numFmtId="3" fontId="63" fillId="17" borderId="34" xfId="0" applyNumberFormat="1" applyFont="1" applyFill="1" applyBorder="1" applyAlignment="1">
      <alignment horizontal="left" vertical="top" wrapText="1" indent="1"/>
    </xf>
    <xf numFmtId="0" fontId="56" fillId="17" borderId="31" xfId="0" applyFont="1" applyFill="1" applyBorder="1" applyAlignment="1">
      <alignment horizontal="left" vertical="top" wrapText="1"/>
    </xf>
    <xf numFmtId="3" fontId="63" fillId="17" borderId="23" xfId="0" applyNumberFormat="1" applyFont="1" applyFill="1" applyBorder="1" applyAlignment="1">
      <alignment horizontal="left" vertical="top" wrapText="1" indent="1"/>
    </xf>
    <xf numFmtId="0" fontId="56" fillId="17" borderId="38" xfId="0" applyFont="1" applyFill="1" applyBorder="1" applyAlignment="1">
      <alignment horizontal="left" vertical="top" wrapText="1" indent="1"/>
    </xf>
    <xf numFmtId="3" fontId="63" fillId="17" borderId="24" xfId="0" applyNumberFormat="1" applyFont="1" applyFill="1" applyBorder="1" applyAlignment="1">
      <alignment horizontal="left" vertical="top" wrapText="1" indent="1"/>
    </xf>
    <xf numFmtId="0" fontId="61" fillId="17" borderId="51" xfId="0" applyFont="1" applyFill="1" applyBorder="1" applyAlignment="1">
      <alignment horizontal="left" vertical="top" wrapText="1" indent="1"/>
    </xf>
    <xf numFmtId="3" fontId="63" fillId="17" borderId="35" xfId="0" applyNumberFormat="1" applyFont="1" applyFill="1" applyBorder="1" applyAlignment="1">
      <alignment horizontal="left" vertical="top" wrapText="1" indent="1"/>
    </xf>
    <xf numFmtId="3" fontId="63" fillId="17" borderId="35" xfId="0" applyNumberFormat="1" applyFont="1" applyFill="1" applyBorder="1" applyAlignment="1">
      <alignment horizontal="left" vertical="top" indent="1"/>
    </xf>
    <xf numFmtId="0" fontId="61" fillId="17" borderId="30" xfId="0" applyFont="1" applyFill="1" applyBorder="1" applyAlignment="1">
      <alignment horizontal="left" vertical="top" indent="1"/>
    </xf>
    <xf numFmtId="3" fontId="63" fillId="0" borderId="23" xfId="0" applyNumberFormat="1" applyFont="1" applyBorder="1" applyAlignment="1">
      <alignment horizontal="left" vertical="top" wrapText="1" indent="1"/>
    </xf>
    <xf numFmtId="0" fontId="56" fillId="0" borderId="38" xfId="0" applyFont="1" applyBorder="1" applyAlignment="1">
      <alignment horizontal="left" vertical="top" wrapText="1" indent="1"/>
    </xf>
    <xf numFmtId="0" fontId="64" fillId="24" borderId="20" xfId="0" applyFont="1" applyFill="1" applyBorder="1" applyAlignment="1">
      <alignment horizontal="center" vertical="center" wrapText="1"/>
    </xf>
    <xf numFmtId="0" fontId="56" fillId="24" borderId="11" xfId="0" applyFont="1" applyFill="1" applyBorder="1" applyAlignment="1">
      <alignment horizontal="center" vertical="center" wrapText="1"/>
    </xf>
    <xf numFmtId="3" fontId="64" fillId="24" borderId="13" xfId="0" applyNumberFormat="1" applyFont="1" applyFill="1" applyBorder="1" applyAlignment="1">
      <alignment horizontal="center" vertical="center"/>
    </xf>
    <xf numFmtId="0" fontId="56" fillId="24" borderId="14" xfId="0" applyFont="1" applyFill="1" applyBorder="1" applyAlignment="1">
      <alignment horizontal="center" vertical="center"/>
    </xf>
    <xf numFmtId="0" fontId="64" fillId="24" borderId="21" xfId="0" applyFont="1" applyFill="1" applyBorder="1" applyAlignment="1">
      <alignment horizontal="center" vertical="center"/>
    </xf>
    <xf numFmtId="3" fontId="63" fillId="17" borderId="49" xfId="0" applyNumberFormat="1" applyFont="1" applyFill="1" applyBorder="1" applyAlignment="1">
      <alignment horizontal="left" vertical="top" indent="1"/>
    </xf>
    <xf numFmtId="3" fontId="63" fillId="17" borderId="31" xfId="0" applyNumberFormat="1" applyFont="1" applyFill="1" applyBorder="1" applyAlignment="1">
      <alignment horizontal="left" vertical="top" indent="1"/>
    </xf>
    <xf numFmtId="3" fontId="63" fillId="16" borderId="10" xfId="0" applyNumberFormat="1" applyFont="1" applyFill="1" applyBorder="1" applyAlignment="1" applyProtection="1">
      <alignment horizontal="center" vertical="center" wrapText="1"/>
    </xf>
    <xf numFmtId="3" fontId="63" fillId="16" borderId="127" xfId="0" applyNumberFormat="1" applyFont="1" applyFill="1" applyBorder="1" applyAlignment="1" applyProtection="1">
      <alignment horizontal="center" vertical="center" wrapText="1"/>
    </xf>
    <xf numFmtId="0" fontId="63" fillId="6" borderId="13" xfId="0" applyFont="1" applyFill="1" applyBorder="1" applyAlignment="1" applyProtection="1">
      <alignment horizontal="left" vertical="center" wrapText="1"/>
    </xf>
    <xf numFmtId="0" fontId="56" fillId="6" borderId="14" xfId="0" applyFont="1" applyFill="1" applyBorder="1" applyAlignment="1">
      <alignment horizontal="left" vertical="center" wrapText="1"/>
    </xf>
    <xf numFmtId="49" fontId="63" fillId="17" borderId="13" xfId="0" applyNumberFormat="1" applyFont="1" applyFill="1" applyBorder="1" applyAlignment="1" applyProtection="1">
      <alignment horizontal="left" vertical="center" wrapText="1" indent="1"/>
    </xf>
    <xf numFmtId="0" fontId="56" fillId="17" borderId="14" xfId="0" applyFont="1" applyFill="1" applyBorder="1" applyAlignment="1">
      <alignment horizontal="left" vertical="center" wrapText="1" indent="1"/>
    </xf>
    <xf numFmtId="49" fontId="64" fillId="13" borderId="13" xfId="0" applyNumberFormat="1" applyFont="1" applyFill="1" applyBorder="1" applyAlignment="1" applyProtection="1">
      <alignment horizontal="center" vertical="center"/>
    </xf>
    <xf numFmtId="0" fontId="56" fillId="13" borderId="14" xfId="0" applyFont="1" applyFill="1" applyBorder="1" applyAlignment="1">
      <alignment horizontal="center" vertical="center"/>
    </xf>
    <xf numFmtId="49" fontId="72"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49" fontId="82"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164" fontId="63" fillId="6" borderId="13" xfId="0" applyNumberFormat="1" applyFont="1" applyFill="1" applyBorder="1" applyAlignment="1" applyProtection="1">
      <alignment horizontal="left" vertical="center" wrapText="1"/>
    </xf>
    <xf numFmtId="49" fontId="63" fillId="0" borderId="13"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17" borderId="13" xfId="0" applyNumberFormat="1" applyFont="1" applyFill="1" applyBorder="1" applyAlignment="1" applyProtection="1">
      <alignment horizontal="left" vertical="center" indent="1"/>
    </xf>
    <xf numFmtId="0" fontId="56" fillId="17" borderId="14" xfId="0" applyFont="1" applyFill="1" applyBorder="1" applyAlignment="1">
      <alignment horizontal="left" vertical="center" indent="1"/>
    </xf>
    <xf numFmtId="49" fontId="63" fillId="6" borderId="13" xfId="0" applyNumberFormat="1" applyFont="1" applyFill="1" applyBorder="1" applyAlignment="1" applyProtection="1">
      <alignment horizontal="left" vertical="center"/>
    </xf>
    <xf numFmtId="49" fontId="63" fillId="6" borderId="14" xfId="0" applyNumberFormat="1" applyFont="1" applyFill="1" applyBorder="1" applyAlignment="1" applyProtection="1">
      <alignment horizontal="left" vertical="center"/>
    </xf>
    <xf numFmtId="0" fontId="61" fillId="0" borderId="0" xfId="9" applyFont="1" applyFill="1" applyAlignment="1">
      <alignment wrapText="1"/>
    </xf>
    <xf numFmtId="0" fontId="56" fillId="0" borderId="0" xfId="0" applyFont="1" applyAlignment="1">
      <alignment wrapText="1"/>
    </xf>
    <xf numFmtId="0" fontId="54" fillId="0" borderId="9" xfId="9" applyFont="1" applyFill="1" applyBorder="1" applyAlignment="1" applyProtection="1">
      <protection locked="0"/>
    </xf>
    <xf numFmtId="0" fontId="54" fillId="0" borderId="9" xfId="0" applyFont="1" applyBorder="1" applyAlignment="1"/>
    <xf numFmtId="0" fontId="54" fillId="0" borderId="6" xfId="9" applyFont="1" applyFill="1" applyBorder="1" applyAlignment="1" applyProtection="1">
      <protection locked="0"/>
    </xf>
    <xf numFmtId="0" fontId="54" fillId="0" borderId="6" xfId="0" applyFont="1" applyBorder="1" applyAlignment="1"/>
    <xf numFmtId="49" fontId="61" fillId="0" borderId="13" xfId="0" applyNumberFormat="1" applyFont="1" applyBorder="1" applyAlignment="1" applyProtection="1">
      <alignment horizontal="left" vertical="center" wrapText="1" indent="1"/>
    </xf>
    <xf numFmtId="0" fontId="56" fillId="0" borderId="14" xfId="0" applyFont="1" applyBorder="1" applyAlignment="1">
      <alignment horizontal="left" vertical="center" wrapText="1" indent="1"/>
    </xf>
    <xf numFmtId="49" fontId="63" fillId="6" borderId="13" xfId="0" applyNumberFormat="1" applyFont="1" applyFill="1" applyBorder="1" applyAlignment="1" applyProtection="1">
      <alignment horizontal="left" vertical="center" wrapText="1"/>
    </xf>
    <xf numFmtId="0" fontId="64" fillId="13" borderId="13" xfId="9" applyFont="1" applyFill="1" applyBorder="1" applyAlignment="1">
      <alignment horizontal="center" vertical="center"/>
    </xf>
    <xf numFmtId="0" fontId="61" fillId="0" borderId="6" xfId="0" applyFont="1" applyBorder="1" applyAlignment="1" applyProtection="1">
      <alignment horizontal="left" vertical="center" wrapText="1" indent="1"/>
    </xf>
    <xf numFmtId="0" fontId="56" fillId="0" borderId="6" xfId="0" applyFont="1" applyBorder="1" applyAlignment="1" applyProtection="1">
      <alignment horizontal="left" vertical="center" wrapText="1" indent="1"/>
    </xf>
    <xf numFmtId="0" fontId="56" fillId="0" borderId="7" xfId="0" applyFont="1" applyBorder="1" applyAlignment="1" applyProtection="1">
      <alignment horizontal="left" vertical="center" wrapText="1" indent="1"/>
    </xf>
    <xf numFmtId="49" fontId="63" fillId="0" borderId="66" xfId="0" applyNumberFormat="1" applyFont="1" applyFill="1" applyBorder="1" applyAlignment="1" applyProtection="1">
      <alignment horizontal="center" vertical="center" wrapText="1"/>
    </xf>
    <xf numFmtId="49" fontId="63" fillId="0" borderId="15" xfId="0" applyNumberFormat="1" applyFont="1" applyFill="1" applyBorder="1" applyAlignment="1" applyProtection="1">
      <alignment horizontal="center" vertical="center" wrapText="1"/>
    </xf>
    <xf numFmtId="0" fontId="56" fillId="0" borderId="67" xfId="0" applyFont="1" applyFill="1" applyBorder="1" applyAlignment="1">
      <alignment wrapText="1"/>
    </xf>
    <xf numFmtId="0" fontId="63" fillId="0" borderId="46" xfId="0" applyFont="1" applyBorder="1" applyAlignment="1" applyProtection="1">
      <alignment horizontal="left" vertical="center" wrapText="1"/>
    </xf>
    <xf numFmtId="0" fontId="63" fillId="0" borderId="6" xfId="0" applyFont="1" applyBorder="1" applyAlignment="1" applyProtection="1">
      <alignment horizontal="left" vertical="center" wrapText="1"/>
    </xf>
    <xf numFmtId="0" fontId="56" fillId="0" borderId="6" xfId="0" applyFont="1" applyBorder="1" applyAlignment="1">
      <alignment wrapText="1"/>
    </xf>
    <xf numFmtId="0" fontId="63" fillId="6" borderId="5" xfId="0" applyFont="1" applyFill="1" applyBorder="1" applyAlignment="1" applyProtection="1">
      <alignment horizontal="left" vertical="center" wrapText="1"/>
    </xf>
    <xf numFmtId="0" fontId="63" fillId="6" borderId="0" xfId="0" applyFont="1" applyFill="1" applyBorder="1" applyAlignment="1" applyProtection="1">
      <alignment horizontal="left" vertical="center" wrapText="1"/>
    </xf>
    <xf numFmtId="0" fontId="63" fillId="6" borderId="87" xfId="0" applyFont="1" applyFill="1" applyBorder="1" applyAlignment="1" applyProtection="1">
      <alignment horizontal="left" vertical="center" wrapText="1"/>
    </xf>
    <xf numFmtId="0" fontId="63" fillId="6" borderId="88" xfId="0" applyFont="1" applyFill="1" applyBorder="1" applyAlignment="1" applyProtection="1">
      <alignment horizontal="left" vertical="center" wrapText="1"/>
    </xf>
    <xf numFmtId="0" fontId="56" fillId="0" borderId="88" xfId="0" applyFont="1" applyBorder="1" applyAlignment="1">
      <alignment wrapText="1"/>
    </xf>
    <xf numFmtId="0" fontId="61" fillId="0" borderId="6" xfId="0" applyFont="1" applyBorder="1" applyAlignment="1" applyProtection="1">
      <alignment horizontal="left" vertical="center" indent="1"/>
    </xf>
    <xf numFmtId="0" fontId="56" fillId="0" borderId="6" xfId="0" applyFont="1" applyBorder="1" applyAlignment="1">
      <alignment horizontal="left" indent="1"/>
    </xf>
    <xf numFmtId="0" fontId="56" fillId="0" borderId="7" xfId="0" applyFont="1" applyBorder="1" applyAlignment="1">
      <alignment horizontal="left" indent="1"/>
    </xf>
    <xf numFmtId="0" fontId="63" fillId="17" borderId="54" xfId="0" applyFont="1" applyFill="1" applyBorder="1" applyAlignment="1" applyProtection="1">
      <alignment horizontal="left" vertical="center" indent="1"/>
    </xf>
    <xf numFmtId="0" fontId="63" fillId="17" borderId="57" xfId="0" applyFont="1" applyFill="1" applyBorder="1" applyAlignment="1" applyProtection="1">
      <alignment horizontal="left" vertical="center" indent="1"/>
    </xf>
    <xf numFmtId="0" fontId="63" fillId="17" borderId="61" xfId="0" applyFont="1" applyFill="1" applyBorder="1" applyAlignment="1" applyProtection="1">
      <alignment horizontal="left" vertical="center" indent="1"/>
    </xf>
    <xf numFmtId="0" fontId="63" fillId="17" borderId="148" xfId="0" applyFont="1" applyFill="1" applyBorder="1" applyAlignment="1" applyProtection="1">
      <alignment horizontal="left" vertical="center" indent="1"/>
    </xf>
    <xf numFmtId="0" fontId="63" fillId="17" borderId="147" xfId="0" applyFont="1" applyFill="1" applyBorder="1" applyAlignment="1" applyProtection="1">
      <alignment horizontal="left" vertical="center" indent="1"/>
    </xf>
    <xf numFmtId="0" fontId="63" fillId="3" borderId="148" xfId="0" applyFont="1" applyFill="1" applyBorder="1" applyAlignment="1" applyProtection="1">
      <alignment horizontal="left" vertical="center"/>
    </xf>
    <xf numFmtId="0" fontId="63" fillId="3" borderId="149" xfId="0" applyFont="1" applyFill="1" applyBorder="1" applyAlignment="1" applyProtection="1">
      <alignment horizontal="left" vertical="center"/>
    </xf>
    <xf numFmtId="0" fontId="64" fillId="13" borderId="46" xfId="0" applyFont="1" applyFill="1" applyBorder="1" applyAlignment="1" applyProtection="1">
      <alignment horizontal="left" vertical="center" wrapText="1"/>
    </xf>
    <xf numFmtId="0" fontId="56" fillId="13" borderId="6" xfId="0" applyFont="1" applyFill="1" applyBorder="1" applyAlignment="1">
      <alignment horizontal="left" wrapText="1"/>
    </xf>
    <xf numFmtId="0" fontId="56" fillId="13" borderId="7" xfId="0" applyFont="1" applyFill="1" applyBorder="1" applyAlignment="1">
      <alignment horizontal="left" wrapText="1"/>
    </xf>
    <xf numFmtId="0" fontId="61" fillId="0" borderId="46" xfId="0" applyFont="1" applyBorder="1" applyAlignment="1" applyProtection="1">
      <alignment horizontal="left" vertical="center" wrapText="1" indent="1"/>
    </xf>
    <xf numFmtId="0" fontId="56" fillId="0" borderId="7" xfId="0" applyFont="1" applyBorder="1" applyAlignment="1">
      <alignment horizontal="left" wrapText="1" indent="1"/>
    </xf>
    <xf numFmtId="0" fontId="61" fillId="0" borderId="7" xfId="0" applyFont="1" applyBorder="1" applyAlignment="1">
      <alignment horizontal="left" wrapText="1" indent="1"/>
    </xf>
    <xf numFmtId="0" fontId="93" fillId="0" borderId="5" xfId="0" applyFont="1" applyBorder="1" applyAlignment="1" applyProtection="1">
      <alignment horizontal="left" wrapText="1" indent="2"/>
    </xf>
    <xf numFmtId="0" fontId="61" fillId="0" borderId="0" xfId="0" applyFont="1" applyAlignment="1">
      <alignment horizontal="left" wrapText="1"/>
    </xf>
    <xf numFmtId="0" fontId="61" fillId="0" borderId="5" xfId="0" applyFont="1" applyBorder="1" applyAlignment="1">
      <alignment horizontal="left" wrapText="1"/>
    </xf>
    <xf numFmtId="0" fontId="61" fillId="0" borderId="9" xfId="0" applyFont="1" applyBorder="1" applyAlignment="1" applyProtection="1">
      <alignment horizontal="left" vertical="center" wrapText="1" indent="1"/>
    </xf>
    <xf numFmtId="0" fontId="56" fillId="0" borderId="59" xfId="0" applyFont="1" applyBorder="1" applyAlignment="1">
      <alignment horizontal="left" wrapText="1" indent="1"/>
    </xf>
    <xf numFmtId="0" fontId="61" fillId="0" borderId="148" xfId="0" applyFont="1" applyBorder="1" applyAlignment="1" applyProtection="1">
      <alignment horizontal="left" vertical="center" wrapText="1" indent="1"/>
    </xf>
    <xf numFmtId="0" fontId="61" fillId="0" borderId="149" xfId="0" applyFont="1" applyBorder="1" applyAlignment="1" applyProtection="1">
      <alignment horizontal="left" vertical="center" wrapText="1" indent="1"/>
    </xf>
    <xf numFmtId="0" fontId="96" fillId="0" borderId="9" xfId="0" applyFont="1" applyBorder="1" applyAlignment="1">
      <alignment horizontal="left" vertical="center" wrapText="1" indent="1"/>
    </xf>
    <xf numFmtId="0" fontId="56" fillId="0" borderId="9" xfId="0" applyFont="1" applyBorder="1" applyAlignment="1">
      <alignment horizontal="left" vertical="center" wrapText="1" indent="1"/>
    </xf>
    <xf numFmtId="0" fontId="64" fillId="24" borderId="147" xfId="0" applyFont="1" applyFill="1" applyBorder="1" applyAlignment="1" applyProtection="1">
      <alignment horizontal="left" vertical="center" indent="1"/>
    </xf>
    <xf numFmtId="0" fontId="64" fillId="24" borderId="148" xfId="0" applyFont="1" applyFill="1" applyBorder="1" applyAlignment="1" applyProtection="1">
      <alignment horizontal="left" vertical="center" indent="1"/>
    </xf>
    <xf numFmtId="0" fontId="64" fillId="24" borderId="149" xfId="0" applyFont="1" applyFill="1" applyBorder="1" applyAlignment="1" applyProtection="1">
      <alignment horizontal="left" vertical="center" indent="1"/>
    </xf>
    <xf numFmtId="0" fontId="67" fillId="6" borderId="89" xfId="10" applyFont="1" applyFill="1" applyBorder="1" applyAlignment="1">
      <alignment horizontal="center" vertical="center"/>
    </xf>
    <xf numFmtId="0" fontId="97" fillId="0" borderId="90" xfId="0" applyFont="1" applyBorder="1" applyAlignment="1">
      <alignment horizontal="center" vertical="center"/>
    </xf>
    <xf numFmtId="0" fontId="97" fillId="0" borderId="91" xfId="0" applyFont="1" applyBorder="1" applyAlignment="1">
      <alignment horizontal="center" vertical="center"/>
    </xf>
    <xf numFmtId="0" fontId="64" fillId="24" borderId="92" xfId="10" applyFont="1" applyFill="1" applyBorder="1" applyAlignment="1">
      <alignment horizontal="center" vertical="center" wrapText="1"/>
    </xf>
    <xf numFmtId="0" fontId="64" fillId="24" borderId="25" xfId="0" applyFont="1" applyFill="1" applyBorder="1" applyAlignment="1">
      <alignment horizontal="center" vertical="center" wrapText="1"/>
    </xf>
    <xf numFmtId="0" fontId="64" fillId="24" borderId="93" xfId="0" applyFont="1" applyFill="1" applyBorder="1" applyAlignment="1">
      <alignment horizontal="center" vertical="center" wrapText="1"/>
    </xf>
    <xf numFmtId="0" fontId="129" fillId="24" borderId="94" xfId="10" applyFont="1" applyFill="1" applyBorder="1" applyAlignment="1">
      <alignment horizontal="center" vertical="center"/>
    </xf>
    <xf numFmtId="0" fontId="54" fillId="24" borderId="47" xfId="0" applyFont="1" applyFill="1" applyBorder="1" applyAlignment="1">
      <alignment horizontal="center" vertical="center"/>
    </xf>
    <xf numFmtId="0" fontId="54" fillId="24" borderId="95" xfId="0" applyFont="1" applyFill="1" applyBorder="1" applyAlignment="1">
      <alignment horizontal="center" vertical="center"/>
    </xf>
    <xf numFmtId="0" fontId="79" fillId="0" borderId="74" xfId="10" applyFont="1" applyBorder="1" applyAlignment="1">
      <alignment horizontal="center"/>
    </xf>
    <xf numFmtId="0" fontId="56" fillId="0" borderId="74" xfId="0" applyFont="1" applyBorder="1" applyAlignment="1">
      <alignment horizontal="center"/>
    </xf>
    <xf numFmtId="0" fontId="126" fillId="0" borderId="96" xfId="17" applyFont="1" applyBorder="1" applyAlignment="1">
      <alignment horizontal="left" vertical="top" wrapText="1"/>
    </xf>
    <xf numFmtId="0" fontId="126" fillId="0" borderId="0" xfId="17" applyFont="1" applyBorder="1" applyAlignment="1">
      <alignment horizontal="left" vertical="top" wrapText="1"/>
    </xf>
    <xf numFmtId="0" fontId="126" fillId="0" borderId="97" xfId="17" applyFont="1" applyBorder="1" applyAlignment="1">
      <alignment horizontal="left" vertical="top" wrapText="1"/>
    </xf>
    <xf numFmtId="0" fontId="125" fillId="24" borderId="141" xfId="17" applyFont="1" applyFill="1" applyBorder="1" applyAlignment="1">
      <alignment horizontal="center" vertical="center"/>
    </xf>
    <xf numFmtId="0" fontId="125" fillId="24" borderId="142" xfId="17" applyFont="1" applyFill="1" applyBorder="1" applyAlignment="1">
      <alignment horizontal="center" vertical="center"/>
    </xf>
    <xf numFmtId="0" fontId="125" fillId="24" borderId="143" xfId="17" applyFont="1" applyFill="1" applyBorder="1" applyAlignment="1">
      <alignment horizontal="center" vertical="center"/>
    </xf>
    <xf numFmtId="0" fontId="125" fillId="24" borderId="98" xfId="17" applyFont="1" applyFill="1" applyBorder="1" applyAlignment="1">
      <alignment horizontal="center" vertical="center"/>
    </xf>
    <xf numFmtId="0" fontId="125" fillId="24" borderId="78" xfId="17" applyFont="1" applyFill="1" applyBorder="1" applyAlignment="1">
      <alignment horizontal="center" vertical="center"/>
    </xf>
    <xf numFmtId="0" fontId="125" fillId="24" borderId="99" xfId="17" applyFont="1" applyFill="1" applyBorder="1" applyAlignment="1">
      <alignment horizontal="center" vertical="center"/>
    </xf>
    <xf numFmtId="0" fontId="126" fillId="0" borderId="96" xfId="17" applyFont="1" applyBorder="1" applyAlignment="1">
      <alignment vertical="top" wrapText="1"/>
    </xf>
    <xf numFmtId="0" fontId="126" fillId="0" borderId="0" xfId="17" applyFont="1" applyBorder="1" applyAlignment="1">
      <alignment vertical="top" wrapText="1"/>
    </xf>
    <xf numFmtId="0" fontId="126" fillId="0" borderId="97" xfId="17" applyFont="1" applyBorder="1" applyAlignment="1">
      <alignment vertical="top" wrapText="1"/>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0" fontId="63" fillId="0" borderId="12" xfId="0" applyFont="1" applyFill="1" applyBorder="1" applyAlignment="1" applyProtection="1">
      <alignment horizontal="left" vertical="center" wrapText="1"/>
    </xf>
    <xf numFmtId="0" fontId="56" fillId="0" borderId="16" xfId="0" applyFont="1" applyBorder="1" applyAlignment="1">
      <alignment horizontal="left" vertical="center" wrapText="1"/>
    </xf>
    <xf numFmtId="0" fontId="56" fillId="0" borderId="10" xfId="0" applyFont="1" applyBorder="1" applyAlignment="1">
      <alignment horizontal="left" vertical="center" wrapText="1"/>
    </xf>
    <xf numFmtId="0" fontId="63" fillId="0" borderId="20" xfId="0" applyFont="1" applyBorder="1" applyAlignment="1">
      <alignment horizontal="center" vertical="center"/>
    </xf>
    <xf numFmtId="0" fontId="61" fillId="0" borderId="11" xfId="0" applyFont="1" applyBorder="1" applyAlignment="1">
      <alignment horizontal="center" vertical="center"/>
    </xf>
    <xf numFmtId="0" fontId="61" fillId="20" borderId="13" xfId="0" applyFont="1" applyFill="1" applyBorder="1" applyAlignment="1" applyProtection="1">
      <alignment horizontal="left" vertical="center" wrapText="1" indent="1"/>
    </xf>
    <xf numFmtId="0" fontId="56" fillId="20" borderId="21" xfId="0" applyFont="1" applyFill="1" applyBorder="1" applyAlignment="1">
      <alignment horizontal="left" vertical="center" wrapText="1" indent="1"/>
    </xf>
    <xf numFmtId="0" fontId="56" fillId="20" borderId="14" xfId="0" applyFont="1" applyFill="1" applyBorder="1" applyAlignment="1">
      <alignment horizontal="left" vertical="center" wrapText="1" indent="1"/>
    </xf>
    <xf numFmtId="0" fontId="2" fillId="0" borderId="96" xfId="18" applyFont="1" applyBorder="1" applyAlignment="1" applyProtection="1">
      <alignment vertical="top" wrapText="1"/>
      <protection locked="0"/>
    </xf>
    <xf numFmtId="0" fontId="3" fillId="0" borderId="0" xfId="18" applyFont="1" applyBorder="1" applyAlignment="1" applyProtection="1">
      <alignment vertical="top" wrapText="1"/>
      <protection locked="0"/>
    </xf>
    <xf numFmtId="0" fontId="3" fillId="0" borderId="97" xfId="18" applyFont="1" applyBorder="1" applyAlignment="1" applyProtection="1">
      <alignment vertical="top" wrapText="1"/>
      <protection locked="0"/>
    </xf>
    <xf numFmtId="0" fontId="100" fillId="24" borderId="0" xfId="18" applyFont="1" applyFill="1" applyAlignment="1">
      <alignment horizontal="center" vertical="center"/>
    </xf>
    <xf numFmtId="0" fontId="72" fillId="0" borderId="138" xfId="18" applyFont="1" applyFill="1" applyBorder="1" applyAlignment="1">
      <alignment horizontal="left" vertical="top" wrapText="1"/>
    </xf>
    <xf numFmtId="0" fontId="72" fillId="0" borderId="0" xfId="18" applyFont="1" applyFill="1" applyBorder="1" applyAlignment="1">
      <alignment horizontal="left" vertical="top" wrapText="1"/>
    </xf>
    <xf numFmtId="0" fontId="106" fillId="0" borderId="0" xfId="18" applyFont="1" applyAlignment="1">
      <alignment wrapText="1"/>
    </xf>
    <xf numFmtId="0" fontId="50" fillId="0" borderId="0" xfId="18" applyFont="1" applyAlignment="1">
      <alignment horizontal="center" vertical="center" wrapText="1"/>
    </xf>
    <xf numFmtId="174" fontId="50" fillId="0" borderId="78" xfId="18" applyNumberFormat="1" applyFont="1" applyBorder="1" applyAlignment="1">
      <alignment horizontal="center" vertical="center" wrapText="1"/>
    </xf>
    <xf numFmtId="0" fontId="3" fillId="0" borderId="142" xfId="18" applyFont="1" applyBorder="1" applyAlignment="1" applyProtection="1">
      <alignment horizontal="center" vertical="top" wrapText="1"/>
      <protection locked="0"/>
    </xf>
    <xf numFmtId="0" fontId="3" fillId="0" borderId="143" xfId="18" applyFont="1" applyBorder="1" applyAlignment="1" applyProtection="1">
      <alignment horizontal="center" vertical="top" wrapText="1"/>
      <protection locked="0"/>
    </xf>
    <xf numFmtId="0" fontId="48" fillId="0" borderId="98" xfId="18" applyFont="1" applyBorder="1" applyAlignment="1" applyProtection="1">
      <alignment vertical="top" wrapText="1"/>
      <protection locked="0"/>
    </xf>
    <xf numFmtId="0" fontId="48" fillId="0" borderId="78" xfId="18" applyFont="1" applyBorder="1" applyAlignment="1" applyProtection="1">
      <alignment vertical="top" wrapText="1"/>
      <protection locked="0"/>
    </xf>
    <xf numFmtId="0" fontId="48" fillId="0" borderId="99" xfId="18" applyFont="1" applyBorder="1" applyAlignment="1" applyProtection="1">
      <alignment vertical="top" wrapText="1"/>
      <protection locked="0"/>
    </xf>
    <xf numFmtId="0" fontId="3" fillId="0" borderId="96" xfId="18" applyFont="1" applyBorder="1" applyAlignment="1" applyProtection="1">
      <alignment vertical="top" wrapText="1"/>
      <protection locked="0"/>
    </xf>
    <xf numFmtId="0" fontId="3" fillId="0" borderId="98" xfId="18" applyFont="1" applyBorder="1" applyAlignment="1" applyProtection="1">
      <alignment vertical="top" wrapText="1"/>
      <protection locked="0"/>
    </xf>
    <xf numFmtId="0" fontId="3" fillId="0" borderId="78" xfId="18" applyFont="1" applyBorder="1" applyAlignment="1" applyProtection="1">
      <alignment vertical="top" wrapText="1"/>
      <protection locked="0"/>
    </xf>
    <xf numFmtId="0" fontId="3" fillId="0" borderId="99" xfId="18" applyFont="1" applyBorder="1" applyAlignment="1" applyProtection="1">
      <alignment vertical="top" wrapText="1"/>
      <protection locked="0"/>
    </xf>
    <xf numFmtId="0" fontId="48" fillId="0" borderId="142" xfId="18" applyFont="1" applyBorder="1" applyAlignment="1" applyProtection="1">
      <alignment horizontal="center" vertical="top" wrapText="1"/>
      <protection locked="0"/>
    </xf>
    <xf numFmtId="0" fontId="48" fillId="0" borderId="143" xfId="18" applyFont="1" applyBorder="1" applyAlignment="1" applyProtection="1">
      <alignment horizontal="center" vertical="top" wrapText="1"/>
      <protection locked="0"/>
    </xf>
    <xf numFmtId="0" fontId="48" fillId="0" borderId="96" xfId="18" applyFont="1" applyBorder="1" applyAlignment="1" applyProtection="1">
      <alignment vertical="top" wrapText="1"/>
      <protection locked="0"/>
    </xf>
    <xf numFmtId="0" fontId="48" fillId="0" borderId="0" xfId="18" applyFont="1" applyBorder="1" applyAlignment="1" applyProtection="1">
      <alignment vertical="top" wrapText="1"/>
      <protection locked="0"/>
    </xf>
    <xf numFmtId="0" fontId="48" fillId="0" borderId="97" xfId="18" applyFont="1" applyBorder="1" applyAlignment="1" applyProtection="1">
      <alignment vertical="top" wrapText="1"/>
      <protection locked="0"/>
    </xf>
    <xf numFmtId="0" fontId="61" fillId="0" borderId="5" xfId="3" quotePrefix="1" applyNumberFormat="1" applyFont="1" applyBorder="1" applyAlignment="1">
      <alignment horizontal="left" vertical="top" wrapText="1" indent="2"/>
    </xf>
    <xf numFmtId="0" fontId="61" fillId="0" borderId="0" xfId="3" quotePrefix="1" applyNumberFormat="1" applyFont="1" applyBorder="1" applyAlignment="1">
      <alignment horizontal="left" vertical="top" wrapText="1" indent="2"/>
    </xf>
    <xf numFmtId="0" fontId="61" fillId="0" borderId="0" xfId="3" applyNumberFormat="1" applyFont="1" applyBorder="1" applyAlignment="1">
      <alignment horizontal="left" vertical="top" wrapText="1" indent="2"/>
    </xf>
    <xf numFmtId="0" fontId="56" fillId="0" borderId="0" xfId="3" applyFont="1" applyAlignment="1">
      <alignment horizontal="left" vertical="top" wrapText="1" indent="2"/>
    </xf>
    <xf numFmtId="0" fontId="61" fillId="0" borderId="0" xfId="3" applyNumberFormat="1" applyFont="1" applyAlignment="1">
      <alignment horizontal="left" vertical="top" wrapText="1" indent="2"/>
    </xf>
    <xf numFmtId="0" fontId="54" fillId="0" borderId="20" xfId="3" applyNumberFormat="1" applyFont="1" applyBorder="1" applyAlignment="1">
      <alignment horizontal="left" vertical="center" indent="1"/>
    </xf>
    <xf numFmtId="0" fontId="54" fillId="0" borderId="20" xfId="3" applyNumberFormat="1" applyFont="1" applyBorder="1" applyAlignment="1">
      <alignment horizontal="left" vertical="center"/>
    </xf>
    <xf numFmtId="0" fontId="54" fillId="24" borderId="17" xfId="3" applyNumberFormat="1" applyFont="1" applyFill="1" applyBorder="1" applyAlignment="1">
      <alignment horizontal="left" vertical="top" wrapText="1"/>
    </xf>
    <xf numFmtId="0" fontId="54" fillId="24" borderId="0" xfId="3" applyFont="1" applyFill="1" applyBorder="1" applyAlignment="1">
      <alignment vertical="top"/>
    </xf>
    <xf numFmtId="0" fontId="54" fillId="24" borderId="18" xfId="3" applyFont="1" applyFill="1" applyBorder="1" applyAlignment="1">
      <alignment vertical="top"/>
    </xf>
    <xf numFmtId="166" fontId="54" fillId="0" borderId="21" xfId="3" applyNumberFormat="1" applyFont="1" applyBorder="1" applyAlignment="1">
      <alignment horizontal="left" vertical="center" indent="1"/>
    </xf>
    <xf numFmtId="0" fontId="63" fillId="0" borderId="19" xfId="3" applyNumberFormat="1" applyFont="1" applyBorder="1" applyAlignment="1">
      <alignment horizontal="center" vertical="center"/>
    </xf>
    <xf numFmtId="0" fontId="56" fillId="0" borderId="20" xfId="3" applyFont="1" applyBorder="1" applyAlignment="1">
      <alignment horizontal="center" vertical="center"/>
    </xf>
    <xf numFmtId="0" fontId="56" fillId="0" borderId="11" xfId="3" applyFont="1" applyBorder="1" applyAlignment="1">
      <alignment horizontal="center" vertical="center"/>
    </xf>
    <xf numFmtId="0" fontId="61" fillId="0" borderId="21" xfId="3" applyNumberFormat="1" applyFont="1" applyBorder="1" applyAlignment="1">
      <alignment horizontal="left" vertical="center" wrapText="1"/>
    </xf>
    <xf numFmtId="0" fontId="56" fillId="0" borderId="21" xfId="3" applyFont="1" applyBorder="1" applyAlignment="1">
      <alignment horizontal="left" vertical="center" wrapText="1"/>
    </xf>
    <xf numFmtId="0" fontId="56" fillId="0" borderId="14" xfId="3" applyFont="1" applyBorder="1" applyAlignment="1">
      <alignment horizontal="left" vertical="center" wrapText="1"/>
    </xf>
    <xf numFmtId="0" fontId="63" fillId="0" borderId="21" xfId="3" applyNumberFormat="1" applyFont="1" applyBorder="1" applyAlignment="1">
      <alignment vertical="center"/>
    </xf>
    <xf numFmtId="0" fontId="63" fillId="0" borderId="14" xfId="3" applyNumberFormat="1" applyFont="1" applyBorder="1" applyAlignment="1">
      <alignment vertical="center"/>
    </xf>
    <xf numFmtId="0" fontId="72" fillId="0" borderId="134" xfId="3" applyFont="1" applyBorder="1" applyAlignment="1">
      <alignment horizontal="center" vertical="center" wrapText="1"/>
    </xf>
    <xf numFmtId="0" fontId="72" fillId="0" borderId="134" xfId="3" applyNumberFormat="1" applyFont="1" applyBorder="1" applyAlignment="1">
      <alignment horizontal="center"/>
    </xf>
    <xf numFmtId="0" fontId="56" fillId="0" borderId="135" xfId="3" applyNumberFormat="1" applyFont="1" applyBorder="1" applyAlignment="1" applyProtection="1">
      <alignment horizontal="center"/>
      <protection locked="0"/>
    </xf>
    <xf numFmtId="171" fontId="56" fillId="0" borderId="135" xfId="3" applyNumberFormat="1" applyFont="1" applyBorder="1" applyAlignment="1" applyProtection="1">
      <alignment horizontal="center"/>
      <protection locked="0"/>
    </xf>
    <xf numFmtId="0" fontId="56" fillId="0" borderId="135" xfId="3" applyNumberFormat="1" applyFont="1" applyBorder="1" applyAlignment="1" applyProtection="1">
      <alignment horizontal="center" vertical="center"/>
      <protection locked="0"/>
    </xf>
    <xf numFmtId="0" fontId="82" fillId="0" borderId="0" xfId="0" applyFont="1" applyAlignment="1">
      <alignment vertical="top" wrapText="1"/>
    </xf>
    <xf numFmtId="0" fontId="64" fillId="13" borderId="13" xfId="3" applyFont="1" applyFill="1" applyBorder="1" applyAlignment="1">
      <alignment horizontal="center" vertical="center" wrapText="1"/>
    </xf>
    <xf numFmtId="0" fontId="64" fillId="13" borderId="21" xfId="3" applyFont="1" applyFill="1" applyBorder="1" applyAlignment="1">
      <alignment horizontal="center" vertical="center" wrapText="1"/>
    </xf>
    <xf numFmtId="0" fontId="64" fillId="13" borderId="14" xfId="3" applyFont="1" applyFill="1" applyBorder="1" applyAlignment="1">
      <alignment horizontal="center" vertical="center" wrapText="1"/>
    </xf>
    <xf numFmtId="0" fontId="56" fillId="0" borderId="0" xfId="3" applyFont="1" applyBorder="1" applyAlignment="1">
      <alignment wrapText="1"/>
    </xf>
    <xf numFmtId="0" fontId="108" fillId="0" borderId="113" xfId="3" applyFont="1" applyBorder="1" applyAlignment="1">
      <alignment horizontal="center" vertical="center" wrapText="1"/>
    </xf>
    <xf numFmtId="0" fontId="108" fillId="0" borderId="0" xfId="3" applyFont="1" applyBorder="1" applyAlignment="1">
      <alignment horizontal="center" vertical="center" wrapText="1"/>
    </xf>
    <xf numFmtId="0" fontId="108" fillId="0" borderId="114" xfId="3" applyFont="1" applyBorder="1" applyAlignment="1">
      <alignment horizontal="center" vertical="center" wrapText="1"/>
    </xf>
    <xf numFmtId="0" fontId="108" fillId="0" borderId="115" xfId="3" applyFont="1" applyBorder="1" applyAlignment="1">
      <alignment horizontal="center" vertical="center" wrapText="1"/>
    </xf>
    <xf numFmtId="0" fontId="108" fillId="0" borderId="116" xfId="3" applyFont="1" applyBorder="1" applyAlignment="1">
      <alignment horizontal="center" vertical="center" wrapText="1"/>
    </xf>
    <xf numFmtId="0" fontId="108" fillId="0" borderId="117" xfId="3" applyFont="1" applyBorder="1" applyAlignment="1">
      <alignment horizontal="center" vertical="center" wrapText="1"/>
    </xf>
    <xf numFmtId="0" fontId="109" fillId="0" borderId="13" xfId="3" applyNumberFormat="1" applyFont="1" applyBorder="1" applyAlignment="1">
      <alignment vertical="top" wrapText="1"/>
    </xf>
    <xf numFmtId="0" fontId="109" fillId="0" borderId="21" xfId="3" applyNumberFormat="1" applyFont="1" applyBorder="1" applyAlignment="1">
      <alignment vertical="top" wrapText="1"/>
    </xf>
    <xf numFmtId="0" fontId="109" fillId="0" borderId="14" xfId="3" applyNumberFormat="1" applyFont="1" applyBorder="1" applyAlignment="1">
      <alignment vertical="top" wrapText="1"/>
    </xf>
    <xf numFmtId="0" fontId="54" fillId="0" borderId="12" xfId="3" applyFont="1" applyBorder="1" applyAlignment="1">
      <alignment vertical="top" wrapText="1"/>
    </xf>
    <xf numFmtId="0" fontId="54" fillId="0" borderId="16" xfId="3" applyFont="1" applyBorder="1" applyAlignment="1">
      <alignment vertical="top" wrapText="1"/>
    </xf>
    <xf numFmtId="0" fontId="54" fillId="0" borderId="10" xfId="3" applyFont="1" applyBorder="1" applyAlignment="1">
      <alignment vertical="top" wrapText="1"/>
    </xf>
    <xf numFmtId="0" fontId="64" fillId="0" borderId="46" xfId="3" applyFont="1" applyBorder="1" applyAlignment="1">
      <alignment horizontal="center" vertical="center" wrapText="1"/>
    </xf>
    <xf numFmtId="0" fontId="64" fillId="0" borderId="6" xfId="3" applyFont="1" applyBorder="1" applyAlignment="1">
      <alignment horizontal="center" vertical="center" wrapText="1"/>
    </xf>
    <xf numFmtId="0" fontId="64" fillId="0" borderId="7" xfId="3" applyFont="1" applyBorder="1" applyAlignment="1">
      <alignment horizontal="center" vertical="center" wrapText="1"/>
    </xf>
    <xf numFmtId="0" fontId="82" fillId="0" borderId="5" xfId="3" applyFont="1" applyBorder="1" applyAlignment="1">
      <alignment vertical="top"/>
    </xf>
    <xf numFmtId="0" fontId="82" fillId="0" borderId="0" xfId="3" applyFont="1" applyBorder="1" applyAlignment="1">
      <alignment vertical="top"/>
    </xf>
    <xf numFmtId="0" fontId="82" fillId="0" borderId="40" xfId="3" applyFont="1" applyBorder="1" applyAlignment="1">
      <alignment vertical="top"/>
    </xf>
    <xf numFmtId="0" fontId="82" fillId="0" borderId="50" xfId="3" applyFont="1" applyBorder="1" applyAlignment="1">
      <alignment vertical="top"/>
    </xf>
    <xf numFmtId="0" fontId="82" fillId="0" borderId="9" xfId="3" applyFont="1" applyBorder="1" applyAlignment="1">
      <alignment vertical="top"/>
    </xf>
    <xf numFmtId="0" fontId="82" fillId="0" borderId="59" xfId="3" applyFont="1" applyBorder="1" applyAlignment="1">
      <alignment vertical="top"/>
    </xf>
    <xf numFmtId="0" fontId="111" fillId="13" borderId="126" xfId="0" applyFont="1" applyFill="1" applyBorder="1" applyAlignment="1">
      <alignment horizontal="center" vertical="center"/>
    </xf>
    <xf numFmtId="0" fontId="111" fillId="13" borderId="129" xfId="0" applyFont="1" applyFill="1" applyBorder="1" applyAlignment="1">
      <alignment horizontal="center" vertical="center"/>
    </xf>
    <xf numFmtId="0" fontId="111" fillId="13" borderId="154" xfId="0" applyFont="1" applyFill="1" applyBorder="1" applyAlignment="1">
      <alignment horizontal="center" vertical="center"/>
    </xf>
    <xf numFmtId="164" fontId="111" fillId="13" borderId="17" xfId="0" applyNumberFormat="1" applyFont="1" applyFill="1" applyBorder="1" applyAlignment="1">
      <alignment horizontal="center" vertical="center"/>
    </xf>
    <xf numFmtId="164" fontId="111" fillId="13" borderId="0" xfId="0" applyNumberFormat="1" applyFont="1" applyFill="1" applyBorder="1" applyAlignment="1">
      <alignment horizontal="center" vertical="center"/>
    </xf>
    <xf numFmtId="164" fontId="111" fillId="13" borderId="63" xfId="0" applyNumberFormat="1" applyFont="1" applyFill="1" applyBorder="1" applyAlignment="1">
      <alignment horizontal="center" vertical="center"/>
    </xf>
    <xf numFmtId="164" fontId="60" fillId="13" borderId="126" xfId="0" applyNumberFormat="1" applyFont="1" applyFill="1" applyBorder="1" applyAlignment="1">
      <alignment horizontal="center" vertical="top"/>
    </xf>
    <xf numFmtId="164" fontId="112" fillId="13" borderId="129" xfId="0" applyNumberFormat="1" applyFont="1" applyFill="1" applyBorder="1" applyAlignment="1">
      <alignment horizontal="center" vertical="top"/>
    </xf>
    <xf numFmtId="164" fontId="112" fillId="13" borderId="154" xfId="0" applyNumberFormat="1" applyFont="1" applyFill="1" applyBorder="1" applyAlignment="1">
      <alignment horizontal="center" vertical="top"/>
    </xf>
    <xf numFmtId="0" fontId="112" fillId="0" borderId="21" xfId="0" applyFont="1" applyBorder="1" applyAlignment="1">
      <alignment horizontal="left" vertical="top" wrapText="1"/>
    </xf>
    <xf numFmtId="0" fontId="54" fillId="0" borderId="14" xfId="0" applyFont="1" applyBorder="1" applyAlignment="1">
      <alignment horizontal="left" vertical="top" wrapText="1"/>
    </xf>
    <xf numFmtId="0" fontId="54" fillId="0" borderId="21" xfId="0" applyFont="1" applyBorder="1" applyAlignment="1">
      <alignment vertical="top" wrapText="1"/>
    </xf>
    <xf numFmtId="0" fontId="56" fillId="0" borderId="14" xfId="0" applyFont="1" applyBorder="1" applyAlignment="1">
      <alignment wrapText="1"/>
    </xf>
    <xf numFmtId="0" fontId="112" fillId="0" borderId="129" xfId="0" applyNumberFormat="1" applyFont="1" applyBorder="1" applyAlignment="1">
      <alignment horizontal="left" vertical="center" wrapText="1"/>
    </xf>
    <xf numFmtId="0" fontId="56" fillId="0" borderId="127" xfId="0" applyFont="1" applyBorder="1" applyAlignment="1">
      <alignment horizontal="left" vertical="center" wrapText="1"/>
    </xf>
    <xf numFmtId="0" fontId="112" fillId="0" borderId="0" xfId="0" applyNumberFormat="1" applyFont="1" applyBorder="1" applyAlignment="1">
      <alignment horizontal="left" vertical="center" wrapText="1"/>
    </xf>
    <xf numFmtId="0" fontId="54" fillId="0" borderId="18" xfId="0" applyFont="1" applyBorder="1" applyAlignment="1">
      <alignment vertical="center" wrapText="1"/>
    </xf>
    <xf numFmtId="0" fontId="112" fillId="0" borderId="21" xfId="0" applyNumberFormat="1" applyFont="1" applyBorder="1" applyAlignment="1">
      <alignment horizontal="left" vertical="center" wrapText="1"/>
    </xf>
    <xf numFmtId="0" fontId="54" fillId="0" borderId="14" xfId="0" applyFont="1" applyBorder="1" applyAlignment="1"/>
    <xf numFmtId="0" fontId="64" fillId="0" borderId="0" xfId="3" applyNumberFormat="1" applyFont="1" applyAlignment="1" applyProtection="1">
      <alignment horizontal="center" vertical="center"/>
    </xf>
    <xf numFmtId="0" fontId="54" fillId="0" borderId="147" xfId="3" applyNumberFormat="1" applyFont="1" applyBorder="1" applyProtection="1"/>
    <xf numFmtId="0" fontId="54" fillId="0" borderId="148" xfId="3" applyNumberFormat="1" applyFont="1" applyBorder="1" applyProtection="1"/>
    <xf numFmtId="0" fontId="64" fillId="0" borderId="5"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vertical="center" indent="1"/>
    </xf>
    <xf numFmtId="0" fontId="64" fillId="0" borderId="40" xfId="3" applyNumberFormat="1" applyFont="1" applyBorder="1" applyAlignment="1" applyProtection="1">
      <alignment horizontal="left" vertical="center" indent="1"/>
    </xf>
    <xf numFmtId="0" fontId="64" fillId="0" borderId="5" xfId="3" applyNumberFormat="1" applyFont="1" applyBorder="1" applyAlignment="1" applyProtection="1">
      <alignment horizontal="left" indent="1"/>
    </xf>
    <xf numFmtId="0" fontId="64" fillId="0" borderId="0" xfId="3" applyNumberFormat="1" applyFont="1" applyBorder="1" applyAlignment="1" applyProtection="1">
      <alignment horizontal="left" indent="1"/>
    </xf>
    <xf numFmtId="0" fontId="64" fillId="0" borderId="40" xfId="3" applyNumberFormat="1" applyFont="1" applyBorder="1" applyAlignment="1" applyProtection="1">
      <alignment horizontal="left" indent="1"/>
    </xf>
    <xf numFmtId="0" fontId="56" fillId="0" borderId="50" xfId="3" applyNumberFormat="1" applyFont="1" applyBorder="1" applyProtection="1"/>
    <xf numFmtId="0" fontId="56" fillId="0" borderId="9" xfId="3" applyNumberFormat="1" applyFont="1" applyBorder="1" applyProtection="1"/>
    <xf numFmtId="0" fontId="56" fillId="0" borderId="59" xfId="3" applyNumberFormat="1" applyFont="1" applyBorder="1" applyProtection="1"/>
    <xf numFmtId="0" fontId="64" fillId="0" borderId="50" xfId="3" applyNumberFormat="1" applyFont="1" applyBorder="1" applyAlignment="1" applyProtection="1"/>
    <xf numFmtId="0" fontId="64" fillId="0" borderId="9" xfId="3" applyFont="1" applyBorder="1" applyAlignment="1" applyProtection="1"/>
    <xf numFmtId="0" fontId="64" fillId="0" borderId="59" xfId="3" applyFont="1" applyBorder="1" applyAlignment="1" applyProtection="1"/>
    <xf numFmtId="0" fontId="82" fillId="0" borderId="5" xfId="3" applyNumberFormat="1" applyFont="1" applyBorder="1" applyAlignment="1" applyProtection="1"/>
    <xf numFmtId="0" fontId="82" fillId="0" borderId="0" xfId="3" applyFont="1" applyBorder="1" applyAlignment="1" applyProtection="1"/>
    <xf numFmtId="0" fontId="82" fillId="0" borderId="40" xfId="3" applyFont="1" applyBorder="1" applyAlignment="1" applyProtection="1"/>
    <xf numFmtId="0" fontId="64" fillId="0" borderId="148" xfId="3" applyNumberFormat="1" applyFont="1" applyBorder="1" applyAlignment="1" applyProtection="1">
      <alignment horizontal="left" indent="1"/>
      <protection locked="0"/>
    </xf>
    <xf numFmtId="0" fontId="64" fillId="0" borderId="148" xfId="3" applyFont="1" applyBorder="1" applyAlignment="1" applyProtection="1">
      <alignment horizontal="left" indent="1"/>
      <protection locked="0"/>
    </xf>
    <xf numFmtId="0" fontId="64" fillId="0" borderId="149" xfId="3" applyFont="1" applyBorder="1" applyAlignment="1" applyProtection="1">
      <alignment horizontal="left" indent="1"/>
      <protection locked="0"/>
    </xf>
    <xf numFmtId="0" fontId="56" fillId="0" borderId="0" xfId="3" applyFont="1" applyAlignment="1">
      <alignment horizontal="center" vertical="center"/>
    </xf>
    <xf numFmtId="0" fontId="64" fillId="0" borderId="50" xfId="3" applyNumberFormat="1" applyFont="1" applyBorder="1" applyAlignment="1" applyProtection="1">
      <alignment horizontal="left" indent="1"/>
    </xf>
    <xf numFmtId="0" fontId="64" fillId="0" borderId="9" xfId="3" applyFont="1" applyBorder="1" applyAlignment="1" applyProtection="1">
      <alignment horizontal="left" indent="1"/>
    </xf>
    <xf numFmtId="0" fontId="64" fillId="0" borderId="59" xfId="3" applyFont="1" applyBorder="1" applyAlignment="1" applyProtection="1">
      <alignment horizontal="left" indent="1"/>
    </xf>
    <xf numFmtId="165" fontId="64" fillId="0" borderId="50" xfId="3" applyNumberFormat="1" applyFont="1" applyBorder="1" applyAlignment="1" applyProtection="1">
      <alignment horizontal="left" indent="1"/>
    </xf>
    <xf numFmtId="165" fontId="64" fillId="0" borderId="59" xfId="3" applyNumberFormat="1" applyFont="1" applyBorder="1" applyAlignment="1" applyProtection="1">
      <alignment horizontal="left" indent="1"/>
    </xf>
    <xf numFmtId="0" fontId="64" fillId="0" borderId="59" xfId="3" applyNumberFormat="1" applyFont="1" applyBorder="1" applyAlignment="1" applyProtection="1">
      <alignment horizontal="left" indent="1"/>
    </xf>
    <xf numFmtId="0" fontId="64" fillId="0" borderId="5" xfId="3" applyFont="1" applyBorder="1" applyAlignment="1" applyProtection="1"/>
    <xf numFmtId="0" fontId="64" fillId="0" borderId="0" xfId="3" applyFont="1" applyBorder="1" applyAlignment="1" applyProtection="1"/>
    <xf numFmtId="0" fontId="64" fillId="0" borderId="40" xfId="3" applyFont="1" applyBorder="1" applyAlignment="1" applyProtection="1"/>
    <xf numFmtId="0" fontId="64" fillId="0" borderId="0" xfId="3" applyNumberFormat="1" applyFont="1" applyAlignment="1" applyProtection="1">
      <alignment horizontal="center"/>
    </xf>
    <xf numFmtId="0" fontId="64" fillId="0" borderId="50" xfId="3" applyNumberFormat="1" applyFont="1" applyBorder="1" applyAlignment="1" applyProtection="1">
      <alignment horizontal="left" indent="1"/>
      <protection locked="0"/>
    </xf>
    <xf numFmtId="0" fontId="64" fillId="0" borderId="9" xfId="3" applyFont="1" applyBorder="1" applyAlignment="1">
      <alignment horizontal="left" indent="1"/>
    </xf>
    <xf numFmtId="0" fontId="64" fillId="0" borderId="59" xfId="3" applyFont="1" applyBorder="1" applyAlignment="1">
      <alignment horizontal="left" indent="1"/>
    </xf>
    <xf numFmtId="0" fontId="64" fillId="0" borderId="5" xfId="3" applyNumberFormat="1" applyFont="1" applyBorder="1" applyAlignment="1" applyProtection="1">
      <alignment horizontal="left" indent="1"/>
      <protection locked="0"/>
    </xf>
    <xf numFmtId="0" fontId="64" fillId="0" borderId="0" xfId="3" applyFont="1" applyBorder="1" applyAlignment="1">
      <alignment horizontal="left" indent="1"/>
    </xf>
    <xf numFmtId="0" fontId="64" fillId="0" borderId="40" xfId="3" applyFont="1" applyBorder="1" applyAlignment="1">
      <alignment horizontal="left" indent="1"/>
    </xf>
    <xf numFmtId="0" fontId="64" fillId="0" borderId="0" xfId="3" applyFont="1" applyBorder="1" applyAlignment="1" applyProtection="1">
      <alignment horizontal="left" indent="1"/>
    </xf>
    <xf numFmtId="0" fontId="64" fillId="0" borderId="40" xfId="3" applyFont="1" applyBorder="1" applyAlignment="1" applyProtection="1">
      <alignment horizontal="left" indent="1"/>
    </xf>
    <xf numFmtId="0" fontId="56" fillId="0" borderId="50" xfId="3" applyNumberFormat="1" applyFont="1" applyBorder="1" applyAlignment="1" applyProtection="1">
      <alignment horizontal="left" vertical="center" indent="1"/>
    </xf>
    <xf numFmtId="0" fontId="56" fillId="0" borderId="9" xfId="3" applyFont="1" applyBorder="1" applyAlignment="1" applyProtection="1">
      <alignment horizontal="left" vertical="center" indent="1"/>
    </xf>
    <xf numFmtId="0" fontId="56" fillId="0" borderId="59" xfId="3" applyFont="1" applyBorder="1" applyAlignment="1" applyProtection="1">
      <alignment horizontal="left" vertical="center" indent="1"/>
    </xf>
    <xf numFmtId="0" fontId="64" fillId="0" borderId="5" xfId="3" applyNumberFormat="1" applyFont="1" applyBorder="1" applyAlignment="1" applyProtection="1"/>
    <xf numFmtId="0" fontId="53" fillId="0" borderId="0" xfId="3" applyFont="1" applyAlignment="1">
      <alignment horizontal="center" vertical="center"/>
    </xf>
    <xf numFmtId="174" fontId="53" fillId="0" borderId="0" xfId="3" applyNumberFormat="1" applyFont="1" applyAlignment="1">
      <alignment horizontal="center" vertical="center"/>
    </xf>
    <xf numFmtId="174" fontId="56" fillId="0" borderId="0" xfId="3" applyNumberFormat="1" applyFont="1" applyAlignment="1">
      <alignment horizontal="center" vertical="center"/>
    </xf>
    <xf numFmtId="0" fontId="56" fillId="0" borderId="69" xfId="3" applyFont="1" applyBorder="1" applyAlignment="1" applyProtection="1">
      <protection locked="0"/>
    </xf>
    <xf numFmtId="0" fontId="64" fillId="0" borderId="0" xfId="3" applyFont="1" applyAlignment="1" applyProtection="1">
      <alignment horizontal="center" vertical="center"/>
    </xf>
    <xf numFmtId="174" fontId="64" fillId="0" borderId="0" xfId="3" applyNumberFormat="1" applyFont="1" applyAlignment="1" applyProtection="1">
      <alignment horizontal="center" vertical="center"/>
    </xf>
    <xf numFmtId="0" fontId="56" fillId="0" borderId="69" xfId="3" applyFont="1" applyBorder="1" applyAlignment="1" applyProtection="1">
      <alignment horizontal="left"/>
      <protection locked="0"/>
    </xf>
    <xf numFmtId="0" fontId="64" fillId="0" borderId="0" xfId="3" quotePrefix="1" applyFont="1" applyAlignment="1" applyProtection="1">
      <alignment horizontal="center" vertical="center"/>
    </xf>
    <xf numFmtId="0" fontId="64" fillId="0" borderId="0" xfId="3" applyNumberFormat="1" applyFont="1" applyAlignment="1">
      <alignment horizontal="center"/>
    </xf>
    <xf numFmtId="165" fontId="64" fillId="0" borderId="0" xfId="3" applyNumberFormat="1" applyFont="1" applyAlignment="1" applyProtection="1">
      <alignment horizontal="center" vertical="center"/>
    </xf>
    <xf numFmtId="165" fontId="53" fillId="0" borderId="0" xfId="3" applyNumberFormat="1" applyFont="1" applyAlignment="1" applyProtection="1">
      <alignment horizontal="center" vertical="center"/>
    </xf>
    <xf numFmtId="0" fontId="53" fillId="0" borderId="0" xfId="3" applyNumberFormat="1" applyFont="1" applyAlignment="1" applyProtection="1">
      <alignment horizontal="center" vertical="center"/>
    </xf>
    <xf numFmtId="0" fontId="61" fillId="0" borderId="0" xfId="3" applyFont="1" applyAlignment="1" applyProtection="1">
      <alignment horizontal="left" vertical="center" wrapText="1"/>
    </xf>
    <xf numFmtId="3" fontId="54" fillId="0" borderId="77" xfId="3" applyNumberFormat="1" applyFont="1" applyBorder="1" applyAlignment="1" applyProtection="1">
      <alignment horizontal="right" indent="1"/>
      <protection locked="0"/>
    </xf>
    <xf numFmtId="0" fontId="54" fillId="0" borderId="0" xfId="3" applyFont="1" applyBorder="1" applyAlignment="1" applyProtection="1">
      <alignment vertical="center" wrapText="1"/>
      <protection locked="0"/>
    </xf>
    <xf numFmtId="5" fontId="64" fillId="0" borderId="150" xfId="3" applyNumberFormat="1" applyFont="1" applyBorder="1" applyAlignment="1" applyProtection="1">
      <protection locked="0"/>
    </xf>
    <xf numFmtId="0" fontId="64" fillId="0" borderId="151" xfId="3" applyFont="1" applyBorder="1" applyAlignment="1" applyProtection="1">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53" fillId="0" borderId="78" xfId="3" applyFont="1" applyBorder="1" applyAlignment="1" applyProtection="1">
      <alignment horizontal="center"/>
    </xf>
    <xf numFmtId="0" fontId="54" fillId="0" borderId="0" xfId="3" applyFont="1" applyAlignment="1" applyProtection="1">
      <alignment horizontal="left" vertical="center" wrapText="1"/>
      <protection locked="0"/>
    </xf>
    <xf numFmtId="0" fontId="64" fillId="0" borderId="0" xfId="3" applyNumberFormat="1" applyFont="1" applyBorder="1" applyAlignment="1" applyProtection="1">
      <alignment horizontal="center"/>
    </xf>
    <xf numFmtId="0" fontId="53" fillId="0" borderId="0" xfId="3" applyFont="1" applyAlignment="1" applyProtection="1">
      <alignment horizontal="center" vertical="center" readingOrder="1"/>
    </xf>
    <xf numFmtId="0" fontId="53" fillId="0" borderId="0" xfId="3" applyFont="1" applyAlignment="1" applyProtection="1">
      <alignment horizontal="center" vertical="center"/>
    </xf>
    <xf numFmtId="0" fontId="63" fillId="0" borderId="150" xfId="3" applyFont="1" applyBorder="1" applyAlignment="1" applyProtection="1">
      <alignment horizontal="center" vertical="center"/>
      <protection locked="0"/>
    </xf>
    <xf numFmtId="0" fontId="63" fillId="0" borderId="76" xfId="3" applyFont="1" applyBorder="1" applyAlignment="1" applyProtection="1">
      <alignment horizontal="center" vertical="center"/>
      <protection locked="0"/>
    </xf>
    <xf numFmtId="0" fontId="63" fillId="0" borderId="151" xfId="3" applyFont="1" applyBorder="1" applyAlignment="1" applyProtection="1">
      <alignment horizontal="center" vertical="center"/>
      <protection locked="0"/>
    </xf>
    <xf numFmtId="6" fontId="61" fillId="0" borderId="77" xfId="3" applyNumberFormat="1" applyFont="1" applyBorder="1" applyAlignment="1" applyProtection="1">
      <alignment horizontal="right" vertical="center"/>
      <protection locked="0"/>
    </xf>
    <xf numFmtId="6" fontId="61" fillId="0" borderId="150" xfId="3" applyNumberFormat="1" applyFont="1" applyBorder="1" applyProtection="1">
      <protection locked="0"/>
    </xf>
    <xf numFmtId="6" fontId="61" fillId="0" borderId="151" xfId="3" applyNumberFormat="1" applyFont="1" applyBorder="1" applyProtection="1">
      <protection locked="0"/>
    </xf>
    <xf numFmtId="170" fontId="56" fillId="0" borderId="9" xfId="3" applyNumberFormat="1" applyFont="1" applyBorder="1" applyAlignment="1" applyProtection="1">
      <alignment horizontal="center"/>
      <protection locked="0"/>
    </xf>
    <xf numFmtId="0" fontId="61" fillId="0" borderId="150" xfId="3" applyFont="1" applyBorder="1" applyAlignment="1" applyProtection="1">
      <alignment horizontal="left" vertical="center"/>
      <protection locked="0"/>
    </xf>
    <xf numFmtId="0" fontId="61" fillId="0" borderId="76" xfId="3" applyFont="1" applyBorder="1" applyAlignment="1" applyProtection="1">
      <alignment horizontal="left" vertical="center"/>
      <protection locked="0"/>
    </xf>
    <xf numFmtId="0" fontId="61" fillId="0" borderId="151" xfId="3" applyFont="1" applyBorder="1" applyAlignment="1" applyProtection="1">
      <alignment horizontal="left" vertical="center"/>
      <protection locked="0"/>
    </xf>
    <xf numFmtId="38" fontId="61" fillId="0" borderId="77" xfId="3" applyNumberFormat="1" applyFont="1" applyBorder="1" applyAlignment="1" applyProtection="1">
      <alignment horizontal="right" vertical="center"/>
      <protection locked="0"/>
    </xf>
    <xf numFmtId="0" fontId="64" fillId="0" borderId="0" xfId="3" applyNumberFormat="1" applyFont="1" applyBorder="1" applyAlignment="1" applyProtection="1">
      <alignment horizontal="center" vertical="center" wrapText="1"/>
    </xf>
    <xf numFmtId="0" fontId="56" fillId="0" borderId="0" xfId="3" applyNumberFormat="1" applyFont="1" applyAlignment="1">
      <alignment horizontal="center" vertical="center" wrapText="1"/>
    </xf>
    <xf numFmtId="165" fontId="64" fillId="0" borderId="0" xfId="3" applyNumberFormat="1" applyFont="1" applyBorder="1" applyAlignment="1" applyProtection="1">
      <alignment horizontal="center" vertical="center" wrapText="1"/>
    </xf>
    <xf numFmtId="0" fontId="56" fillId="0" borderId="0" xfId="3" applyFont="1" applyAlignment="1">
      <alignment horizontal="center" vertical="center" wrapText="1"/>
    </xf>
    <xf numFmtId="169" fontId="53" fillId="0" borderId="0" xfId="3" applyNumberFormat="1" applyFont="1" applyAlignment="1" applyProtection="1">
      <alignment horizontal="center" vertical="center" wrapText="1"/>
    </xf>
    <xf numFmtId="0" fontId="54" fillId="0" borderId="0" xfId="3" applyFont="1" applyAlignment="1">
      <alignment horizontal="center" vertical="center" wrapText="1"/>
    </xf>
    <xf numFmtId="0" fontId="56" fillId="0" borderId="9" xfId="3" applyFont="1" applyBorder="1" applyAlignment="1" applyProtection="1">
      <alignment horizontal="center"/>
      <protection locked="0"/>
    </xf>
    <xf numFmtId="0" fontId="56" fillId="0" borderId="74" xfId="3" applyFont="1" applyBorder="1" applyAlignment="1" applyProtection="1">
      <alignment horizontal="center"/>
      <protection locked="0"/>
    </xf>
    <xf numFmtId="0" fontId="61" fillId="0" borderId="150" xfId="3" applyFont="1" applyBorder="1" applyAlignment="1" applyProtection="1">
      <alignment horizontal="center"/>
    </xf>
    <xf numFmtId="0" fontId="61" fillId="0" borderId="76" xfId="3" applyFont="1" applyBorder="1" applyAlignment="1" applyProtection="1">
      <alignment horizontal="center"/>
    </xf>
    <xf numFmtId="0" fontId="61" fillId="0" borderId="151" xfId="3" applyFont="1" applyBorder="1" applyAlignment="1" applyProtection="1">
      <alignment horizontal="center"/>
    </xf>
    <xf numFmtId="38" fontId="61" fillId="0" borderId="150" xfId="3" applyNumberFormat="1" applyFont="1" applyBorder="1" applyAlignment="1" applyProtection="1">
      <alignment horizontal="right" vertical="center"/>
      <protection locked="0"/>
    </xf>
    <xf numFmtId="38" fontId="61" fillId="0" borderId="76" xfId="3" applyNumberFormat="1" applyFont="1" applyBorder="1" applyAlignment="1" applyProtection="1">
      <alignment horizontal="right" vertical="center"/>
      <protection locked="0"/>
    </xf>
    <xf numFmtId="38" fontId="61" fillId="0" borderId="151" xfId="3" applyNumberFormat="1" applyFont="1" applyBorder="1" applyAlignment="1" applyProtection="1">
      <alignment horizontal="right" vertical="center"/>
      <protection locked="0"/>
    </xf>
    <xf numFmtId="8" fontId="56" fillId="0" borderId="0" xfId="3" applyNumberFormat="1" applyFont="1" applyAlignment="1" applyProtection="1">
      <alignment horizontal="left" vertical="top" wrapText="1"/>
      <protection locked="0"/>
    </xf>
    <xf numFmtId="0" fontId="56" fillId="0" borderId="0" xfId="3" applyFont="1" applyAlignment="1" applyProtection="1">
      <alignment horizontal="left" vertical="top" wrapText="1"/>
      <protection locked="0"/>
    </xf>
    <xf numFmtId="0" fontId="53" fillId="0" borderId="0" xfId="3" applyFont="1" applyAlignment="1" applyProtection="1">
      <alignment horizontal="center" vertical="center" wrapText="1"/>
    </xf>
    <xf numFmtId="0" fontId="53" fillId="0" borderId="0" xfId="3" applyFont="1" applyBorder="1" applyAlignment="1" applyProtection="1">
      <alignment horizontal="center" vertical="center" wrapText="1"/>
    </xf>
    <xf numFmtId="0" fontId="56" fillId="0" borderId="0" xfId="3" applyFont="1" applyBorder="1" applyAlignment="1">
      <alignment horizontal="center" vertical="center" wrapText="1"/>
    </xf>
    <xf numFmtId="0" fontId="53" fillId="0" borderId="0" xfId="3" applyNumberFormat="1" applyFont="1" applyBorder="1" applyAlignment="1" applyProtection="1">
      <alignment horizontal="center" vertical="center" wrapText="1"/>
    </xf>
    <xf numFmtId="165" fontId="53" fillId="0" borderId="0" xfId="3" applyNumberFormat="1" applyFont="1" applyBorder="1" applyAlignment="1" applyProtection="1">
      <alignment horizontal="center" vertical="center" wrapText="1"/>
    </xf>
    <xf numFmtId="0" fontId="53" fillId="0" borderId="145" xfId="3" applyFont="1" applyBorder="1" applyAlignment="1" applyProtection="1">
      <alignment horizontal="center" vertical="center" wrapText="1"/>
    </xf>
    <xf numFmtId="0" fontId="64" fillId="0" borderId="74" xfId="3" applyNumberFormat="1" applyFont="1" applyBorder="1" applyAlignment="1" applyProtection="1">
      <alignment horizontal="center"/>
      <protection locked="0"/>
    </xf>
    <xf numFmtId="0" fontId="64" fillId="0" borderId="74" xfId="3" quotePrefix="1" applyFont="1" applyBorder="1" applyAlignment="1" applyProtection="1">
      <alignment horizontal="center"/>
      <protection locked="0"/>
    </xf>
    <xf numFmtId="0" fontId="64" fillId="0" borderId="74" xfId="3" applyFont="1" applyBorder="1" applyAlignment="1" applyProtection="1">
      <alignment horizontal="center"/>
      <protection locked="0"/>
    </xf>
    <xf numFmtId="0" fontId="64" fillId="0" borderId="74" xfId="3" applyFont="1" applyBorder="1" applyAlignment="1" applyProtection="1">
      <alignment horizontal="center" vertical="center"/>
      <protection locked="0"/>
    </xf>
    <xf numFmtId="6" fontId="56" fillId="0" borderId="0" xfId="3" applyNumberFormat="1" applyFont="1" applyAlignment="1" applyProtection="1">
      <alignment horizontal="left" vertical="top" wrapText="1"/>
      <protection locked="0"/>
    </xf>
    <xf numFmtId="0" fontId="53" fillId="0" borderId="0" xfId="3" applyNumberFormat="1" applyFont="1" applyAlignment="1" applyProtection="1">
      <alignment horizontal="center" vertical="center" wrapText="1"/>
    </xf>
  </cellXfs>
  <cellStyles count="22">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3 2 3" xfId="20"/>
    <cellStyle name="Normal 3 3" xfId="19"/>
    <cellStyle name="Normal 4" xfId="16"/>
    <cellStyle name="Normal 4 2" xfId="21"/>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800-000002000000}"/>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800-000003000000}"/>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9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9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A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A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B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B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C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C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D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D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E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E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30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30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31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31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32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32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33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33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34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34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35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35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36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36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0</xdr:colOff>
      <xdr:row>17</xdr:row>
      <xdr:rowOff>0</xdr:rowOff>
    </xdr:from>
    <xdr:to>
      <xdr:col>2</xdr:col>
      <xdr:colOff>76200</xdr:colOff>
      <xdr:row>18</xdr:row>
      <xdr:rowOff>37234</xdr:rowOff>
    </xdr:to>
    <xdr:sp macro="" textlink="">
      <xdr:nvSpPr>
        <xdr:cNvPr id="2" name="Text 1">
          <a:extLst>
            <a:ext uri="{FF2B5EF4-FFF2-40B4-BE49-F238E27FC236}">
              <a16:creationId xmlns:a16="http://schemas.microsoft.com/office/drawing/2014/main" id="{00000000-0008-0000-37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1466850</xdr:colOff>
          <xdr:row>0</xdr:row>
          <xdr:rowOff>19050</xdr:rowOff>
        </xdr:from>
        <xdr:to>
          <xdr:col>1</xdr:col>
          <xdr:colOff>2381250</xdr:colOff>
          <xdr:row>4</xdr:row>
          <xdr:rowOff>0</xdr:rowOff>
        </xdr:to>
        <xdr:sp macro="" textlink="">
          <xdr:nvSpPr>
            <xdr:cNvPr id="68610" name="Object 2" hidden="1">
              <a:extLst>
                <a:ext uri="{63B3BB69-23CF-44E3-9099-C40C66FF867C}">
                  <a14:compatExt spid="_x0000_s68610"/>
                </a:ext>
                <a:ext uri="{FF2B5EF4-FFF2-40B4-BE49-F238E27FC236}">
                  <a16:creationId xmlns:a16="http://schemas.microsoft.com/office/drawing/2014/main" id="{00000000-0008-0000-1400-0000020C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914400</xdr:colOff>
          <xdr:row>8</xdr:row>
          <xdr:rowOff>161925</xdr:rowOff>
        </xdr:to>
        <xdr:sp macro="" textlink="">
          <xdr:nvSpPr>
            <xdr:cNvPr id="68611" name="Object 3" hidden="1">
              <a:extLst>
                <a:ext uri="{63B3BB69-23CF-44E3-9099-C40C66FF867C}">
                  <a14:compatExt spid="_x0000_s68611"/>
                </a:ext>
                <a:ext uri="{FF2B5EF4-FFF2-40B4-BE49-F238E27FC236}">
                  <a16:creationId xmlns:a16="http://schemas.microsoft.com/office/drawing/2014/main" id="{00000000-0008-0000-1400-0000030C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2845377</xdr:colOff>
          <xdr:row>0</xdr:row>
          <xdr:rowOff>47625</xdr:rowOff>
        </xdr:from>
        <xdr:to>
          <xdr:col>1</xdr:col>
          <xdr:colOff>3759777</xdr:colOff>
          <xdr:row>4</xdr:row>
          <xdr:rowOff>96116</xdr:rowOff>
        </xdr:to>
        <xdr:sp macro="" textlink="">
          <xdr:nvSpPr>
            <xdr:cNvPr id="68614" name="Object 6" hidden="1">
              <a:extLst>
                <a:ext uri="{63B3BB69-23CF-44E3-9099-C40C66FF867C}">
                  <a14:compatExt spid="_x0000_s68614"/>
                </a:ext>
                <a:ext uri="{FF2B5EF4-FFF2-40B4-BE49-F238E27FC236}">
                  <a16:creationId xmlns:a16="http://schemas.microsoft.com/office/drawing/2014/main" id="{00000000-0008-0000-1400-0000060C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1</xdr:col>
          <xdr:colOff>914400</xdr:colOff>
          <xdr:row>3</xdr:row>
          <xdr:rowOff>161925</xdr:rowOff>
        </xdr:to>
        <xdr:sp macro="" textlink="">
          <xdr:nvSpPr>
            <xdr:cNvPr id="68616" name="Object 8" hidden="1">
              <a:extLst>
                <a:ext uri="{63B3BB69-23CF-44E3-9099-C40C66FF867C}">
                  <a14:compatExt spid="_x0000_s68616"/>
                </a:ext>
                <a:ext uri="{FF2B5EF4-FFF2-40B4-BE49-F238E27FC236}">
                  <a16:creationId xmlns:a16="http://schemas.microsoft.com/office/drawing/2014/main" id="{00000000-0008-0000-1400-0000080C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1438275</xdr:colOff>
          <xdr:row>5</xdr:row>
          <xdr:rowOff>0</xdr:rowOff>
        </xdr:from>
        <xdr:to>
          <xdr:col>1</xdr:col>
          <xdr:colOff>2352675</xdr:colOff>
          <xdr:row>8</xdr:row>
          <xdr:rowOff>161925</xdr:rowOff>
        </xdr:to>
        <xdr:sp macro="" textlink="">
          <xdr:nvSpPr>
            <xdr:cNvPr id="68617" name="Object 9" hidden="1">
              <a:extLst>
                <a:ext uri="{63B3BB69-23CF-44E3-9099-C40C66FF867C}">
                  <a14:compatExt spid="_x0000_s68617"/>
                </a:ext>
                <a:ext uri="{FF2B5EF4-FFF2-40B4-BE49-F238E27FC236}">
                  <a16:creationId xmlns:a16="http://schemas.microsoft.com/office/drawing/2014/main" id="{00000000-0008-0000-1400-0000090C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22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22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3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3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400-000002000000}"/>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400-000003000000}"/>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500-000002000000}"/>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500-000003000000}"/>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600-000002000000}"/>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600-000003000000}"/>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700-000002000000}"/>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700-000003000000}"/>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5.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110" zoomScaleNormal="110" workbookViewId="0">
      <selection activeCell="A17" sqref="A17:H17"/>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1685</v>
      </c>
      <c r="B1" s="45"/>
      <c r="C1" s="45"/>
      <c r="D1" s="46"/>
      <c r="I1" s="2041" t="s">
        <v>424</v>
      </c>
      <c r="J1" s="2042"/>
      <c r="K1" s="2042"/>
      <c r="L1" s="2042"/>
      <c r="M1" s="2042"/>
      <c r="N1" s="2042"/>
      <c r="O1" s="2042"/>
      <c r="P1" s="2042"/>
      <c r="Q1" s="2042"/>
      <c r="R1" s="2042"/>
      <c r="S1" s="2042"/>
    </row>
    <row r="2" spans="1:28" ht="12" customHeight="1" x14ac:dyDescent="0.2">
      <c r="A2" s="47" t="s">
        <v>1683</v>
      </c>
      <c r="D2" s="48"/>
      <c r="I2" s="2043" t="s">
        <v>1035</v>
      </c>
      <c r="J2" s="2042"/>
      <c r="K2" s="2042"/>
      <c r="L2" s="2042"/>
      <c r="M2" s="2042"/>
      <c r="N2" s="2042"/>
      <c r="O2" s="2042"/>
      <c r="P2" s="2042"/>
      <c r="Q2" s="2042"/>
      <c r="R2" s="2042"/>
      <c r="S2" s="2042"/>
    </row>
    <row r="3" spans="1:28" ht="12" customHeight="1" x14ac:dyDescent="0.2">
      <c r="A3" s="155" t="s">
        <v>1684</v>
      </c>
      <c r="B3" s="156"/>
      <c r="C3" s="156"/>
      <c r="D3" s="157"/>
      <c r="I3" s="2043" t="s">
        <v>54</v>
      </c>
      <c r="J3" s="2042"/>
      <c r="K3" s="2042"/>
      <c r="L3" s="2042"/>
      <c r="M3" s="2042"/>
      <c r="N3" s="2042"/>
      <c r="O3" s="2042"/>
      <c r="P3" s="2042"/>
      <c r="Q3" s="2042"/>
      <c r="R3" s="2042"/>
      <c r="S3" s="2042"/>
    </row>
    <row r="4" spans="1:28" ht="12" customHeight="1" x14ac:dyDescent="0.2">
      <c r="A4" s="37"/>
      <c r="I4" s="2043" t="s">
        <v>544</v>
      </c>
      <c r="J4" s="2042"/>
      <c r="K4" s="2042"/>
      <c r="L4" s="2042"/>
      <c r="M4" s="2042"/>
      <c r="N4" s="2042"/>
      <c r="O4" s="2042"/>
      <c r="P4" s="2042"/>
      <c r="Q4" s="2042"/>
      <c r="R4" s="2042"/>
      <c r="S4" s="2042"/>
    </row>
    <row r="5" spans="1:28" ht="14.1" customHeight="1" x14ac:dyDescent="0.2">
      <c r="B5" s="104" t="s">
        <v>2076</v>
      </c>
      <c r="C5" s="26" t="s">
        <v>965</v>
      </c>
      <c r="D5" s="84"/>
      <c r="E5" s="84"/>
      <c r="H5" s="38"/>
      <c r="I5" s="2050" t="s">
        <v>700</v>
      </c>
      <c r="J5" s="1994"/>
      <c r="K5" s="1994"/>
      <c r="L5" s="1994"/>
      <c r="M5" s="1994"/>
      <c r="N5" s="1994"/>
      <c r="O5" s="1994"/>
      <c r="P5" s="1994"/>
      <c r="Q5" s="1994"/>
      <c r="R5" s="1994"/>
      <c r="S5" s="1994"/>
    </row>
    <row r="6" spans="1:28" ht="14.1" customHeight="1" x14ac:dyDescent="0.2">
      <c r="B6" s="104"/>
      <c r="C6" s="26" t="s">
        <v>966</v>
      </c>
      <c r="D6" s="84"/>
      <c r="E6" s="84"/>
      <c r="I6" s="2049" t="s">
        <v>937</v>
      </c>
      <c r="J6" s="1994"/>
      <c r="K6" s="1994"/>
      <c r="L6" s="1994"/>
      <c r="M6" s="1994"/>
      <c r="N6" s="1994"/>
      <c r="O6" s="1994"/>
      <c r="P6" s="1994"/>
      <c r="Q6" s="1994"/>
      <c r="R6" s="1994"/>
      <c r="S6" s="1994"/>
    </row>
    <row r="7" spans="1:28" ht="12.2" customHeight="1" x14ac:dyDescent="0.2">
      <c r="I7" s="2044">
        <v>43281</v>
      </c>
      <c r="J7" s="2045"/>
      <c r="K7" s="2045"/>
      <c r="L7" s="2045"/>
      <c r="M7" s="2045"/>
      <c r="N7" s="2045"/>
      <c r="O7" s="2045"/>
      <c r="P7" s="2045"/>
      <c r="Q7" s="2045"/>
      <c r="R7" s="2045"/>
      <c r="S7" s="2045"/>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46" t="s">
        <v>694</v>
      </c>
      <c r="J9" s="2047"/>
      <c r="K9" s="2047"/>
      <c r="L9" s="2047"/>
      <c r="M9" s="2047"/>
      <c r="N9" s="2047"/>
      <c r="O9" s="2047"/>
      <c r="P9" s="2047"/>
      <c r="Q9" s="2047"/>
      <c r="R9" s="2047"/>
      <c r="S9" s="2048"/>
      <c r="T9" s="1990" t="s">
        <v>553</v>
      </c>
      <c r="U9" s="1991"/>
      <c r="V9" s="1991"/>
      <c r="W9" s="1991"/>
      <c r="X9" s="1991"/>
      <c r="Y9" s="1991"/>
      <c r="Z9" s="1991"/>
      <c r="AA9" s="1992"/>
    </row>
    <row r="10" spans="1:28" ht="13.5" customHeight="1" x14ac:dyDescent="0.2">
      <c r="A10" s="1999" t="s">
        <v>695</v>
      </c>
      <c r="B10" s="2000"/>
      <c r="C10" s="2000"/>
      <c r="D10" s="2000"/>
      <c r="E10" s="2000"/>
      <c r="F10" s="2000"/>
      <c r="G10" s="2000"/>
      <c r="H10" s="2001"/>
      <c r="I10" s="29"/>
      <c r="J10" s="30"/>
      <c r="K10" s="28"/>
      <c r="R10" s="30"/>
      <c r="S10" s="30"/>
      <c r="T10" s="1993"/>
      <c r="U10" s="1994"/>
      <c r="V10" s="1994"/>
      <c r="W10" s="1994"/>
      <c r="X10" s="1994"/>
      <c r="Y10" s="1994"/>
      <c r="Z10" s="1994"/>
      <c r="AA10" s="1995"/>
    </row>
    <row r="11" spans="1:28" ht="14.25" customHeight="1" x14ac:dyDescent="0.2">
      <c r="A11" s="2002" t="s">
        <v>1011</v>
      </c>
      <c r="B11" s="2003"/>
      <c r="C11" s="2003"/>
      <c r="D11" s="2003"/>
      <c r="E11" s="2003"/>
      <c r="F11" s="2003"/>
      <c r="G11" s="2003"/>
      <c r="H11" s="2004"/>
      <c r="I11" s="27"/>
      <c r="J11" s="74"/>
      <c r="K11" s="27"/>
      <c r="O11" s="148" t="s">
        <v>2076</v>
      </c>
      <c r="P11" s="100" t="s">
        <v>210</v>
      </c>
      <c r="Q11" s="30"/>
      <c r="R11" s="28"/>
      <c r="S11" s="27"/>
      <c r="T11" s="1996"/>
      <c r="U11" s="1997"/>
      <c r="V11" s="1997"/>
      <c r="W11" s="1997"/>
      <c r="X11" s="1997"/>
      <c r="Y11" s="1997"/>
      <c r="Z11" s="1997"/>
      <c r="AA11" s="1998"/>
    </row>
    <row r="12" spans="1:28" ht="13.5" customHeight="1" x14ac:dyDescent="0.2">
      <c r="A12" s="85" t="s">
        <v>981</v>
      </c>
      <c r="B12" s="76"/>
      <c r="C12" s="76"/>
      <c r="D12" s="76"/>
      <c r="E12" s="76"/>
      <c r="F12" s="76"/>
      <c r="G12" s="76"/>
      <c r="H12" s="53"/>
      <c r="I12" s="29"/>
      <c r="J12" s="30"/>
      <c r="K12" s="28"/>
      <c r="O12" s="149"/>
      <c r="P12" s="100" t="s">
        <v>211</v>
      </c>
      <c r="Q12" s="74"/>
      <c r="R12" s="30"/>
      <c r="S12" s="30"/>
      <c r="T12" s="85" t="s">
        <v>282</v>
      </c>
      <c r="U12" s="51"/>
      <c r="V12" s="51"/>
      <c r="W12" s="51"/>
      <c r="X12" s="51"/>
      <c r="Y12" s="45"/>
      <c r="Z12" s="45"/>
      <c r="AA12" s="46"/>
    </row>
    <row r="13" spans="1:28" ht="13.5" customHeight="1" x14ac:dyDescent="0.2">
      <c r="A13" s="2010">
        <v>40042100026</v>
      </c>
      <c r="B13" s="2011"/>
      <c r="C13" s="2011"/>
      <c r="D13" s="2011"/>
      <c r="E13" s="2011"/>
      <c r="F13" s="2011"/>
      <c r="G13" s="2011"/>
      <c r="H13" s="2012"/>
      <c r="I13" s="31"/>
      <c r="J13" s="30"/>
      <c r="K13" s="28"/>
      <c r="L13" s="30"/>
      <c r="M13" s="30"/>
      <c r="N13" s="30"/>
      <c r="O13" s="30"/>
      <c r="P13" s="30"/>
      <c r="Q13" s="30"/>
      <c r="R13" s="30"/>
      <c r="S13" s="30"/>
      <c r="T13" s="2015" t="s">
        <v>2077</v>
      </c>
      <c r="U13" s="2016"/>
      <c r="V13" s="2016"/>
      <c r="W13" s="2016"/>
      <c r="X13" s="2016"/>
      <c r="Y13" s="2017"/>
      <c r="Z13" s="2017"/>
      <c r="AA13" s="2018"/>
    </row>
    <row r="14" spans="1:28" ht="14.1" customHeight="1" x14ac:dyDescent="0.2">
      <c r="A14" s="85" t="s">
        <v>736</v>
      </c>
      <c r="B14" s="76"/>
      <c r="C14" s="76"/>
      <c r="D14" s="76"/>
      <c r="E14" s="76"/>
      <c r="F14" s="76"/>
      <c r="G14" s="76"/>
      <c r="H14" s="53"/>
      <c r="I14" s="116"/>
      <c r="S14" s="48"/>
      <c r="T14" s="85" t="s">
        <v>1395</v>
      </c>
      <c r="U14" s="51"/>
      <c r="V14" s="51"/>
      <c r="W14" s="51"/>
      <c r="X14" s="51"/>
      <c r="Y14" s="45"/>
      <c r="Z14" s="45"/>
      <c r="AA14" s="46"/>
    </row>
    <row r="15" spans="1:28" ht="13.5" customHeight="1" x14ac:dyDescent="0.2">
      <c r="A15" s="2008" t="s">
        <v>2073</v>
      </c>
      <c r="B15" s="2013"/>
      <c r="C15" s="2013"/>
      <c r="D15" s="2013"/>
      <c r="E15" s="2013"/>
      <c r="F15" s="2013"/>
      <c r="G15" s="2013"/>
      <c r="H15" s="2014"/>
      <c r="T15" s="1976" t="s">
        <v>2305</v>
      </c>
      <c r="U15" s="1977"/>
      <c r="V15" s="1977"/>
      <c r="W15" s="1977"/>
      <c r="X15" s="1977"/>
      <c r="Y15" s="2019"/>
      <c r="Z15" s="2019"/>
      <c r="AA15" s="2020"/>
    </row>
    <row r="16" spans="1:28" ht="13.5" customHeight="1" x14ac:dyDescent="0.2">
      <c r="A16" s="85" t="s">
        <v>735</v>
      </c>
      <c r="B16" s="76"/>
      <c r="C16" s="76"/>
      <c r="D16" s="72"/>
      <c r="E16" s="72"/>
      <c r="F16" s="72"/>
      <c r="G16" s="72"/>
      <c r="H16" s="56"/>
      <c r="I16" s="68"/>
      <c r="J16" s="45"/>
      <c r="K16" s="45"/>
      <c r="L16" s="45"/>
      <c r="M16" s="45"/>
      <c r="N16" s="45"/>
      <c r="O16" s="45"/>
      <c r="P16" s="45"/>
      <c r="Q16" s="45"/>
      <c r="R16" s="45"/>
      <c r="S16" s="46"/>
      <c r="T16" s="85" t="s">
        <v>550</v>
      </c>
      <c r="U16" s="51"/>
      <c r="V16" s="51"/>
      <c r="W16" s="51"/>
      <c r="X16" s="51"/>
      <c r="Y16" s="45"/>
      <c r="Z16" s="73"/>
      <c r="AA16" s="46"/>
    </row>
    <row r="17" spans="1:27" ht="13.5" customHeight="1" x14ac:dyDescent="0.2">
      <c r="A17" s="2038" t="s">
        <v>2352</v>
      </c>
      <c r="B17" s="2039"/>
      <c r="C17" s="2039"/>
      <c r="D17" s="2039"/>
      <c r="E17" s="2039"/>
      <c r="F17" s="2039"/>
      <c r="G17" s="2039"/>
      <c r="H17" s="2040"/>
      <c r="T17" s="2025" t="s">
        <v>2078</v>
      </c>
      <c r="U17" s="2026"/>
      <c r="V17" s="2026"/>
      <c r="W17" s="2026"/>
      <c r="X17" s="2026"/>
      <c r="Y17" s="2026"/>
      <c r="Z17" s="2026"/>
      <c r="AA17" s="2027"/>
    </row>
    <row r="18" spans="1:27" ht="13.5" customHeight="1" x14ac:dyDescent="0.2">
      <c r="A18" s="85" t="s">
        <v>550</v>
      </c>
      <c r="B18" s="76"/>
      <c r="C18" s="72"/>
      <c r="D18" s="76"/>
      <c r="E18" s="76"/>
      <c r="F18" s="76"/>
      <c r="G18" s="76"/>
      <c r="H18" s="56"/>
      <c r="I18" s="2035" t="s">
        <v>696</v>
      </c>
      <c r="J18" s="2036"/>
      <c r="K18" s="2036"/>
      <c r="L18" s="2036"/>
      <c r="M18" s="2036"/>
      <c r="N18" s="2036"/>
      <c r="O18" s="2036"/>
      <c r="P18" s="2036"/>
      <c r="Q18" s="2036"/>
      <c r="R18" s="2036"/>
      <c r="S18" s="2037"/>
      <c r="T18" s="85" t="s">
        <v>734</v>
      </c>
      <c r="U18" s="51"/>
      <c r="V18" s="72"/>
      <c r="W18" s="50"/>
      <c r="X18" s="85" t="s">
        <v>283</v>
      </c>
      <c r="Y18" s="81"/>
      <c r="Z18" s="159" t="s">
        <v>697</v>
      </c>
      <c r="AA18" s="46"/>
    </row>
    <row r="19" spans="1:27" ht="13.5" customHeight="1" x14ac:dyDescent="0.2">
      <c r="A19" s="2008" t="s">
        <v>2074</v>
      </c>
      <c r="B19" s="2009"/>
      <c r="C19" s="2009"/>
      <c r="D19" s="2009"/>
      <c r="E19" s="2009"/>
      <c r="F19" s="2009"/>
      <c r="G19" s="2009"/>
      <c r="H19" s="2007"/>
      <c r="I19" s="30"/>
      <c r="J19" s="99"/>
      <c r="K19" s="40"/>
      <c r="L19" s="38"/>
      <c r="M19" s="112" t="s">
        <v>332</v>
      </c>
      <c r="P19" s="27"/>
      <c r="Q19" s="27"/>
      <c r="R19" s="27"/>
      <c r="S19" s="31"/>
      <c r="T19" s="2008" t="s">
        <v>2075</v>
      </c>
      <c r="U19" s="2006"/>
      <c r="V19" s="2006"/>
      <c r="W19" s="2007"/>
      <c r="X19" s="2023" t="s">
        <v>2079</v>
      </c>
      <c r="Y19" s="2024"/>
      <c r="Z19" s="2021">
        <v>62052</v>
      </c>
      <c r="AA19" s="2022"/>
    </row>
    <row r="20" spans="1:27" ht="13.5" customHeight="1" x14ac:dyDescent="0.2">
      <c r="A20" s="86" t="s">
        <v>734</v>
      </c>
      <c r="B20" s="58"/>
      <c r="C20" s="58"/>
      <c r="D20" s="58"/>
      <c r="E20" s="58"/>
      <c r="F20" s="58"/>
      <c r="G20" s="58"/>
      <c r="H20" s="62"/>
      <c r="M20" s="111"/>
      <c r="N20" s="28"/>
      <c r="P20" s="28"/>
      <c r="Q20" s="28"/>
      <c r="R20" s="28"/>
      <c r="T20" s="85" t="s">
        <v>284</v>
      </c>
      <c r="U20" s="51"/>
      <c r="V20" s="72"/>
      <c r="W20" s="51"/>
      <c r="X20" s="160" t="s">
        <v>983</v>
      </c>
      <c r="Z20" s="45"/>
      <c r="AA20" s="46"/>
    </row>
    <row r="21" spans="1:27" ht="13.5" customHeight="1" x14ac:dyDescent="0.2">
      <c r="A21" s="2005" t="s">
        <v>2075</v>
      </c>
      <c r="B21" s="2006"/>
      <c r="C21" s="2006"/>
      <c r="D21" s="2006"/>
      <c r="E21" s="2006"/>
      <c r="F21" s="2006"/>
      <c r="G21" s="2006"/>
      <c r="H21" s="2007"/>
      <c r="I21" s="2031" t="s">
        <v>698</v>
      </c>
      <c r="J21" s="1994"/>
      <c r="K21" s="1994"/>
      <c r="L21" s="1994"/>
      <c r="M21" s="1994"/>
      <c r="N21" s="1994"/>
      <c r="O21" s="1994"/>
      <c r="P21" s="1994"/>
      <c r="Q21" s="1994"/>
      <c r="R21" s="1994"/>
      <c r="S21" s="1995"/>
      <c r="T21" s="1973" t="s">
        <v>2080</v>
      </c>
      <c r="U21" s="1974"/>
      <c r="V21" s="1974"/>
      <c r="W21" s="1974"/>
      <c r="X21" s="1987" t="s">
        <v>2081</v>
      </c>
      <c r="Y21" s="1988"/>
      <c r="Z21" s="1988"/>
      <c r="AA21" s="1989"/>
    </row>
    <row r="22" spans="1:27" ht="13.5" customHeight="1" x14ac:dyDescent="0.2">
      <c r="A22" s="87" t="s">
        <v>551</v>
      </c>
      <c r="B22" s="59"/>
      <c r="C22" s="59"/>
      <c r="D22" s="59"/>
      <c r="E22" s="59"/>
      <c r="F22" s="59"/>
      <c r="G22" s="59"/>
      <c r="H22" s="60"/>
      <c r="I22" s="2032" t="s">
        <v>1503</v>
      </c>
      <c r="J22" s="2033"/>
      <c r="K22" s="2033"/>
      <c r="L22" s="2033"/>
      <c r="M22" s="2033"/>
      <c r="N22" s="2033"/>
      <c r="O22" s="2033"/>
      <c r="P22" s="2033"/>
      <c r="Q22" s="2033"/>
      <c r="R22" s="2033"/>
      <c r="S22" s="2034"/>
      <c r="T22" s="85" t="s">
        <v>1595</v>
      </c>
      <c r="U22" s="51"/>
      <c r="V22" s="72"/>
      <c r="W22" s="51"/>
      <c r="X22" s="160" t="s">
        <v>1384</v>
      </c>
      <c r="Z22" s="45"/>
      <c r="AA22" s="46"/>
    </row>
    <row r="23" spans="1:27" ht="13.5" customHeight="1" x14ac:dyDescent="0.2">
      <c r="A23" s="2028"/>
      <c r="B23" s="2029"/>
      <c r="C23" s="2029"/>
      <c r="D23" s="2029"/>
      <c r="E23" s="2029"/>
      <c r="F23" s="2029"/>
      <c r="G23" s="2029"/>
      <c r="H23" s="2030"/>
      <c r="T23" s="1968" t="s">
        <v>2306</v>
      </c>
      <c r="U23" s="1969"/>
      <c r="V23" s="1969"/>
      <c r="W23" s="1969"/>
      <c r="X23" s="1984">
        <v>43434</v>
      </c>
      <c r="Y23" s="1985"/>
      <c r="Z23" s="1985"/>
      <c r="AA23" s="1986"/>
    </row>
    <row r="24" spans="1:27" ht="14.1" customHeight="1" x14ac:dyDescent="0.2">
      <c r="A24" s="88" t="s">
        <v>697</v>
      </c>
      <c r="B24" s="49"/>
      <c r="C24" s="49"/>
      <c r="D24" s="49"/>
      <c r="E24" s="49"/>
      <c r="F24" s="49"/>
      <c r="G24" s="49"/>
      <c r="H24" s="61"/>
      <c r="J24" s="2071">
        <f>IF(B5="x",IF(AUDITCHECK!D29="AFR form Incomplete.","",IF(AUDITCHECK!D29="Deficit reduction plan is required.","School District must complete a deficit reduction plan in the 2018-2019 Budget",)),"")</f>
        <v>0</v>
      </c>
      <c r="K24" s="2071"/>
      <c r="L24" s="2071"/>
      <c r="M24" s="2071"/>
      <c r="N24" s="2071"/>
      <c r="O24" s="2071"/>
      <c r="P24" s="2071"/>
      <c r="Q24" s="2071"/>
      <c r="R24" s="2071"/>
      <c r="S24" s="2072"/>
      <c r="T24" s="105" t="s">
        <v>551</v>
      </c>
      <c r="U24" s="106"/>
      <c r="V24" s="106"/>
      <c r="W24" s="106"/>
      <c r="X24" s="107"/>
      <c r="Y24" s="107"/>
      <c r="Z24" s="107"/>
      <c r="AA24" s="108"/>
    </row>
    <row r="25" spans="1:27" ht="14.1" customHeight="1" x14ac:dyDescent="0.2">
      <c r="A25" s="2005">
        <v>62052</v>
      </c>
      <c r="B25" s="2006"/>
      <c r="C25" s="2006"/>
      <c r="D25" s="2006"/>
      <c r="E25" s="2006"/>
      <c r="F25" s="2006"/>
      <c r="G25" s="2006"/>
      <c r="H25" s="2007"/>
      <c r="I25" s="113"/>
      <c r="J25" s="2073"/>
      <c r="K25" s="2073"/>
      <c r="L25" s="2073"/>
      <c r="M25" s="2073"/>
      <c r="N25" s="2073"/>
      <c r="O25" s="2073"/>
      <c r="P25" s="2073"/>
      <c r="Q25" s="2073"/>
      <c r="R25" s="2073"/>
      <c r="S25" s="2074"/>
      <c r="T25" s="1965" t="s">
        <v>2082</v>
      </c>
      <c r="U25" s="1966"/>
      <c r="V25" s="1966"/>
      <c r="W25" s="1966"/>
      <c r="X25" s="1966"/>
      <c r="Y25" s="1966"/>
      <c r="Z25" s="1966"/>
      <c r="AA25" s="1967"/>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1223</v>
      </c>
      <c r="D27" s="119"/>
      <c r="E27" s="119"/>
      <c r="I27" s="2064" t="s">
        <v>1590</v>
      </c>
      <c r="J27" s="2036"/>
      <c r="K27" s="2036"/>
      <c r="L27" s="2036"/>
      <c r="M27" s="2036"/>
      <c r="N27" s="2036"/>
      <c r="O27" s="2036"/>
      <c r="P27" s="2036"/>
      <c r="Q27" s="2036"/>
      <c r="R27" s="2036"/>
      <c r="S27" s="2037"/>
      <c r="T27" s="130"/>
      <c r="U27" s="131"/>
      <c r="V27" s="131"/>
      <c r="W27" s="131"/>
      <c r="X27" s="131"/>
      <c r="Y27" s="131"/>
      <c r="Z27" s="131"/>
      <c r="AA27" s="132"/>
    </row>
    <row r="28" spans="1:27" ht="14.1" customHeight="1" x14ac:dyDescent="0.2">
      <c r="A28" s="152"/>
      <c r="B28" s="114"/>
      <c r="C28" s="118" t="s">
        <v>1224</v>
      </c>
      <c r="D28" s="114"/>
      <c r="E28" s="114"/>
      <c r="F28" s="114"/>
      <c r="G28" s="114"/>
      <c r="I28" s="116"/>
      <c r="S28" s="48"/>
      <c r="T28" s="130"/>
      <c r="U28" s="131"/>
      <c r="V28" s="131"/>
      <c r="W28" s="133" t="s">
        <v>1107</v>
      </c>
      <c r="X28" s="131"/>
      <c r="Y28" s="131"/>
      <c r="Z28" s="131"/>
      <c r="AA28" s="132"/>
    </row>
    <row r="29" spans="1:27" ht="14.1" customHeight="1" x14ac:dyDescent="0.2">
      <c r="A29" s="152"/>
      <c r="B29" s="136"/>
      <c r="C29" s="124" t="s">
        <v>873</v>
      </c>
      <c r="D29" s="114"/>
      <c r="E29" s="136" t="s">
        <v>2076</v>
      </c>
      <c r="F29" s="141" t="s">
        <v>1382</v>
      </c>
      <c r="G29" s="114"/>
      <c r="I29" s="54"/>
      <c r="J29" s="148" t="s">
        <v>2076</v>
      </c>
      <c r="K29" s="28" t="s">
        <v>596</v>
      </c>
      <c r="L29" s="102"/>
      <c r="M29" s="40" t="s">
        <v>101</v>
      </c>
      <c r="N29" s="32" t="s">
        <v>1603</v>
      </c>
      <c r="O29" s="32"/>
      <c r="P29" s="32"/>
      <c r="Q29" s="32"/>
      <c r="R29" s="32"/>
      <c r="S29" s="123"/>
      <c r="T29" s="6"/>
      <c r="U29" s="6"/>
      <c r="V29" s="6"/>
      <c r="W29" s="6"/>
      <c r="X29" s="6"/>
      <c r="Y29" s="6"/>
      <c r="Z29" s="6"/>
      <c r="AA29" s="132"/>
    </row>
    <row r="30" spans="1:27" ht="13.5" customHeight="1" x14ac:dyDescent="0.2">
      <c r="A30" s="153"/>
      <c r="B30" s="136"/>
      <c r="C30" s="124" t="s">
        <v>1225</v>
      </c>
      <c r="D30" s="28"/>
      <c r="E30" s="28"/>
      <c r="F30" s="140"/>
      <c r="G30" s="114"/>
      <c r="H30" s="114"/>
      <c r="I30" s="54"/>
      <c r="J30" s="148" t="s">
        <v>2076</v>
      </c>
      <c r="K30" s="28" t="s">
        <v>596</v>
      </c>
      <c r="L30" s="102"/>
      <c r="M30" s="40" t="s">
        <v>101</v>
      </c>
      <c r="N30" s="32" t="s">
        <v>1591</v>
      </c>
      <c r="O30" s="32"/>
      <c r="P30" s="32"/>
      <c r="Q30" s="32"/>
      <c r="R30" s="32"/>
      <c r="S30" s="55"/>
      <c r="T30" s="6"/>
      <c r="U30" s="6"/>
      <c r="V30" s="6"/>
      <c r="W30" s="6"/>
      <c r="X30" s="6"/>
      <c r="Y30" s="6"/>
      <c r="Z30" s="6"/>
      <c r="AA30" s="48"/>
    </row>
    <row r="31" spans="1:27" ht="13.5" customHeight="1" x14ac:dyDescent="0.2">
      <c r="A31" s="153"/>
      <c r="B31" s="136"/>
      <c r="C31" s="124" t="s">
        <v>1226</v>
      </c>
      <c r="D31" s="28"/>
      <c r="E31" s="28"/>
      <c r="F31" s="28"/>
      <c r="G31" s="28"/>
      <c r="H31" s="28"/>
      <c r="I31" s="54"/>
      <c r="J31" s="148" t="s">
        <v>2076</v>
      </c>
      <c r="K31" s="40" t="s">
        <v>939</v>
      </c>
      <c r="L31" s="102"/>
      <c r="M31" s="40" t="s">
        <v>101</v>
      </c>
      <c r="N31" s="32" t="s">
        <v>1681</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562</v>
      </c>
      <c r="D34" s="31"/>
      <c r="E34" s="31"/>
      <c r="F34" s="31"/>
      <c r="G34" s="31"/>
      <c r="H34" s="31"/>
      <c r="I34" s="54"/>
      <c r="J34" s="83"/>
      <c r="L34" s="101"/>
      <c r="M34" s="93" t="s">
        <v>730</v>
      </c>
      <c r="N34" s="30"/>
      <c r="O34" s="30"/>
      <c r="P34" s="30"/>
      <c r="Q34" s="30"/>
      <c r="R34" s="30"/>
      <c r="S34" s="55"/>
      <c r="T34" s="30"/>
      <c r="U34" s="102"/>
      <c r="V34" s="32" t="s">
        <v>435</v>
      </c>
      <c r="W34" s="30"/>
      <c r="X34" s="30"/>
      <c r="AA34" s="48"/>
    </row>
    <row r="35" spans="1:27" ht="13.5" customHeight="1" x14ac:dyDescent="0.2">
      <c r="A35" s="54"/>
      <c r="B35" s="30"/>
      <c r="C35" s="30"/>
      <c r="D35" s="34"/>
      <c r="E35" s="34"/>
      <c r="F35" s="34"/>
      <c r="G35" s="34"/>
      <c r="H35" s="34"/>
      <c r="I35" s="54"/>
      <c r="J35" s="33"/>
      <c r="L35" s="32" t="s">
        <v>731</v>
      </c>
      <c r="N35" s="33"/>
      <c r="O35" s="33"/>
      <c r="P35" s="2009"/>
      <c r="Q35" s="2006"/>
      <c r="R35" s="2006"/>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726</v>
      </c>
      <c r="B37" s="76"/>
      <c r="C37" s="76"/>
      <c r="D37" s="76"/>
      <c r="E37" s="76"/>
      <c r="F37" s="78"/>
      <c r="G37" s="76"/>
      <c r="H37" s="56"/>
      <c r="I37" s="85" t="s">
        <v>498</v>
      </c>
      <c r="J37" s="126"/>
      <c r="K37" s="126"/>
      <c r="L37" s="126"/>
      <c r="M37" s="126"/>
      <c r="N37" s="126"/>
      <c r="O37" s="126"/>
      <c r="P37" s="75"/>
      <c r="Q37" s="79"/>
      <c r="R37" s="67"/>
      <c r="S37" s="56"/>
      <c r="T37" s="91" t="s">
        <v>434</v>
      </c>
      <c r="U37" s="92"/>
      <c r="V37" s="92"/>
      <c r="W37" s="92"/>
      <c r="X37" s="78"/>
      <c r="Y37" s="77"/>
      <c r="Z37" s="45"/>
      <c r="AA37" s="46"/>
    </row>
    <row r="38" spans="1:27" ht="13.5" customHeight="1" x14ac:dyDescent="0.2">
      <c r="A38" s="2038" t="s">
        <v>2083</v>
      </c>
      <c r="B38" s="2039"/>
      <c r="C38" s="2039"/>
      <c r="D38" s="2039"/>
      <c r="E38" s="2039"/>
      <c r="F38" s="2006"/>
      <c r="G38" s="2006"/>
      <c r="H38" s="2007"/>
      <c r="I38" s="2058"/>
      <c r="J38" s="1977"/>
      <c r="K38" s="1977"/>
      <c r="L38" s="1977"/>
      <c r="M38" s="1977"/>
      <c r="N38" s="1977"/>
      <c r="O38" s="1977"/>
      <c r="P38" s="1978"/>
      <c r="Q38" s="1978"/>
      <c r="R38" s="1978"/>
      <c r="S38" s="1979"/>
      <c r="T38" s="1976"/>
      <c r="U38" s="1977"/>
      <c r="V38" s="1977"/>
      <c r="W38" s="1977"/>
      <c r="X38" s="1978"/>
      <c r="Y38" s="1978"/>
      <c r="Z38" s="1978"/>
      <c r="AA38" s="1979"/>
    </row>
    <row r="39" spans="1:27" ht="12" customHeight="1" x14ac:dyDescent="0.2">
      <c r="A39" s="2062" t="s">
        <v>551</v>
      </c>
      <c r="B39" s="2063"/>
      <c r="C39" s="72"/>
      <c r="D39" s="69"/>
      <c r="E39" s="69"/>
      <c r="F39" s="79"/>
      <c r="G39" s="69"/>
      <c r="H39" s="56"/>
      <c r="I39" s="2062" t="s">
        <v>551</v>
      </c>
      <c r="J39" s="2063"/>
      <c r="K39" s="2063"/>
      <c r="L39" s="2063"/>
      <c r="M39" s="2063"/>
      <c r="N39" s="67"/>
      <c r="O39" s="72"/>
      <c r="P39" s="72"/>
      <c r="Q39" s="78"/>
      <c r="R39" s="72"/>
      <c r="S39" s="56"/>
      <c r="T39" s="72" t="s">
        <v>551</v>
      </c>
      <c r="U39" s="51"/>
      <c r="V39" s="72"/>
      <c r="W39" s="50"/>
      <c r="X39" s="78"/>
      <c r="Y39" s="45"/>
      <c r="Z39" s="45"/>
      <c r="AA39" s="46"/>
    </row>
    <row r="40" spans="1:27" ht="13.5" customHeight="1" x14ac:dyDescent="0.2">
      <c r="A40" s="2065" t="s">
        <v>2084</v>
      </c>
      <c r="B40" s="2066"/>
      <c r="C40" s="2067"/>
      <c r="D40" s="2067"/>
      <c r="E40" s="2067"/>
      <c r="F40" s="2068"/>
      <c r="G40" s="2068"/>
      <c r="H40" s="2069"/>
      <c r="I40" s="1980"/>
      <c r="J40" s="1982"/>
      <c r="K40" s="1982"/>
      <c r="L40" s="1982"/>
      <c r="M40" s="1982"/>
      <c r="N40" s="1982"/>
      <c r="O40" s="1982"/>
      <c r="P40" s="1982"/>
      <c r="Q40" s="1982"/>
      <c r="R40" s="1982"/>
      <c r="S40" s="1983"/>
      <c r="T40" s="1980"/>
      <c r="U40" s="1981"/>
      <c r="V40" s="1982"/>
      <c r="W40" s="1982"/>
      <c r="X40" s="1982"/>
      <c r="Y40" s="1982"/>
      <c r="Z40" s="1982"/>
      <c r="AA40" s="1983"/>
    </row>
    <row r="41" spans="1:27" ht="11.45" customHeight="1" x14ac:dyDescent="0.2">
      <c r="A41" s="89" t="s">
        <v>982</v>
      </c>
      <c r="B41" s="76"/>
      <c r="C41" s="76"/>
      <c r="D41" s="85" t="s">
        <v>983</v>
      </c>
      <c r="E41" s="72"/>
      <c r="F41" s="78"/>
      <c r="G41" s="76"/>
      <c r="H41" s="71"/>
      <c r="I41" s="90" t="s">
        <v>982</v>
      </c>
      <c r="J41" s="32"/>
      <c r="K41" s="31"/>
      <c r="L41" s="31"/>
      <c r="M41" s="31"/>
      <c r="N41" s="31"/>
      <c r="O41" s="31"/>
      <c r="P41" s="85" t="s">
        <v>983</v>
      </c>
      <c r="Q41" s="32"/>
      <c r="R41" s="31"/>
      <c r="S41" s="70"/>
      <c r="T41" s="72" t="s">
        <v>982</v>
      </c>
      <c r="U41" s="76"/>
      <c r="V41" s="76"/>
      <c r="W41" s="76"/>
      <c r="X41" s="85" t="s">
        <v>983</v>
      </c>
      <c r="Y41" s="80"/>
      <c r="Z41" s="81"/>
      <c r="AA41" s="82"/>
    </row>
    <row r="42" spans="1:27" ht="13.5" customHeight="1" x14ac:dyDescent="0.2">
      <c r="A42" s="2055" t="s">
        <v>2085</v>
      </c>
      <c r="B42" s="2056"/>
      <c r="C42" s="2057"/>
      <c r="D42" s="2070" t="s">
        <v>2086</v>
      </c>
      <c r="E42" s="2056"/>
      <c r="F42" s="2056"/>
      <c r="G42" s="2056"/>
      <c r="H42" s="2057"/>
      <c r="I42" s="1975"/>
      <c r="J42" s="1971"/>
      <c r="K42" s="1971"/>
      <c r="L42" s="1971"/>
      <c r="M42" s="1971"/>
      <c r="N42" s="1971"/>
      <c r="O42" s="1972"/>
      <c r="P42" s="1970"/>
      <c r="Q42" s="1971"/>
      <c r="R42" s="1971"/>
      <c r="S42" s="1972"/>
      <c r="T42" s="1975"/>
      <c r="U42" s="1971"/>
      <c r="V42" s="1971"/>
      <c r="W42" s="1972"/>
      <c r="X42" s="1970"/>
      <c r="Y42" s="1971"/>
      <c r="Z42" s="1971"/>
      <c r="AA42" s="1972"/>
    </row>
    <row r="43" spans="1:27" x14ac:dyDescent="0.2">
      <c r="A43" s="85" t="s">
        <v>984</v>
      </c>
      <c r="B43" s="76"/>
      <c r="C43" s="76"/>
      <c r="D43" s="76"/>
      <c r="E43" s="76"/>
      <c r="F43" s="76"/>
      <c r="G43" s="76"/>
      <c r="H43" s="53"/>
      <c r="I43" s="72" t="s">
        <v>984</v>
      </c>
      <c r="J43" s="76"/>
      <c r="K43" s="76"/>
      <c r="L43" s="76"/>
      <c r="M43" s="76"/>
      <c r="N43" s="76"/>
      <c r="O43" s="76"/>
      <c r="P43" s="76"/>
      <c r="Q43" s="76"/>
      <c r="R43" s="76"/>
      <c r="S43" s="53"/>
      <c r="T43" s="50" t="s">
        <v>984</v>
      </c>
      <c r="U43" s="51"/>
      <c r="V43" s="51"/>
      <c r="W43" s="51"/>
      <c r="X43" s="51"/>
      <c r="Y43" s="45"/>
      <c r="Z43" s="45"/>
      <c r="AA43" s="46"/>
    </row>
    <row r="44" spans="1:27" ht="13.5" customHeight="1" x14ac:dyDescent="0.2">
      <c r="A44" s="2059"/>
      <c r="B44" s="2060"/>
      <c r="C44" s="2060"/>
      <c r="D44" s="2060"/>
      <c r="E44" s="2060"/>
      <c r="F44" s="2060"/>
      <c r="G44" s="2060"/>
      <c r="H44" s="2061"/>
      <c r="I44" s="2051"/>
      <c r="J44" s="2053"/>
      <c r="K44" s="2053"/>
      <c r="L44" s="2053"/>
      <c r="M44" s="2053"/>
      <c r="N44" s="2053"/>
      <c r="O44" s="2053"/>
      <c r="P44" s="2053"/>
      <c r="Q44" s="2053"/>
      <c r="R44" s="2053"/>
      <c r="S44" s="2054"/>
      <c r="T44" s="2051"/>
      <c r="U44" s="2052"/>
      <c r="V44" s="2052"/>
      <c r="W44" s="2052"/>
      <c r="X44" s="2052"/>
      <c r="Y44" s="2052"/>
      <c r="Z44" s="2053"/>
      <c r="AA44" s="2054"/>
    </row>
    <row r="45" spans="1:27" ht="13.5" customHeight="1" x14ac:dyDescent="0.2">
      <c r="A45" s="41" t="s">
        <v>195</v>
      </c>
      <c r="Q45" s="41" t="s">
        <v>1490</v>
      </c>
      <c r="R45" s="41"/>
      <c r="S45" s="41"/>
      <c r="T45" s="147"/>
      <c r="U45" s="41"/>
      <c r="V45" s="41"/>
      <c r="W45" s="41"/>
      <c r="X45" s="41"/>
      <c r="Y45" s="41"/>
      <c r="Z45" s="41"/>
      <c r="AA45" s="41"/>
    </row>
    <row r="46" spans="1:27" ht="10.5" customHeight="1" x14ac:dyDescent="0.2">
      <c r="A46" s="42" t="s">
        <v>1686</v>
      </c>
      <c r="D46" s="41"/>
      <c r="E46" s="41"/>
      <c r="F46" s="41"/>
      <c r="G46" s="41"/>
      <c r="Q46" s="29" t="s">
        <v>1491</v>
      </c>
      <c r="R46" s="41"/>
      <c r="S46" s="41"/>
      <c r="T46" s="41"/>
      <c r="U46" s="41"/>
      <c r="V46" s="41"/>
      <c r="W46" s="41"/>
      <c r="X46" s="41"/>
      <c r="Y46" s="41"/>
      <c r="Z46" s="41"/>
      <c r="AA46" s="41"/>
    </row>
    <row r="47" spans="1:27" x14ac:dyDescent="0.2">
      <c r="A47" s="137"/>
      <c r="Q47" s="41" t="s">
        <v>2063</v>
      </c>
      <c r="R47" s="41"/>
      <c r="S47" s="41"/>
      <c r="T47" s="41"/>
      <c r="U47" s="41"/>
      <c r="V47" s="41"/>
      <c r="W47" s="41"/>
      <c r="X47" s="41"/>
      <c r="Y47" s="41"/>
      <c r="Z47" s="41"/>
      <c r="AA47" s="41"/>
    </row>
    <row r="48" spans="1:27" x14ac:dyDescent="0.2">
      <c r="Q48" s="41" t="s">
        <v>2064</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4"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activeCell="E13" sqref="E13"/>
    </sheetView>
  </sheetViews>
  <sheetFormatPr defaultColWidth="9.140625"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96" t="s">
        <v>106</v>
      </c>
    </row>
    <row r="2" spans="1:6" ht="39.75" customHeight="1" x14ac:dyDescent="0.2">
      <c r="A2" s="2208" t="s">
        <v>1901</v>
      </c>
      <c r="B2" s="1541" t="s">
        <v>2033</v>
      </c>
      <c r="C2" s="715" t="s">
        <v>1906</v>
      </c>
      <c r="D2" s="715" t="s">
        <v>1907</v>
      </c>
      <c r="E2" s="715" t="s">
        <v>1908</v>
      </c>
      <c r="F2" s="715" t="s">
        <v>1909</v>
      </c>
    </row>
    <row r="3" spans="1:6" ht="12" customHeight="1" x14ac:dyDescent="0.2">
      <c r="A3" s="2209"/>
      <c r="B3" s="1538"/>
      <c r="C3" s="1539"/>
      <c r="D3" s="1540" t="s">
        <v>274</v>
      </c>
      <c r="E3" s="1539"/>
      <c r="F3" s="1540" t="s">
        <v>275</v>
      </c>
    </row>
    <row r="4" spans="1:6" ht="13.7" customHeight="1" x14ac:dyDescent="0.2">
      <c r="A4" s="716" t="s">
        <v>1216</v>
      </c>
      <c r="B4" s="1760">
        <f>'Revenues 9-14'!C5</f>
        <v>5589683</v>
      </c>
      <c r="C4" s="1537"/>
      <c r="D4" s="1763">
        <f>B4-C4</f>
        <v>5589683</v>
      </c>
      <c r="E4" s="1537">
        <f>5509835+147411-1</f>
        <v>5657245</v>
      </c>
      <c r="F4" s="1763">
        <f>E4-C4</f>
        <v>5657245</v>
      </c>
    </row>
    <row r="5" spans="1:6" ht="13.7" customHeight="1" x14ac:dyDescent="0.2">
      <c r="A5" s="716" t="s">
        <v>924</v>
      </c>
      <c r="B5" s="1761">
        <f>'Revenues 9-14'!D5</f>
        <v>1518936</v>
      </c>
      <c r="C5" s="585"/>
      <c r="D5" s="1764">
        <f t="shared" ref="D5:D18" si="0">B5-C5</f>
        <v>1518936</v>
      </c>
      <c r="E5" s="585">
        <f>1497238+40057</f>
        <v>1537295</v>
      </c>
      <c r="F5" s="1764">
        <f>E5-C5</f>
        <v>1537295</v>
      </c>
    </row>
    <row r="6" spans="1:6" ht="13.7" customHeight="1" x14ac:dyDescent="0.2">
      <c r="A6" s="716" t="s">
        <v>430</v>
      </c>
      <c r="B6" s="1761">
        <f>'Revenues 9-14'!E5</f>
        <v>3124947</v>
      </c>
      <c r="C6" s="585"/>
      <c r="D6" s="1764">
        <f t="shared" si="0"/>
        <v>3124947</v>
      </c>
      <c r="E6" s="585">
        <f>41822+8860+3921+12624+10374+2902755+149724+4006-1</f>
        <v>3134085</v>
      </c>
      <c r="F6" s="1764">
        <f t="shared" ref="F6:F18" si="1">E6-C6</f>
        <v>3134085</v>
      </c>
    </row>
    <row r="7" spans="1:6" ht="13.7" customHeight="1" x14ac:dyDescent="0.2">
      <c r="A7" s="716" t="s">
        <v>157</v>
      </c>
      <c r="B7" s="1761">
        <f>'Revenues 9-14'!F5</f>
        <v>607580</v>
      </c>
      <c r="C7" s="585"/>
      <c r="D7" s="1764">
        <f t="shared" si="0"/>
        <v>607580</v>
      </c>
      <c r="E7" s="585">
        <f>598895+16023</f>
        <v>614918</v>
      </c>
      <c r="F7" s="1764">
        <f t="shared" si="1"/>
        <v>614918</v>
      </c>
    </row>
    <row r="8" spans="1:6" ht="13.7" customHeight="1" x14ac:dyDescent="0.2">
      <c r="A8" s="716" t="s">
        <v>1240</v>
      </c>
      <c r="B8" s="1761">
        <f>'Revenues 9-14'!G5</f>
        <v>657392</v>
      </c>
      <c r="C8" s="585"/>
      <c r="D8" s="1764">
        <f t="shared" si="0"/>
        <v>657392</v>
      </c>
      <c r="E8" s="585">
        <f>584791+15646</f>
        <v>600437</v>
      </c>
      <c r="F8" s="1764">
        <f t="shared" si="1"/>
        <v>600437</v>
      </c>
    </row>
    <row r="9" spans="1:6" ht="13.7" customHeight="1" x14ac:dyDescent="0.2">
      <c r="A9" s="716" t="s">
        <v>427</v>
      </c>
      <c r="B9" s="1761">
        <f>'Revenues 9-14'!H5</f>
        <v>0</v>
      </c>
      <c r="C9" s="585"/>
      <c r="D9" s="1764">
        <f t="shared" si="0"/>
        <v>0</v>
      </c>
      <c r="E9" s="585"/>
      <c r="F9" s="1764">
        <f t="shared" si="1"/>
        <v>0</v>
      </c>
    </row>
    <row r="10" spans="1:6" ht="13.7" customHeight="1" x14ac:dyDescent="0.2">
      <c r="A10" s="716" t="s">
        <v>426</v>
      </c>
      <c r="B10" s="1761">
        <f>'Revenues 9-14'!I5</f>
        <v>151888</v>
      </c>
      <c r="C10" s="585"/>
      <c r="D10" s="1764">
        <f t="shared" si="0"/>
        <v>151888</v>
      </c>
      <c r="E10" s="585">
        <f>149724+4006-1</f>
        <v>153729</v>
      </c>
      <c r="F10" s="1764">
        <f t="shared" si="1"/>
        <v>153729</v>
      </c>
    </row>
    <row r="11" spans="1:6" x14ac:dyDescent="0.2">
      <c r="A11" s="716" t="s">
        <v>428</v>
      </c>
      <c r="B11" s="1761">
        <f>'Revenues 9-14'!J5</f>
        <v>1490807</v>
      </c>
      <c r="C11" s="585"/>
      <c r="D11" s="1764">
        <f t="shared" si="0"/>
        <v>1490807</v>
      </c>
      <c r="E11" s="585">
        <f>1460915+39085</f>
        <v>1500000</v>
      </c>
      <c r="F11" s="1764">
        <f t="shared" si="1"/>
        <v>1500000</v>
      </c>
    </row>
    <row r="12" spans="1:6" ht="13.7" customHeight="1" x14ac:dyDescent="0.2">
      <c r="A12" s="716" t="s">
        <v>159</v>
      </c>
      <c r="B12" s="1761">
        <f>'Revenues 9-14'!K5</f>
        <v>151888</v>
      </c>
      <c r="C12" s="585"/>
      <c r="D12" s="1764">
        <f t="shared" si="0"/>
        <v>151888</v>
      </c>
      <c r="E12" s="585">
        <f>149724+4006-1</f>
        <v>153729</v>
      </c>
      <c r="F12" s="1764">
        <f t="shared" si="1"/>
        <v>153729</v>
      </c>
    </row>
    <row r="13" spans="1:6" ht="13.7" customHeight="1" x14ac:dyDescent="0.2">
      <c r="A13" s="716" t="s">
        <v>992</v>
      </c>
      <c r="B13" s="1761">
        <f>SUM('Revenues 9-14'!C6:D6)</f>
        <v>0</v>
      </c>
      <c r="C13" s="585"/>
      <c r="D13" s="1764">
        <f t="shared" si="0"/>
        <v>0</v>
      </c>
      <c r="E13" s="585"/>
      <c r="F13" s="1764">
        <f t="shared" si="1"/>
        <v>0</v>
      </c>
    </row>
    <row r="14" spans="1:6" ht="13.7" customHeight="1" x14ac:dyDescent="0.2">
      <c r="A14" s="716" t="s">
        <v>429</v>
      </c>
      <c r="B14" s="1761">
        <f>SUM('Revenues 9-14'!C7:D7,'Revenues 9-14'!F7:H7)</f>
        <v>121519</v>
      </c>
      <c r="C14" s="585"/>
      <c r="D14" s="1764">
        <f t="shared" si="0"/>
        <v>121519</v>
      </c>
      <c r="E14" s="585">
        <f>119779+3205</f>
        <v>122984</v>
      </c>
      <c r="F14" s="1764">
        <f t="shared" si="1"/>
        <v>122984</v>
      </c>
    </row>
    <row r="15" spans="1:6" ht="13.7" customHeight="1" x14ac:dyDescent="0.2">
      <c r="A15" s="716" t="s">
        <v>1219</v>
      </c>
      <c r="B15" s="1761">
        <f>'Revenues 9-14'!E9</f>
        <v>0</v>
      </c>
      <c r="C15" s="585"/>
      <c r="D15" s="1764">
        <f t="shared" si="0"/>
        <v>0</v>
      </c>
      <c r="E15" s="585"/>
      <c r="F15" s="1764">
        <f t="shared" si="1"/>
        <v>0</v>
      </c>
    </row>
    <row r="16" spans="1:6" ht="13.7" customHeight="1" x14ac:dyDescent="0.2">
      <c r="A16" s="716" t="s">
        <v>1220</v>
      </c>
      <c r="B16" s="1761">
        <f>'Revenues 9-14'!G8</f>
        <v>514233</v>
      </c>
      <c r="C16" s="585"/>
      <c r="D16" s="1764">
        <f t="shared" si="0"/>
        <v>514233</v>
      </c>
      <c r="E16" s="585">
        <f>426982+11424</f>
        <v>438406</v>
      </c>
      <c r="F16" s="1764">
        <f t="shared" si="1"/>
        <v>438406</v>
      </c>
    </row>
    <row r="17" spans="1:6" ht="13.7" customHeight="1" x14ac:dyDescent="0.2">
      <c r="A17" s="716" t="s">
        <v>1221</v>
      </c>
      <c r="B17" s="1761">
        <f>'Revenues 9-14'!C10</f>
        <v>0</v>
      </c>
      <c r="C17" s="585"/>
      <c r="D17" s="1764">
        <f t="shared" si="0"/>
        <v>0</v>
      </c>
      <c r="E17" s="585"/>
      <c r="F17" s="1764">
        <f t="shared" si="1"/>
        <v>0</v>
      </c>
    </row>
    <row r="18" spans="1:6" ht="13.7" customHeight="1" x14ac:dyDescent="0.2">
      <c r="A18" s="716" t="s">
        <v>785</v>
      </c>
      <c r="B18" s="1761">
        <f>SUM('Revenues 9-14'!C11:K11)</f>
        <v>0</v>
      </c>
      <c r="C18" s="585"/>
      <c r="D18" s="1764">
        <f t="shared" si="0"/>
        <v>0</v>
      </c>
      <c r="E18" s="585"/>
      <c r="F18" s="1764">
        <f t="shared" si="1"/>
        <v>0</v>
      </c>
    </row>
    <row r="19" spans="1:6" ht="13.7" customHeight="1" thickBot="1" x14ac:dyDescent="0.25">
      <c r="A19" s="1765" t="s">
        <v>1222</v>
      </c>
      <c r="B19" s="1762">
        <f>SUM(B4:B18)</f>
        <v>13928873</v>
      </c>
      <c r="C19" s="1762">
        <f>SUM(C4:C18)</f>
        <v>0</v>
      </c>
      <c r="D19" s="1762">
        <f>SUM(D4:D18)</f>
        <v>13928873</v>
      </c>
      <c r="E19" s="1762">
        <f>SUM(E4:E18)</f>
        <v>13912828</v>
      </c>
      <c r="F19" s="1762">
        <f>SUM(F4:F18)</f>
        <v>13912828</v>
      </c>
    </row>
    <row r="20" spans="1:6" ht="13.5" thickTop="1" x14ac:dyDescent="0.2">
      <c r="B20" s="714"/>
      <c r="F20" s="717"/>
    </row>
    <row r="21" spans="1:6" x14ac:dyDescent="0.2">
      <c r="A21" s="718" t="s">
        <v>1911</v>
      </c>
      <c r="B21" s="719"/>
      <c r="F21" s="717"/>
    </row>
    <row r="22" spans="1:6" x14ac:dyDescent="0.2">
      <c r="A22" s="720" t="s">
        <v>648</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4" type="noConversion"/>
  <printOptions headings="1" gridLinesSet="0"/>
  <pageMargins left="0.25" right="0.15" top="1.65" bottom="0.52" header="0.44" footer="0.17"/>
  <pageSetup firstPageNumber="23" orientation="landscape" useFirstPageNumber="1" r:id="rId1"/>
  <headerFooter>
    <oddHeader>&amp;L&amp;8Page &amp;P&amp;R&amp;8Page &amp;P</oddHeader>
    <oddFooter>&amp;L&amp;8See Notes to Financial Statements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28" colorId="8" zoomScale="110" zoomScaleNormal="110" workbookViewId="0">
      <selection activeCell="F55" sqref="F55"/>
    </sheetView>
  </sheetViews>
  <sheetFormatPr defaultColWidth="9.140625" defaultRowHeight="12.75" x14ac:dyDescent="0.2"/>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14" t="s">
        <v>649</v>
      </c>
      <c r="B1" s="2215"/>
      <c r="C1" s="722"/>
    </row>
    <row r="2" spans="1:7" ht="33.75" x14ac:dyDescent="0.2">
      <c r="A2" s="2223" t="s">
        <v>1901</v>
      </c>
      <c r="B2" s="2224"/>
      <c r="C2" s="1897" t="s">
        <v>2034</v>
      </c>
      <c r="D2" s="724" t="s">
        <v>2041</v>
      </c>
      <c r="E2" s="724" t="s">
        <v>2042</v>
      </c>
      <c r="F2" s="1897" t="s">
        <v>2035</v>
      </c>
    </row>
    <row r="3" spans="1:7" ht="15.75" customHeight="1" x14ac:dyDescent="0.2">
      <c r="A3" s="2227" t="s">
        <v>1175</v>
      </c>
      <c r="B3" s="2228"/>
      <c r="C3" s="2216"/>
      <c r="D3" s="2217"/>
      <c r="E3" s="2217"/>
      <c r="F3" s="2218"/>
    </row>
    <row r="4" spans="1:7" ht="12.75" customHeight="1" thickBot="1" x14ac:dyDescent="0.25">
      <c r="A4" s="2225" t="s">
        <v>650</v>
      </c>
      <c r="B4" s="2226"/>
      <c r="C4" s="581"/>
      <c r="D4" s="581"/>
      <c r="E4" s="581"/>
      <c r="F4" s="1766">
        <f>SUM(C4+D4)-E4</f>
        <v>0</v>
      </c>
    </row>
    <row r="5" spans="1:7" ht="15.75" customHeight="1" thickTop="1" x14ac:dyDescent="0.2">
      <c r="A5" s="2210" t="s">
        <v>1171</v>
      </c>
      <c r="B5" s="2211"/>
      <c r="C5" s="2219"/>
      <c r="D5" s="2220"/>
      <c r="E5" s="2220"/>
      <c r="F5" s="2221"/>
    </row>
    <row r="6" spans="1:7" ht="12.75" customHeight="1" thickBot="1" x14ac:dyDescent="0.25">
      <c r="A6" s="725" t="s">
        <v>66</v>
      </c>
      <c r="B6" s="726"/>
      <c r="C6" s="727"/>
      <c r="D6" s="585"/>
      <c r="E6" s="727"/>
      <c r="F6" s="1766">
        <f t="shared" ref="F6:F14" si="0">SUM(C6+D6)-E6</f>
        <v>0</v>
      </c>
    </row>
    <row r="7" spans="1:7" ht="12.75" customHeight="1" thickTop="1" thickBot="1" x14ac:dyDescent="0.25">
      <c r="A7" s="725" t="s">
        <v>6</v>
      </c>
      <c r="B7" s="726"/>
      <c r="C7" s="727"/>
      <c r="D7" s="585"/>
      <c r="E7" s="727"/>
      <c r="F7" s="1766">
        <f t="shared" si="0"/>
        <v>0</v>
      </c>
    </row>
    <row r="8" spans="1:7" ht="12.75" customHeight="1" thickTop="1" thickBot="1" x14ac:dyDescent="0.25">
      <c r="A8" s="725" t="s">
        <v>528</v>
      </c>
      <c r="B8" s="726"/>
      <c r="C8" s="727"/>
      <c r="D8" s="585"/>
      <c r="E8" s="727"/>
      <c r="F8" s="1766">
        <f t="shared" si="0"/>
        <v>0</v>
      </c>
    </row>
    <row r="9" spans="1:7" ht="12.75" customHeight="1" thickTop="1" thickBot="1" x14ac:dyDescent="0.25">
      <c r="A9" s="725" t="s">
        <v>529</v>
      </c>
      <c r="B9" s="726"/>
      <c r="C9" s="727"/>
      <c r="D9" s="585"/>
      <c r="E9" s="727"/>
      <c r="F9" s="1766">
        <f t="shared" si="0"/>
        <v>0</v>
      </c>
    </row>
    <row r="10" spans="1:7" ht="12.75" customHeight="1" thickTop="1" thickBot="1" x14ac:dyDescent="0.25">
      <c r="A10" s="725" t="s">
        <v>530</v>
      </c>
      <c r="B10" s="726"/>
      <c r="C10" s="727"/>
      <c r="D10" s="585"/>
      <c r="E10" s="727"/>
      <c r="F10" s="1766">
        <f t="shared" si="0"/>
        <v>0</v>
      </c>
    </row>
    <row r="11" spans="1:7" ht="12.75" customHeight="1" thickTop="1" thickBot="1" x14ac:dyDescent="0.25">
      <c r="A11" s="725" t="s">
        <v>358</v>
      </c>
      <c r="B11" s="726"/>
      <c r="C11" s="727"/>
      <c r="D11" s="585"/>
      <c r="E11" s="727"/>
      <c r="F11" s="1766">
        <f t="shared" si="0"/>
        <v>0</v>
      </c>
    </row>
    <row r="12" spans="1:7" ht="12.75" customHeight="1" thickTop="1" thickBot="1" x14ac:dyDescent="0.25">
      <c r="A12" s="725" t="s">
        <v>1218</v>
      </c>
      <c r="B12" s="726"/>
      <c r="C12" s="727"/>
      <c r="D12" s="585"/>
      <c r="E12" s="727"/>
      <c r="F12" s="1766">
        <f t="shared" si="0"/>
        <v>0</v>
      </c>
    </row>
    <row r="13" spans="1:7" ht="12.75" customHeight="1" thickTop="1" thickBot="1" x14ac:dyDescent="0.25">
      <c r="A13" s="725" t="s">
        <v>405</v>
      </c>
      <c r="B13" s="726"/>
      <c r="C13" s="727"/>
      <c r="D13" s="585"/>
      <c r="E13" s="727"/>
      <c r="F13" s="1766">
        <f t="shared" si="0"/>
        <v>0</v>
      </c>
    </row>
    <row r="14" spans="1:7" ht="12.75" customHeight="1" thickTop="1" thickBot="1" x14ac:dyDescent="0.25">
      <c r="A14" s="725" t="s">
        <v>467</v>
      </c>
      <c r="B14" s="726"/>
      <c r="C14" s="727"/>
      <c r="D14" s="585"/>
      <c r="E14" s="727"/>
      <c r="F14" s="1766">
        <f t="shared" si="0"/>
        <v>0</v>
      </c>
    </row>
    <row r="15" spans="1:7" ht="14.25" thickTop="1" thickBot="1" x14ac:dyDescent="0.25">
      <c r="A15" s="2212" t="s">
        <v>651</v>
      </c>
      <c r="B15" s="2213"/>
      <c r="C15" s="1766">
        <f>SUM(C6:C14)</f>
        <v>0</v>
      </c>
      <c r="D15" s="1766">
        <f>SUM(D6:D14)</f>
        <v>0</v>
      </c>
      <c r="E15" s="1766">
        <f>SUM(E6:E14)</f>
        <v>0</v>
      </c>
      <c r="F15" s="1766">
        <f>SUM(F6:F14)</f>
        <v>0</v>
      </c>
      <c r="G15" s="552"/>
    </row>
    <row r="16" spans="1:7" s="202" customFormat="1" ht="15.75" customHeight="1" thickTop="1" x14ac:dyDescent="0.2">
      <c r="A16" s="2222" t="s">
        <v>1172</v>
      </c>
      <c r="B16" s="2211"/>
      <c r="C16" s="2219"/>
      <c r="D16" s="2220"/>
      <c r="E16" s="2220"/>
      <c r="F16" s="2221"/>
    </row>
    <row r="17" spans="1:11" ht="12.75" customHeight="1" thickBot="1" x14ac:dyDescent="0.25">
      <c r="A17" s="2235" t="s">
        <v>66</v>
      </c>
      <c r="B17" s="2236"/>
      <c r="C17" s="727"/>
      <c r="D17" s="585"/>
      <c r="E17" s="727"/>
      <c r="F17" s="1766">
        <f>SUM(C17+D17)-E17</f>
        <v>0</v>
      </c>
    </row>
    <row r="18" spans="1:11" ht="12.75" customHeight="1" thickTop="1" thickBot="1" x14ac:dyDescent="0.25">
      <c r="A18" s="2235" t="s">
        <v>6</v>
      </c>
      <c r="B18" s="2236"/>
      <c r="C18" s="727"/>
      <c r="D18" s="585"/>
      <c r="E18" s="727"/>
      <c r="F18" s="1766">
        <f>SUM(C18+D18)-E18</f>
        <v>0</v>
      </c>
    </row>
    <row r="19" spans="1:11" ht="12.75" customHeight="1" thickTop="1" thickBot="1" x14ac:dyDescent="0.25">
      <c r="A19" s="2235" t="s">
        <v>405</v>
      </c>
      <c r="B19" s="2236"/>
      <c r="C19" s="727"/>
      <c r="D19" s="585"/>
      <c r="E19" s="727"/>
      <c r="F19" s="1766">
        <f>SUM(C19+D19)-E19</f>
        <v>0</v>
      </c>
    </row>
    <row r="20" spans="1:11" ht="12.75" customHeight="1" thickTop="1" thickBot="1" x14ac:dyDescent="0.25">
      <c r="A20" s="2235" t="s">
        <v>467</v>
      </c>
      <c r="B20" s="2236"/>
      <c r="C20" s="727"/>
      <c r="D20" s="585"/>
      <c r="E20" s="727"/>
      <c r="F20" s="1766">
        <f>SUM(C20+D20)-E20</f>
        <v>0</v>
      </c>
    </row>
    <row r="21" spans="1:11" ht="14.25" thickTop="1" thickBot="1" x14ac:dyDescent="0.25">
      <c r="A21" s="2212" t="s">
        <v>652</v>
      </c>
      <c r="B21" s="2213"/>
      <c r="C21" s="1766">
        <f>SUM(C17:C20)</f>
        <v>0</v>
      </c>
      <c r="D21" s="1766">
        <f>SUM(D17:D20)</f>
        <v>0</v>
      </c>
      <c r="E21" s="1766">
        <f>SUM(E17:E20)</f>
        <v>0</v>
      </c>
      <c r="F21" s="1766">
        <f>SUM(F17:F20)</f>
        <v>0</v>
      </c>
      <c r="G21" s="552"/>
    </row>
    <row r="22" spans="1:11" ht="15.75" customHeight="1" thickTop="1" x14ac:dyDescent="0.2">
      <c r="A22" s="2237" t="s">
        <v>1173</v>
      </c>
      <c r="B22" s="2211"/>
      <c r="C22" s="2219"/>
      <c r="D22" s="2220"/>
      <c r="E22" s="2220"/>
      <c r="F22" s="2221"/>
    </row>
    <row r="23" spans="1:11" ht="13.5" thickBot="1" x14ac:dyDescent="0.25">
      <c r="A23" s="2225" t="s">
        <v>653</v>
      </c>
      <c r="B23" s="2226"/>
      <c r="C23" s="581"/>
      <c r="D23" s="581"/>
      <c r="E23" s="581"/>
      <c r="F23" s="1766">
        <f>SUM(C23+D23)-E23</f>
        <v>0</v>
      </c>
      <c r="G23" s="552"/>
    </row>
    <row r="24" spans="1:11" ht="15.75" customHeight="1" thickTop="1" x14ac:dyDescent="0.2">
      <c r="A24" s="2237" t="s">
        <v>1174</v>
      </c>
      <c r="B24" s="2211"/>
      <c r="C24" s="2219"/>
      <c r="D24" s="2220"/>
      <c r="E24" s="2220"/>
      <c r="F24" s="2221"/>
    </row>
    <row r="25" spans="1:11" ht="13.5" thickBot="1" x14ac:dyDescent="0.25">
      <c r="A25" s="2225" t="s">
        <v>654</v>
      </c>
      <c r="B25" s="2226"/>
      <c r="C25" s="581"/>
      <c r="D25" s="581"/>
      <c r="E25" s="581"/>
      <c r="F25" s="1766">
        <f>SUM(C25+D25)-E25</f>
        <v>0</v>
      </c>
      <c r="G25" s="552"/>
    </row>
    <row r="26" spans="1:11" ht="15.75" customHeight="1" thickTop="1" x14ac:dyDescent="0.2">
      <c r="A26" s="2210" t="s">
        <v>677</v>
      </c>
      <c r="B26" s="2211"/>
      <c r="C26" s="728"/>
      <c r="D26" s="728"/>
      <c r="E26" s="728"/>
      <c r="F26" s="729"/>
    </row>
    <row r="27" spans="1:11" ht="13.5" thickBot="1" x14ac:dyDescent="0.25">
      <c r="A27" s="2212" t="s">
        <v>1129</v>
      </c>
      <c r="B27" s="2213"/>
      <c r="C27" s="585"/>
      <c r="D27" s="585"/>
      <c r="E27" s="585"/>
      <c r="F27" s="1766">
        <f>SUM(C27+D27)-E27</f>
        <v>0</v>
      </c>
      <c r="G27" s="552"/>
    </row>
    <row r="28" spans="1:11" ht="7.5" customHeight="1" thickTop="1" x14ac:dyDescent="0.2">
      <c r="A28" s="594"/>
    </row>
    <row r="29" spans="1:11" ht="23.25" customHeight="1" x14ac:dyDescent="0.2">
      <c r="A29" s="2238" t="s">
        <v>602</v>
      </c>
      <c r="B29" s="2215"/>
      <c r="C29" s="730"/>
      <c r="D29" s="730"/>
      <c r="E29" s="730"/>
      <c r="F29" s="730"/>
      <c r="G29" s="730"/>
      <c r="H29" s="730"/>
      <c r="I29" s="730"/>
      <c r="J29" s="730"/>
    </row>
    <row r="30" spans="1:11" ht="33.75" x14ac:dyDescent="0.2">
      <c r="A30" s="1542" t="s">
        <v>1130</v>
      </c>
      <c r="B30" s="731" t="s">
        <v>1185</v>
      </c>
      <c r="C30" s="1898" t="s">
        <v>603</v>
      </c>
      <c r="D30" s="1898" t="s">
        <v>1771</v>
      </c>
      <c r="E30" s="1898" t="s">
        <v>2036</v>
      </c>
      <c r="F30" s="1898" t="s">
        <v>2037</v>
      </c>
      <c r="G30" s="1898" t="s">
        <v>2040</v>
      </c>
      <c r="H30" s="1898" t="s">
        <v>2038</v>
      </c>
      <c r="I30" s="1898" t="s">
        <v>2039</v>
      </c>
      <c r="J30" s="1899" t="s">
        <v>2</v>
      </c>
      <c r="K30" s="732"/>
    </row>
    <row r="31" spans="1:11" ht="12" customHeight="1" x14ac:dyDescent="0.2">
      <c r="A31" s="733" t="s">
        <v>2088</v>
      </c>
      <c r="B31" s="734">
        <v>37681</v>
      </c>
      <c r="C31" s="735">
        <v>10998430</v>
      </c>
      <c r="D31" s="736">
        <v>4</v>
      </c>
      <c r="E31" s="735">
        <v>2549223</v>
      </c>
      <c r="F31" s="735"/>
      <c r="G31" s="735"/>
      <c r="H31" s="735">
        <v>701797</v>
      </c>
      <c r="I31" s="1767">
        <f>((E31+F31)-H31)+G31</f>
        <v>1847426</v>
      </c>
      <c r="J31" s="735">
        <v>990478</v>
      </c>
      <c r="K31" s="737"/>
    </row>
    <row r="32" spans="1:11" ht="12" customHeight="1" x14ac:dyDescent="0.2">
      <c r="A32" s="733" t="s">
        <v>2089</v>
      </c>
      <c r="B32" s="734">
        <v>37825</v>
      </c>
      <c r="C32" s="735">
        <v>600000</v>
      </c>
      <c r="D32" s="736">
        <v>7</v>
      </c>
      <c r="E32" s="735">
        <v>600000</v>
      </c>
      <c r="F32" s="735"/>
      <c r="G32" s="735"/>
      <c r="H32" s="735"/>
      <c r="I32" s="1767">
        <f>((E32+F32)-H32)+G32</f>
        <v>600000</v>
      </c>
      <c r="J32" s="735">
        <v>600000</v>
      </c>
      <c r="K32" s="737"/>
    </row>
    <row r="33" spans="1:11" ht="12" customHeight="1" x14ac:dyDescent="0.2">
      <c r="A33" s="733" t="s">
        <v>2090</v>
      </c>
      <c r="B33" s="734">
        <v>38244</v>
      </c>
      <c r="C33" s="735">
        <v>3721571</v>
      </c>
      <c r="D33" s="736">
        <v>8</v>
      </c>
      <c r="E33" s="735">
        <v>1384001</v>
      </c>
      <c r="F33" s="735"/>
      <c r="G33" s="735"/>
      <c r="H33" s="735">
        <v>161399</v>
      </c>
      <c r="I33" s="1767">
        <f t="shared" ref="I33:I48" si="1">((E33+F33)-H33)+G33</f>
        <v>1222602</v>
      </c>
      <c r="J33" s="735">
        <v>1222602</v>
      </c>
      <c r="K33" s="737"/>
    </row>
    <row r="34" spans="1:11" ht="12" customHeight="1" x14ac:dyDescent="0.2">
      <c r="A34" s="733" t="s">
        <v>2091</v>
      </c>
      <c r="B34" s="734">
        <v>40330</v>
      </c>
      <c r="C34" s="735">
        <v>3590000</v>
      </c>
      <c r="D34" s="736">
        <v>3</v>
      </c>
      <c r="E34" s="735">
        <v>3590000</v>
      </c>
      <c r="F34" s="735"/>
      <c r="G34" s="735"/>
      <c r="H34" s="735"/>
      <c r="I34" s="1767">
        <f t="shared" si="1"/>
        <v>3590000</v>
      </c>
      <c r="J34" s="735">
        <v>3590000</v>
      </c>
      <c r="K34" s="738"/>
    </row>
    <row r="35" spans="1:11" ht="12" customHeight="1" x14ac:dyDescent="0.2">
      <c r="A35" s="733" t="s">
        <v>2092</v>
      </c>
      <c r="B35" s="734">
        <v>40724</v>
      </c>
      <c r="C35" s="739">
        <v>6500000</v>
      </c>
      <c r="D35" s="736">
        <v>8</v>
      </c>
      <c r="E35" s="739">
        <v>5330000</v>
      </c>
      <c r="F35" s="739"/>
      <c r="G35" s="739"/>
      <c r="H35" s="739">
        <v>265000</v>
      </c>
      <c r="I35" s="1767">
        <f t="shared" si="1"/>
        <v>5065000</v>
      </c>
      <c r="J35" s="739">
        <v>5065000</v>
      </c>
      <c r="K35" s="738"/>
    </row>
    <row r="36" spans="1:11" ht="12" customHeight="1" x14ac:dyDescent="0.2">
      <c r="A36" s="733" t="s">
        <v>2093</v>
      </c>
      <c r="B36" s="734">
        <v>42410</v>
      </c>
      <c r="C36" s="735">
        <v>1545000</v>
      </c>
      <c r="D36" s="736">
        <v>3</v>
      </c>
      <c r="E36" s="735">
        <v>1370000</v>
      </c>
      <c r="F36" s="735"/>
      <c r="G36" s="735"/>
      <c r="H36" s="735">
        <v>425000</v>
      </c>
      <c r="I36" s="1767">
        <f t="shared" si="1"/>
        <v>945000</v>
      </c>
      <c r="J36" s="735">
        <v>945000</v>
      </c>
      <c r="K36" s="740"/>
    </row>
    <row r="37" spans="1:11" ht="12" customHeight="1" x14ac:dyDescent="0.2">
      <c r="A37" s="733" t="s">
        <v>2097</v>
      </c>
      <c r="B37" s="734">
        <v>43252</v>
      </c>
      <c r="C37" s="467">
        <v>6335000</v>
      </c>
      <c r="D37" s="741">
        <v>8</v>
      </c>
      <c r="E37" s="467"/>
      <c r="F37" s="467">
        <v>6335000</v>
      </c>
      <c r="G37" s="467"/>
      <c r="H37" s="467"/>
      <c r="I37" s="1767">
        <f t="shared" si="1"/>
        <v>6335000</v>
      </c>
      <c r="J37" s="467">
        <v>6335000</v>
      </c>
      <c r="K37" s="738"/>
    </row>
    <row r="38" spans="1:11" ht="12" customHeight="1" x14ac:dyDescent="0.2">
      <c r="A38" s="733" t="s">
        <v>2096</v>
      </c>
      <c r="B38" s="734">
        <v>43252</v>
      </c>
      <c r="C38" s="735">
        <v>5790000</v>
      </c>
      <c r="D38" s="742">
        <v>8</v>
      </c>
      <c r="E38" s="743"/>
      <c r="F38" s="743">
        <v>5790000</v>
      </c>
      <c r="G38" s="743"/>
      <c r="H38" s="743"/>
      <c r="I38" s="1767">
        <f t="shared" si="1"/>
        <v>5790000</v>
      </c>
      <c r="J38" s="744">
        <v>5790000</v>
      </c>
      <c r="K38" s="745"/>
    </row>
    <row r="39" spans="1:11" ht="12" customHeight="1" x14ac:dyDescent="0.2">
      <c r="A39" s="733" t="s">
        <v>2098</v>
      </c>
      <c r="B39" s="734">
        <v>41791</v>
      </c>
      <c r="C39" s="735">
        <v>146554</v>
      </c>
      <c r="D39" s="742" t="s">
        <v>2109</v>
      </c>
      <c r="E39" s="743">
        <v>59417</v>
      </c>
      <c r="F39" s="743"/>
      <c r="G39" s="743"/>
      <c r="H39" s="743">
        <v>59417</v>
      </c>
      <c r="I39" s="1767">
        <f t="shared" si="1"/>
        <v>0</v>
      </c>
      <c r="J39" s="744"/>
      <c r="K39" s="745"/>
    </row>
    <row r="40" spans="1:11" ht="12" customHeight="1" x14ac:dyDescent="0.2">
      <c r="A40" s="733" t="s">
        <v>2099</v>
      </c>
      <c r="B40" s="734">
        <v>42486</v>
      </c>
      <c r="C40" s="735">
        <v>37095</v>
      </c>
      <c r="D40" s="742" t="s">
        <v>2109</v>
      </c>
      <c r="E40" s="743">
        <v>27739</v>
      </c>
      <c r="F40" s="743"/>
      <c r="G40" s="743"/>
      <c r="H40" s="743">
        <v>9019</v>
      </c>
      <c r="I40" s="1767">
        <f t="shared" si="1"/>
        <v>18720</v>
      </c>
      <c r="J40" s="744">
        <v>18720</v>
      </c>
      <c r="K40" s="745"/>
    </row>
    <row r="41" spans="1:11" ht="12" customHeight="1" x14ac:dyDescent="0.2">
      <c r="A41" s="733" t="s">
        <v>2098</v>
      </c>
      <c r="B41" s="734">
        <v>42598</v>
      </c>
      <c r="C41" s="735">
        <v>638605</v>
      </c>
      <c r="D41" s="742" t="s">
        <v>2109</v>
      </c>
      <c r="E41" s="743">
        <v>507992</v>
      </c>
      <c r="F41" s="743"/>
      <c r="G41" s="743"/>
      <c r="H41" s="743">
        <v>123842</v>
      </c>
      <c r="I41" s="1767">
        <f t="shared" si="1"/>
        <v>384150</v>
      </c>
      <c r="J41" s="744">
        <v>384150</v>
      </c>
      <c r="K41" s="745"/>
    </row>
    <row r="42" spans="1:11" ht="12" customHeight="1" x14ac:dyDescent="0.2">
      <c r="A42" s="733" t="s">
        <v>2100</v>
      </c>
      <c r="B42" s="734">
        <v>42917</v>
      </c>
      <c r="C42" s="735">
        <v>436900</v>
      </c>
      <c r="D42" s="742" t="s">
        <v>2109</v>
      </c>
      <c r="E42" s="743"/>
      <c r="F42" s="743">
        <v>436900</v>
      </c>
      <c r="G42" s="743"/>
      <c r="H42" s="743">
        <v>106101</v>
      </c>
      <c r="I42" s="1767">
        <f t="shared" si="1"/>
        <v>330799</v>
      </c>
      <c r="J42" s="744">
        <v>330799</v>
      </c>
      <c r="K42" s="745"/>
    </row>
    <row r="43" spans="1:11" ht="12" customHeight="1" x14ac:dyDescent="0.2">
      <c r="A43" s="733" t="s">
        <v>2108</v>
      </c>
      <c r="B43" s="734">
        <v>43257</v>
      </c>
      <c r="C43" s="735">
        <v>150000</v>
      </c>
      <c r="D43" s="742" t="s">
        <v>2110</v>
      </c>
      <c r="E43" s="743"/>
      <c r="F43" s="743">
        <v>150000</v>
      </c>
      <c r="G43" s="743"/>
      <c r="H43" s="743"/>
      <c r="I43" s="1767">
        <f t="shared" si="1"/>
        <v>150000</v>
      </c>
      <c r="J43" s="744">
        <v>150000</v>
      </c>
      <c r="K43" s="745"/>
    </row>
    <row r="44" spans="1:11" ht="12" customHeight="1" x14ac:dyDescent="0.2">
      <c r="A44" s="733"/>
      <c r="B44" s="734"/>
      <c r="C44" s="735"/>
      <c r="D44" s="736"/>
      <c r="E44" s="735"/>
      <c r="F44" s="735"/>
      <c r="G44" s="735"/>
      <c r="H44" s="735"/>
      <c r="I44" s="1767">
        <f t="shared" si="1"/>
        <v>0</v>
      </c>
      <c r="J44" s="735"/>
      <c r="K44" s="738"/>
    </row>
    <row r="45" spans="1:11" ht="12" customHeight="1" x14ac:dyDescent="0.2">
      <c r="A45" s="733"/>
      <c r="B45" s="734"/>
      <c r="C45" s="735"/>
      <c r="D45" s="736"/>
      <c r="E45" s="735"/>
      <c r="F45" s="735"/>
      <c r="G45" s="735"/>
      <c r="H45" s="735"/>
      <c r="I45" s="1767">
        <f t="shared" si="1"/>
        <v>0</v>
      </c>
      <c r="J45" s="735"/>
      <c r="K45" s="738"/>
    </row>
    <row r="46" spans="1:11" ht="12" customHeight="1" x14ac:dyDescent="0.2">
      <c r="A46" s="733"/>
      <c r="B46" s="734"/>
      <c r="C46" s="735"/>
      <c r="D46" s="736"/>
      <c r="E46" s="735"/>
      <c r="F46" s="735"/>
      <c r="G46" s="735"/>
      <c r="H46" s="735"/>
      <c r="I46" s="1767">
        <f t="shared" si="1"/>
        <v>0</v>
      </c>
      <c r="J46" s="735"/>
      <c r="K46" s="738"/>
    </row>
    <row r="47" spans="1:11" ht="12" customHeight="1" x14ac:dyDescent="0.2">
      <c r="A47" s="733"/>
      <c r="B47" s="734"/>
      <c r="C47" s="739"/>
      <c r="D47" s="736"/>
      <c r="E47" s="739"/>
      <c r="F47" s="739"/>
      <c r="G47" s="739"/>
      <c r="H47" s="739"/>
      <c r="I47" s="1767">
        <f t="shared" si="1"/>
        <v>0</v>
      </c>
      <c r="J47" s="739"/>
      <c r="K47" s="738"/>
    </row>
    <row r="48" spans="1:11" ht="12" customHeight="1" x14ac:dyDescent="0.2">
      <c r="A48" s="733"/>
      <c r="B48" s="734"/>
      <c r="C48" s="735"/>
      <c r="D48" s="736"/>
      <c r="E48" s="735"/>
      <c r="F48" s="735"/>
      <c r="G48" s="735"/>
      <c r="H48" s="735"/>
      <c r="I48" s="1767">
        <f t="shared" si="1"/>
        <v>0</v>
      </c>
      <c r="J48" s="735"/>
      <c r="K48" s="738"/>
    </row>
    <row r="49" spans="1:11" ht="12" customHeight="1" x14ac:dyDescent="0.2">
      <c r="A49" s="733"/>
      <c r="B49" s="734"/>
      <c r="C49" s="1767">
        <f>SUM(C31:C48)</f>
        <v>40489155</v>
      </c>
      <c r="D49" s="746"/>
      <c r="E49" s="1767">
        <f t="shared" ref="E49:J49" si="2">SUM(E31:E48)</f>
        <v>15418372</v>
      </c>
      <c r="F49" s="1767">
        <f t="shared" si="2"/>
        <v>12711900</v>
      </c>
      <c r="G49" s="1767">
        <f t="shared" si="2"/>
        <v>0</v>
      </c>
      <c r="H49" s="1767">
        <f t="shared" si="2"/>
        <v>1851575</v>
      </c>
      <c r="I49" s="1767">
        <f t="shared" si="2"/>
        <v>26278697</v>
      </c>
      <c r="J49" s="1767">
        <f t="shared" si="2"/>
        <v>25421749</v>
      </c>
      <c r="K49" s="738"/>
    </row>
    <row r="50" spans="1:11" ht="6" customHeight="1" x14ac:dyDescent="0.2">
      <c r="A50" s="747"/>
      <c r="B50" s="737"/>
      <c r="C50" s="737"/>
      <c r="D50" s="737"/>
      <c r="E50" s="737"/>
      <c r="F50" s="737"/>
      <c r="G50" s="737"/>
      <c r="H50" s="737"/>
      <c r="I50" s="737"/>
      <c r="J50" s="747"/>
    </row>
    <row r="51" spans="1:11" x14ac:dyDescent="0.2">
      <c r="A51" s="748" t="s">
        <v>1910</v>
      </c>
      <c r="B51" s="747"/>
      <c r="C51" s="738"/>
      <c r="D51" s="738"/>
      <c r="E51" s="738"/>
      <c r="F51" s="738"/>
      <c r="G51" s="738"/>
      <c r="H51" s="737"/>
      <c r="I51" s="737"/>
      <c r="J51" s="747"/>
    </row>
    <row r="52" spans="1:11" ht="11.25" customHeight="1" x14ac:dyDescent="0.2">
      <c r="A52" s="749" t="s">
        <v>967</v>
      </c>
      <c r="B52" s="2229" t="s">
        <v>604</v>
      </c>
      <c r="C52" s="2230"/>
      <c r="D52" s="2230"/>
      <c r="E52" s="750" t="s">
        <v>899</v>
      </c>
      <c r="F52" s="2231" t="s">
        <v>2094</v>
      </c>
      <c r="G52" s="2232"/>
      <c r="H52" s="737"/>
      <c r="I52" s="737"/>
      <c r="J52" s="747"/>
    </row>
    <row r="53" spans="1:11" ht="11.25" customHeight="1" x14ac:dyDescent="0.2">
      <c r="A53" s="751" t="s">
        <v>968</v>
      </c>
      <c r="B53" s="752" t="s">
        <v>1007</v>
      </c>
      <c r="C53" s="747"/>
      <c r="D53" s="738"/>
      <c r="E53" s="750" t="s">
        <v>517</v>
      </c>
      <c r="F53" s="2233" t="s">
        <v>2095</v>
      </c>
      <c r="G53" s="2234"/>
      <c r="H53" s="737"/>
      <c r="I53" s="737"/>
      <c r="J53" s="747"/>
    </row>
    <row r="54" spans="1:11" ht="11.25" customHeight="1" x14ac:dyDescent="0.2">
      <c r="A54" s="753" t="s">
        <v>969</v>
      </c>
      <c r="B54" s="748" t="s">
        <v>1008</v>
      </c>
      <c r="C54" s="747"/>
      <c r="D54" s="738"/>
      <c r="E54" s="750" t="s">
        <v>518</v>
      </c>
      <c r="F54" s="2233" t="s">
        <v>2346</v>
      </c>
      <c r="G54" s="2234"/>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4"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3" firstPageNumber="24" fitToHeight="0" orientation="landscape" useFirstPageNumber="1" r:id="rId1"/>
  <headerFooter>
    <oddHeader>&amp;L&amp;8Page &amp;P&amp;R&amp;8Page &amp;P</oddHeader>
    <oddFooter>&amp;L&amp;8See Notes to Financial Statements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topLeftCell="A16" colorId="8" zoomScale="110" zoomScaleNormal="110" workbookViewId="0">
      <selection activeCell="K15" sqref="K15"/>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63" t="s">
        <v>910</v>
      </c>
      <c r="B1" s="2264"/>
      <c r="C1" s="2264"/>
      <c r="D1" s="2264"/>
      <c r="E1" s="2264"/>
      <c r="F1" s="2264"/>
      <c r="G1" s="2265"/>
      <c r="H1" s="1543"/>
      <c r="I1" s="761"/>
      <c r="J1" s="433"/>
    </row>
    <row r="2" spans="1:11" ht="26.25" x14ac:dyDescent="0.2">
      <c r="A2" s="2242" t="s">
        <v>1775</v>
      </c>
      <c r="B2" s="2243"/>
      <c r="C2" s="2243"/>
      <c r="D2" s="2243"/>
      <c r="E2" s="2244"/>
      <c r="F2" s="762" t="s">
        <v>959</v>
      </c>
      <c r="G2" s="763" t="s">
        <v>1772</v>
      </c>
      <c r="H2" s="763" t="s">
        <v>429</v>
      </c>
      <c r="I2" s="763" t="s">
        <v>1219</v>
      </c>
      <c r="J2" s="763" t="s">
        <v>1915</v>
      </c>
      <c r="K2" s="763" t="s">
        <v>140</v>
      </c>
    </row>
    <row r="3" spans="1:11" x14ac:dyDescent="0.2">
      <c r="A3" s="2245" t="s">
        <v>1697</v>
      </c>
      <c r="B3" s="2246"/>
      <c r="C3" s="2246"/>
      <c r="D3" s="2246"/>
      <c r="E3" s="2247"/>
      <c r="F3" s="764"/>
      <c r="G3" s="765"/>
      <c r="H3" s="765"/>
      <c r="I3" s="765"/>
      <c r="J3" s="766">
        <v>117300</v>
      </c>
      <c r="K3" s="766">
        <v>30447</v>
      </c>
    </row>
    <row r="4" spans="1:11" x14ac:dyDescent="0.2">
      <c r="A4" s="2248" t="s">
        <v>386</v>
      </c>
      <c r="B4" s="2249"/>
      <c r="C4" s="2249"/>
      <c r="D4" s="2249"/>
      <c r="E4" s="2230"/>
      <c r="F4" s="767"/>
      <c r="G4" s="768"/>
      <c r="H4" s="769"/>
      <c r="I4" s="768"/>
      <c r="J4" s="770"/>
      <c r="K4" s="770"/>
    </row>
    <row r="5" spans="1:11" x14ac:dyDescent="0.2">
      <c r="A5" s="2266" t="s">
        <v>1128</v>
      </c>
      <c r="B5" s="2239"/>
      <c r="C5" s="2239"/>
      <c r="D5" s="2239"/>
      <c r="E5" s="2267"/>
      <c r="F5" s="771" t="s">
        <v>902</v>
      </c>
      <c r="G5" s="772"/>
      <c r="H5" s="765">
        <v>121519</v>
      </c>
      <c r="I5" s="773"/>
      <c r="J5" s="774"/>
      <c r="K5" s="774"/>
    </row>
    <row r="6" spans="1:11" x14ac:dyDescent="0.2">
      <c r="A6" s="775" t="s">
        <v>743</v>
      </c>
      <c r="B6" s="776"/>
      <c r="C6" s="776"/>
      <c r="D6" s="776"/>
      <c r="E6" s="777"/>
      <c r="F6" s="778" t="s">
        <v>903</v>
      </c>
      <c r="G6" s="765"/>
      <c r="H6" s="765"/>
      <c r="I6" s="765"/>
      <c r="J6" s="766"/>
      <c r="K6" s="766"/>
    </row>
    <row r="7" spans="1:11" x14ac:dyDescent="0.2">
      <c r="A7" s="779" t="s">
        <v>264</v>
      </c>
      <c r="B7" s="780"/>
      <c r="C7" s="780"/>
      <c r="D7" s="780"/>
      <c r="E7" s="781"/>
      <c r="F7" s="771" t="s">
        <v>904</v>
      </c>
      <c r="G7" s="768"/>
      <c r="H7" s="768"/>
      <c r="I7" s="768"/>
      <c r="J7" s="782"/>
      <c r="K7" s="766">
        <v>18010</v>
      </c>
    </row>
    <row r="8" spans="1:11" x14ac:dyDescent="0.2">
      <c r="A8" s="779" t="s">
        <v>362</v>
      </c>
      <c r="B8" s="780"/>
      <c r="C8" s="780"/>
      <c r="D8" s="780"/>
      <c r="E8" s="781"/>
      <c r="F8" s="771" t="s">
        <v>905</v>
      </c>
      <c r="G8" s="783"/>
      <c r="H8" s="783"/>
      <c r="I8" s="783"/>
      <c r="J8" s="766">
        <v>1247766</v>
      </c>
      <c r="K8" s="770"/>
    </row>
    <row r="9" spans="1:11" x14ac:dyDescent="0.2">
      <c r="A9" s="779" t="s">
        <v>140</v>
      </c>
      <c r="B9" s="780"/>
      <c r="C9" s="780"/>
      <c r="D9" s="780"/>
      <c r="E9" s="781"/>
      <c r="F9" s="778" t="s">
        <v>907</v>
      </c>
      <c r="G9" s="783"/>
      <c r="H9" s="772"/>
      <c r="I9" s="772"/>
      <c r="J9" s="782"/>
      <c r="K9" s="766">
        <v>37158</v>
      </c>
    </row>
    <row r="10" spans="1:11" x14ac:dyDescent="0.2">
      <c r="A10" s="2266" t="s">
        <v>1916</v>
      </c>
      <c r="B10" s="2239"/>
      <c r="C10" s="2239"/>
      <c r="D10" s="2239"/>
      <c r="E10" s="2268"/>
      <c r="F10" s="784" t="s">
        <v>916</v>
      </c>
      <c r="G10" s="783"/>
      <c r="H10" s="785"/>
      <c r="I10" s="765"/>
      <c r="J10" s="766"/>
      <c r="K10" s="766"/>
    </row>
    <row r="11" spans="1:11" x14ac:dyDescent="0.2">
      <c r="A11" s="2266" t="s">
        <v>162</v>
      </c>
      <c r="B11" s="2239"/>
      <c r="C11" s="2239"/>
      <c r="D11" s="2239"/>
      <c r="E11" s="2267"/>
      <c r="F11" s="771" t="s">
        <v>906</v>
      </c>
      <c r="G11" s="772"/>
      <c r="H11" s="765"/>
      <c r="I11" s="765"/>
      <c r="J11" s="766"/>
      <c r="K11" s="774"/>
    </row>
    <row r="12" spans="1:11" ht="13.5" thickBot="1" x14ac:dyDescent="0.25">
      <c r="A12" s="2256" t="s">
        <v>960</v>
      </c>
      <c r="B12" s="2257"/>
      <c r="C12" s="2257"/>
      <c r="D12" s="2257"/>
      <c r="E12" s="2258"/>
      <c r="F12" s="1768"/>
      <c r="G12" s="1769">
        <f>SUM(G5:G11)</f>
        <v>0</v>
      </c>
      <c r="H12" s="1769">
        <f>SUM(H5:H11)</f>
        <v>121519</v>
      </c>
      <c r="I12" s="1769">
        <f>SUM(I5:I11)</f>
        <v>0</v>
      </c>
      <c r="J12" s="1769">
        <f>SUM(J5:J11)</f>
        <v>1247766</v>
      </c>
      <c r="K12" s="1769">
        <f>SUM(K5:K11)</f>
        <v>55168</v>
      </c>
    </row>
    <row r="13" spans="1:11" ht="13.5" thickTop="1" x14ac:dyDescent="0.2">
      <c r="A13" s="2250" t="s">
        <v>387</v>
      </c>
      <c r="B13" s="2251"/>
      <c r="C13" s="2251"/>
      <c r="D13" s="2251"/>
      <c r="E13" s="2252"/>
      <c r="F13" s="786"/>
      <c r="G13" s="787"/>
      <c r="H13" s="788"/>
      <c r="I13" s="789"/>
      <c r="J13" s="789"/>
      <c r="K13" s="789"/>
    </row>
    <row r="14" spans="1:11" x14ac:dyDescent="0.2">
      <c r="A14" s="2272" t="s">
        <v>475</v>
      </c>
      <c r="B14" s="2272"/>
      <c r="C14" s="2272"/>
      <c r="D14" s="2272"/>
      <c r="E14" s="2273"/>
      <c r="F14" s="790" t="s">
        <v>908</v>
      </c>
      <c r="G14" s="783"/>
      <c r="H14" s="765">
        <v>121519</v>
      </c>
      <c r="I14" s="772"/>
      <c r="J14" s="774"/>
      <c r="K14" s="766">
        <v>50747</v>
      </c>
    </row>
    <row r="15" spans="1:11" x14ac:dyDescent="0.2">
      <c r="A15" s="2239" t="s">
        <v>4</v>
      </c>
      <c r="B15" s="2239"/>
      <c r="C15" s="2239"/>
      <c r="D15" s="2239"/>
      <c r="E15" s="2267"/>
      <c r="F15" s="790" t="s">
        <v>909</v>
      </c>
      <c r="G15" s="772"/>
      <c r="H15" s="765"/>
      <c r="I15" s="765"/>
      <c r="J15" s="766">
        <v>493911</v>
      </c>
      <c r="K15" s="766"/>
    </row>
    <row r="16" spans="1:11" x14ac:dyDescent="0.2">
      <c r="A16" s="2239" t="s">
        <v>315</v>
      </c>
      <c r="B16" s="2239"/>
      <c r="C16" s="2239"/>
      <c r="D16" s="2239"/>
      <c r="E16" s="2267"/>
      <c r="F16" s="790" t="s">
        <v>979</v>
      </c>
      <c r="G16" s="773"/>
      <c r="H16" s="768"/>
      <c r="I16" s="768"/>
      <c r="J16" s="770"/>
      <c r="K16" s="770"/>
    </row>
    <row r="17" spans="1:11" x14ac:dyDescent="0.2">
      <c r="A17" s="2261" t="s">
        <v>991</v>
      </c>
      <c r="B17" s="2261"/>
      <c r="C17" s="2261"/>
      <c r="D17" s="2261"/>
      <c r="E17" s="2262"/>
      <c r="F17" s="791"/>
      <c r="G17" s="792"/>
      <c r="H17" s="793"/>
      <c r="I17" s="793"/>
      <c r="J17" s="794"/>
      <c r="K17" s="795"/>
    </row>
    <row r="18" spans="1:11" x14ac:dyDescent="0.2">
      <c r="A18" s="2253" t="s">
        <v>385</v>
      </c>
      <c r="B18" s="2254"/>
      <c r="C18" s="2254"/>
      <c r="D18" s="2254"/>
      <c r="E18" s="2255"/>
      <c r="F18" s="790" t="s">
        <v>988</v>
      </c>
      <c r="G18" s="783"/>
      <c r="H18" s="783"/>
      <c r="I18" s="783"/>
      <c r="J18" s="766"/>
      <c r="K18" s="796"/>
    </row>
    <row r="19" spans="1:11" ht="21.75" customHeight="1" x14ac:dyDescent="0.2">
      <c r="A19" s="2274" t="s">
        <v>1912</v>
      </c>
      <c r="B19" s="2274"/>
      <c r="C19" s="2274"/>
      <c r="D19" s="2274"/>
      <c r="E19" s="2275"/>
      <c r="F19" s="790" t="s">
        <v>989</v>
      </c>
      <c r="G19" s="783"/>
      <c r="H19" s="783"/>
      <c r="I19" s="783"/>
      <c r="J19" s="766"/>
      <c r="K19" s="796"/>
    </row>
    <row r="20" spans="1:11" x14ac:dyDescent="0.2">
      <c r="A20" s="2253" t="s">
        <v>1917</v>
      </c>
      <c r="B20" s="2254"/>
      <c r="C20" s="2254"/>
      <c r="D20" s="2254"/>
      <c r="E20" s="2255"/>
      <c r="F20" s="790" t="s">
        <v>990</v>
      </c>
      <c r="G20" s="783"/>
      <c r="H20" s="783"/>
      <c r="I20" s="783"/>
      <c r="J20" s="766"/>
      <c r="K20" s="796"/>
    </row>
    <row r="21" spans="1:11" ht="13.5" thickBot="1" x14ac:dyDescent="0.25">
      <c r="A21" s="2259" t="s">
        <v>658</v>
      </c>
      <c r="B21" s="2259"/>
      <c r="C21" s="2259"/>
      <c r="D21" s="2259"/>
      <c r="E21" s="2259"/>
      <c r="F21" s="1770"/>
      <c r="G21" s="793"/>
      <c r="H21" s="797"/>
      <c r="I21" s="797"/>
      <c r="J21" s="1771">
        <f>SUM(J18:J20)</f>
        <v>0</v>
      </c>
      <c r="K21" s="794"/>
    </row>
    <row r="22" spans="1:11" ht="13.5" thickTop="1" x14ac:dyDescent="0.2">
      <c r="A22" s="2239" t="s">
        <v>1918</v>
      </c>
      <c r="B22" s="2239"/>
      <c r="C22" s="2239"/>
      <c r="D22" s="2239"/>
      <c r="E22" s="2267"/>
      <c r="F22" s="790" t="s">
        <v>916</v>
      </c>
      <c r="G22" s="783"/>
      <c r="H22" s="765"/>
      <c r="I22" s="765"/>
      <c r="J22" s="798"/>
      <c r="K22" s="766"/>
    </row>
    <row r="23" spans="1:11" ht="13.5" thickBot="1" x14ac:dyDescent="0.25">
      <c r="A23" s="2260" t="s">
        <v>961</v>
      </c>
      <c r="B23" s="2259"/>
      <c r="C23" s="2259"/>
      <c r="D23" s="2259"/>
      <c r="E23" s="2259"/>
      <c r="F23" s="1772"/>
      <c r="G23" s="1769">
        <f>SUM(G14:G16,G21,G22)</f>
        <v>0</v>
      </c>
      <c r="H23" s="1769">
        <f>SUM(H14:H16,H21,H22)</f>
        <v>121519</v>
      </c>
      <c r="I23" s="1769">
        <f>SUM(I14:I16,I21,I22)</f>
        <v>0</v>
      </c>
      <c r="J23" s="1769">
        <f>SUM(J14:J16,J21,J22)</f>
        <v>493911</v>
      </c>
      <c r="K23" s="1769">
        <f>SUM(K14:K16,K21,K22)</f>
        <v>50747</v>
      </c>
    </row>
    <row r="24" spans="1:11" ht="14.25" thickTop="1" thickBot="1" x14ac:dyDescent="0.25">
      <c r="A24" s="2260" t="s">
        <v>2022</v>
      </c>
      <c r="B24" s="2259"/>
      <c r="C24" s="2259"/>
      <c r="D24" s="2259"/>
      <c r="E24" s="2259"/>
      <c r="F24" s="1773"/>
      <c r="G24" s="1774">
        <f>SUM(G3,G12)-G23</f>
        <v>0</v>
      </c>
      <c r="H24" s="1774">
        <f>SUM(H3,H12)-H23</f>
        <v>0</v>
      </c>
      <c r="I24" s="1774">
        <f>SUM(I3,I12)-I23</f>
        <v>0</v>
      </c>
      <c r="J24" s="1774">
        <f>SUM(J3,J12)-J23</f>
        <v>871155</v>
      </c>
      <c r="K24" s="1774">
        <f>SUM(K3,K12)-K23</f>
        <v>34868</v>
      </c>
    </row>
    <row r="25" spans="1:11" ht="13.5" thickTop="1" x14ac:dyDescent="0.2">
      <c r="A25" s="799" t="s">
        <v>439</v>
      </c>
      <c r="B25" s="800"/>
      <c r="C25" s="800"/>
      <c r="D25" s="800"/>
      <c r="E25" s="801"/>
      <c r="F25" s="802">
        <v>714</v>
      </c>
      <c r="G25" s="803"/>
      <c r="H25" s="803"/>
      <c r="I25" s="803"/>
      <c r="J25" s="798"/>
      <c r="K25" s="798"/>
    </row>
    <row r="26" spans="1:11" ht="13.5" thickBot="1" x14ac:dyDescent="0.25">
      <c r="A26" s="799" t="s">
        <v>359</v>
      </c>
      <c r="B26" s="800"/>
      <c r="C26" s="800"/>
      <c r="D26" s="800"/>
      <c r="E26" s="801"/>
      <c r="F26" s="802">
        <v>730</v>
      </c>
      <c r="G26" s="1769">
        <f>G24-G25</f>
        <v>0</v>
      </c>
      <c r="H26" s="1769">
        <f>H24-H25</f>
        <v>0</v>
      </c>
      <c r="I26" s="1769">
        <f>I24-I25</f>
        <v>0</v>
      </c>
      <c r="J26" s="1769">
        <f>J24-J25</f>
        <v>871155</v>
      </c>
      <c r="K26" s="1769">
        <f>K24-K25</f>
        <v>34868</v>
      </c>
    </row>
    <row r="27" spans="1:11" ht="5.25" customHeight="1" thickTop="1" x14ac:dyDescent="0.2">
      <c r="I27" s="202"/>
      <c r="J27" s="202"/>
    </row>
    <row r="28" spans="1:11" ht="29.25" customHeight="1" x14ac:dyDescent="0.2">
      <c r="A28" s="1893" t="s">
        <v>2032</v>
      </c>
      <c r="B28" s="1894"/>
      <c r="C28" s="1894"/>
      <c r="D28" s="1894"/>
      <c r="E28" s="1895"/>
      <c r="F28" s="804"/>
      <c r="G28" s="805"/>
    </row>
    <row r="29" spans="1:11" x14ac:dyDescent="0.2">
      <c r="B29" s="501"/>
      <c r="C29" s="501"/>
      <c r="D29" s="501"/>
      <c r="F29" s="202"/>
      <c r="G29" s="806"/>
    </row>
    <row r="30" spans="1:11" x14ac:dyDescent="0.2">
      <c r="A30" s="807" t="s">
        <v>592</v>
      </c>
      <c r="B30" s="808"/>
      <c r="C30" s="807" t="s">
        <v>400</v>
      </c>
      <c r="D30" s="808"/>
      <c r="E30" s="809" t="s">
        <v>791</v>
      </c>
      <c r="F30" s="202"/>
      <c r="G30" s="806"/>
    </row>
    <row r="31" spans="1:11" x14ac:dyDescent="0.2">
      <c r="A31" s="810"/>
      <c r="D31" s="237"/>
      <c r="E31" s="811" t="s">
        <v>792</v>
      </c>
      <c r="F31" s="812" t="s">
        <v>559</v>
      </c>
      <c r="G31" s="765"/>
      <c r="H31" s="2269"/>
      <c r="I31" s="2270"/>
      <c r="J31" s="2270"/>
      <c r="K31" s="2270"/>
    </row>
    <row r="32" spans="1:11" x14ac:dyDescent="0.2">
      <c r="A32" s="810"/>
      <c r="B32" s="237"/>
      <c r="C32" s="237"/>
      <c r="D32" s="237"/>
      <c r="E32" s="806"/>
      <c r="F32" s="812" t="s">
        <v>560</v>
      </c>
      <c r="G32" s="765"/>
      <c r="H32" s="2271"/>
      <c r="I32" s="2270"/>
      <c r="J32" s="2270"/>
      <c r="K32" s="2270"/>
    </row>
    <row r="33" spans="1:11" ht="1.5" customHeight="1" x14ac:dyDescent="0.2">
      <c r="A33" s="813" t="s">
        <v>1230</v>
      </c>
      <c r="B33" s="364"/>
      <c r="C33" s="364"/>
      <c r="D33" s="364"/>
      <c r="E33" s="364"/>
      <c r="F33" s="364"/>
      <c r="G33" s="814"/>
      <c r="H33" s="2271"/>
      <c r="I33" s="2270"/>
      <c r="J33" s="2270"/>
      <c r="K33" s="2270"/>
    </row>
    <row r="34" spans="1:11" x14ac:dyDescent="0.2">
      <c r="A34" s="815" t="s">
        <v>1919</v>
      </c>
      <c r="B34" s="364"/>
      <c r="C34" s="364"/>
      <c r="D34" s="364"/>
      <c r="E34" s="364"/>
      <c r="F34" s="364"/>
      <c r="G34" s="814"/>
    </row>
    <row r="35" spans="1:11" ht="15" x14ac:dyDescent="0.2">
      <c r="A35" s="826" t="s">
        <v>962</v>
      </c>
      <c r="B35" s="816"/>
      <c r="C35" s="816"/>
      <c r="D35" s="816"/>
      <c r="E35" s="816"/>
      <c r="F35" s="816"/>
      <c r="G35" s="817"/>
      <c r="H35" s="818"/>
    </row>
    <row r="36" spans="1:11" x14ac:dyDescent="0.2">
      <c r="A36" s="779" t="s">
        <v>1170</v>
      </c>
      <c r="B36" s="819"/>
      <c r="C36" s="819"/>
      <c r="D36" s="819"/>
      <c r="E36" s="819"/>
      <c r="F36" s="820"/>
      <c r="G36" s="766"/>
    </row>
    <row r="37" spans="1:11" x14ac:dyDescent="0.2">
      <c r="A37" s="821" t="s">
        <v>951</v>
      </c>
      <c r="B37" s="819"/>
      <c r="C37" s="819"/>
      <c r="D37" s="819"/>
      <c r="E37" s="819"/>
      <c r="F37" s="820"/>
      <c r="G37" s="766"/>
    </row>
    <row r="38" spans="1:11" x14ac:dyDescent="0.2">
      <c r="A38" s="821" t="s">
        <v>1049</v>
      </c>
      <c r="B38" s="819"/>
      <c r="C38" s="819"/>
      <c r="D38" s="819"/>
      <c r="E38" s="819"/>
      <c r="F38" s="820"/>
      <c r="G38" s="766"/>
    </row>
    <row r="39" spans="1:11" x14ac:dyDescent="0.2">
      <c r="A39" s="821" t="s">
        <v>1050</v>
      </c>
      <c r="B39" s="819"/>
      <c r="C39" s="819"/>
      <c r="D39" s="819"/>
      <c r="E39" s="819"/>
      <c r="F39" s="820"/>
      <c r="G39" s="766"/>
    </row>
    <row r="40" spans="1:11" x14ac:dyDescent="0.2">
      <c r="A40" s="821" t="s">
        <v>1051</v>
      </c>
      <c r="B40" s="819"/>
      <c r="C40" s="819"/>
      <c r="D40" s="819"/>
      <c r="E40" s="819"/>
      <c r="F40" s="820"/>
      <c r="G40" s="766"/>
    </row>
    <row r="41" spans="1:11" x14ac:dyDescent="0.2">
      <c r="A41" s="2239" t="s">
        <v>561</v>
      </c>
      <c r="B41" s="2240"/>
      <c r="C41" s="2240"/>
      <c r="D41" s="2240"/>
      <c r="E41" s="2240"/>
      <c r="F41" s="2241"/>
      <c r="G41" s="766"/>
    </row>
    <row r="42" spans="1:11" x14ac:dyDescent="0.2">
      <c r="A42" s="821" t="s">
        <v>1026</v>
      </c>
      <c r="B42" s="819"/>
      <c r="C42" s="819"/>
      <c r="D42" s="819"/>
      <c r="E42" s="819"/>
      <c r="F42" s="820"/>
      <c r="G42" s="766"/>
    </row>
    <row r="43" spans="1:11" x14ac:dyDescent="0.2">
      <c r="A43" s="821" t="s">
        <v>1027</v>
      </c>
      <c r="B43" s="819"/>
      <c r="C43" s="819"/>
      <c r="D43" s="819"/>
      <c r="E43" s="819"/>
      <c r="F43" s="820"/>
      <c r="G43" s="766"/>
    </row>
    <row r="44" spans="1:11" x14ac:dyDescent="0.2">
      <c r="A44" s="821" t="s">
        <v>1028</v>
      </c>
      <c r="B44" s="819"/>
      <c r="C44" s="819"/>
      <c r="D44" s="819"/>
      <c r="E44" s="819"/>
      <c r="F44" s="820"/>
      <c r="G44" s="766"/>
    </row>
    <row r="45" spans="1:11" ht="6.75" customHeight="1" x14ac:dyDescent="0.2"/>
    <row r="46" spans="1:11" ht="15" x14ac:dyDescent="0.2">
      <c r="A46" s="1544" t="s">
        <v>1913</v>
      </c>
      <c r="B46" s="408" t="s">
        <v>1773</v>
      </c>
    </row>
    <row r="47" spans="1:11" s="824" customFormat="1" ht="12.75" customHeight="1" x14ac:dyDescent="0.2">
      <c r="A47" s="822"/>
      <c r="B47" s="823" t="s">
        <v>1774</v>
      </c>
      <c r="E47" s="823"/>
      <c r="K47" s="825"/>
    </row>
    <row r="48" spans="1:11" ht="12.75" customHeight="1" x14ac:dyDescent="0.2">
      <c r="A48" s="1545" t="s">
        <v>1914</v>
      </c>
      <c r="B48" s="408" t="s">
        <v>980</v>
      </c>
    </row>
  </sheetData>
  <sheetProtection algorithmName="SHA-512" hashValue="g0OnclEqfYI1pGyPL+NnnCp4pBte2d90XF0hURPmnBifUSaHQEXHioZAWWAQyuOR/wfu/Jiiuu1vdtbG+2DeWA==" saltValue="jtrivQuvpHoYAadijOBfy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4"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&amp;L&amp;8See Notes to Financial Statements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activeCell="F15" sqref="F15"/>
    </sheetView>
  </sheetViews>
  <sheetFormatPr defaultColWidth="9.140625" defaultRowHeight="12.75" x14ac:dyDescent="0.2"/>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78" t="s">
        <v>2031</v>
      </c>
      <c r="B1" s="2279"/>
      <c r="C1" s="2280"/>
      <c r="D1" s="827"/>
      <c r="E1" s="828"/>
      <c r="F1" s="828"/>
      <c r="G1" s="829"/>
      <c r="H1" s="830"/>
      <c r="I1" s="831"/>
      <c r="J1" s="2276"/>
      <c r="K1" s="2277"/>
      <c r="L1" s="2277"/>
    </row>
    <row r="2" spans="1:14" ht="69.75" customHeight="1" x14ac:dyDescent="0.2">
      <c r="A2" s="832" t="s">
        <v>1776</v>
      </c>
      <c r="B2" s="833" t="s">
        <v>395</v>
      </c>
      <c r="C2" s="834" t="s">
        <v>2026</v>
      </c>
      <c r="D2" s="834" t="s">
        <v>2023</v>
      </c>
      <c r="E2" s="834" t="s">
        <v>2024</v>
      </c>
      <c r="F2" s="834" t="s">
        <v>2025</v>
      </c>
      <c r="G2" s="834" t="s">
        <v>625</v>
      </c>
      <c r="H2" s="834" t="s">
        <v>2027</v>
      </c>
      <c r="I2" s="834" t="s">
        <v>2028</v>
      </c>
      <c r="J2" s="834" t="s">
        <v>2043</v>
      </c>
      <c r="K2" s="834" t="s">
        <v>2029</v>
      </c>
      <c r="L2" s="834" t="s">
        <v>2030</v>
      </c>
      <c r="M2" s="835"/>
      <c r="N2" s="835"/>
    </row>
    <row r="3" spans="1:14" ht="13.5" thickBot="1" x14ac:dyDescent="0.25">
      <c r="A3" s="1642" t="s">
        <v>947</v>
      </c>
      <c r="B3" s="1643">
        <v>210</v>
      </c>
      <c r="C3" s="836"/>
      <c r="D3" s="836"/>
      <c r="E3" s="836"/>
      <c r="F3" s="1771">
        <f>(C3+D3)-E3</f>
        <v>0</v>
      </c>
      <c r="G3" s="837"/>
      <c r="H3" s="836"/>
      <c r="I3" s="836"/>
      <c r="J3" s="836"/>
      <c r="K3" s="1780">
        <f>(H3+I3)-J3</f>
        <v>0</v>
      </c>
      <c r="L3" s="1780">
        <f>F3-K3</f>
        <v>0</v>
      </c>
      <c r="M3" s="835"/>
      <c r="N3" s="835"/>
    </row>
    <row r="4" spans="1:14" ht="15" customHeight="1" thickTop="1" x14ac:dyDescent="0.2">
      <c r="A4" s="1644" t="s">
        <v>160</v>
      </c>
      <c r="B4" s="1643">
        <v>220</v>
      </c>
      <c r="C4" s="782"/>
      <c r="D4" s="782"/>
      <c r="E4" s="782"/>
      <c r="F4" s="774"/>
      <c r="G4" s="838"/>
      <c r="H4" s="839"/>
      <c r="I4" s="839"/>
      <c r="J4" s="839"/>
      <c r="K4" s="840"/>
      <c r="L4" s="774"/>
    </row>
    <row r="5" spans="1:14" ht="13.5" thickBot="1" x14ac:dyDescent="0.25">
      <c r="A5" s="779" t="s">
        <v>948</v>
      </c>
      <c r="B5" s="841">
        <v>221</v>
      </c>
      <c r="C5" s="842">
        <v>209131</v>
      </c>
      <c r="D5" s="842">
        <v>200000</v>
      </c>
      <c r="E5" s="842"/>
      <c r="F5" s="1771">
        <f>(C5+D5)-E5</f>
        <v>409131</v>
      </c>
      <c r="G5" s="838"/>
      <c r="H5" s="843"/>
      <c r="I5" s="843"/>
      <c r="J5" s="843"/>
      <c r="K5" s="794"/>
      <c r="L5" s="1780">
        <f>F5-K5</f>
        <v>409131</v>
      </c>
    </row>
    <row r="6" spans="1:14" ht="14.25" thickTop="1" thickBot="1" x14ac:dyDescent="0.25">
      <c r="A6" s="779" t="s">
        <v>1178</v>
      </c>
      <c r="B6" s="841">
        <v>222</v>
      </c>
      <c r="C6" s="766"/>
      <c r="D6" s="766"/>
      <c r="E6" s="766"/>
      <c r="F6" s="1771">
        <f>(C6+D6)-E6</f>
        <v>0</v>
      </c>
      <c r="G6" s="838">
        <v>50</v>
      </c>
      <c r="H6" s="766"/>
      <c r="I6" s="766"/>
      <c r="J6" s="766"/>
      <c r="K6" s="1780">
        <f>(H6+I6)-J6</f>
        <v>0</v>
      </c>
      <c r="L6" s="1780">
        <f>F6-K6</f>
        <v>0</v>
      </c>
    </row>
    <row r="7" spans="1:14" ht="15" customHeight="1" thickTop="1" x14ac:dyDescent="0.2">
      <c r="A7" s="1644" t="s">
        <v>161</v>
      </c>
      <c r="B7" s="1643">
        <v>230</v>
      </c>
      <c r="C7" s="782"/>
      <c r="D7" s="782"/>
      <c r="E7" s="782"/>
      <c r="F7" s="774"/>
      <c r="G7" s="844"/>
      <c r="H7" s="782"/>
      <c r="I7" s="782"/>
      <c r="J7" s="782"/>
      <c r="K7" s="774"/>
      <c r="L7" s="774"/>
    </row>
    <row r="8" spans="1:14" ht="13.5" thickBot="1" x14ac:dyDescent="0.25">
      <c r="A8" s="779" t="s">
        <v>1179</v>
      </c>
      <c r="B8" s="841">
        <v>231</v>
      </c>
      <c r="C8" s="845">
        <v>47301116</v>
      </c>
      <c r="D8" s="845">
        <v>68030</v>
      </c>
      <c r="E8" s="845"/>
      <c r="F8" s="1771">
        <f>(C8+D8)-E8</f>
        <v>47369146</v>
      </c>
      <c r="G8" s="844">
        <v>50</v>
      </c>
      <c r="H8" s="766">
        <v>12461055</v>
      </c>
      <c r="I8" s="766">
        <v>960004</v>
      </c>
      <c r="J8" s="766"/>
      <c r="K8" s="1780">
        <f>(H8+I8)-J8</f>
        <v>13421059</v>
      </c>
      <c r="L8" s="1780">
        <f>F8-K8</f>
        <v>33948087</v>
      </c>
    </row>
    <row r="9" spans="1:14" ht="14.25" thickTop="1" thickBot="1" x14ac:dyDescent="0.25">
      <c r="A9" s="779" t="s">
        <v>1180</v>
      </c>
      <c r="B9" s="841">
        <v>232</v>
      </c>
      <c r="C9" s="766"/>
      <c r="D9" s="766"/>
      <c r="E9" s="766"/>
      <c r="F9" s="1771">
        <f>(C9+D9)-E9</f>
        <v>0</v>
      </c>
      <c r="G9" s="844">
        <v>20</v>
      </c>
      <c r="H9" s="766"/>
      <c r="I9" s="766"/>
      <c r="J9" s="766"/>
      <c r="K9" s="1780">
        <f>(H9+I9)-J9</f>
        <v>0</v>
      </c>
      <c r="L9" s="1780">
        <f>F9-K9</f>
        <v>0</v>
      </c>
    </row>
    <row r="10" spans="1:14" ht="24" thickTop="1" thickBot="1" x14ac:dyDescent="0.25">
      <c r="A10" s="846" t="s">
        <v>1181</v>
      </c>
      <c r="B10" s="841">
        <v>240</v>
      </c>
      <c r="C10" s="847">
        <v>1362339</v>
      </c>
      <c r="D10" s="847"/>
      <c r="E10" s="847"/>
      <c r="F10" s="1775">
        <f>(C10+D10)-E10</f>
        <v>1362339</v>
      </c>
      <c r="G10" s="844">
        <v>20</v>
      </c>
      <c r="H10" s="848">
        <v>884732</v>
      </c>
      <c r="I10" s="848">
        <v>40651</v>
      </c>
      <c r="J10" s="848"/>
      <c r="K10" s="1780">
        <f>(H10+I10)-J10</f>
        <v>925383</v>
      </c>
      <c r="L10" s="1780">
        <f>F10-K10</f>
        <v>436956</v>
      </c>
    </row>
    <row r="11" spans="1:14" ht="13.5" thickTop="1" x14ac:dyDescent="0.2">
      <c r="A11" s="1645" t="s">
        <v>1197</v>
      </c>
      <c r="B11" s="1643">
        <v>250</v>
      </c>
      <c r="C11" s="782"/>
      <c r="D11" s="782"/>
      <c r="E11" s="782"/>
      <c r="F11" s="774"/>
      <c r="G11" s="844"/>
      <c r="H11" s="782"/>
      <c r="I11" s="782"/>
      <c r="J11" s="782"/>
      <c r="K11" s="774"/>
      <c r="L11" s="774"/>
    </row>
    <row r="12" spans="1:14" ht="13.5" thickBot="1" x14ac:dyDescent="0.25">
      <c r="A12" s="849" t="s">
        <v>1182</v>
      </c>
      <c r="B12" s="841">
        <v>251</v>
      </c>
      <c r="C12" s="845">
        <v>6366919</v>
      </c>
      <c r="D12" s="845">
        <v>477738</v>
      </c>
      <c r="E12" s="845"/>
      <c r="F12" s="1771">
        <f>(C12+D12)-E12</f>
        <v>6844657</v>
      </c>
      <c r="G12" s="844">
        <v>10</v>
      </c>
      <c r="H12" s="766">
        <v>5964816</v>
      </c>
      <c r="I12" s="766">
        <v>125963</v>
      </c>
      <c r="J12" s="766"/>
      <c r="K12" s="1780">
        <f>(H12+I12)-J12</f>
        <v>6090779</v>
      </c>
      <c r="L12" s="1780">
        <f>F12-K12</f>
        <v>753878</v>
      </c>
    </row>
    <row r="13" spans="1:14" ht="14.25" thickTop="1" thickBot="1" x14ac:dyDescent="0.25">
      <c r="A13" s="849" t="s">
        <v>1183</v>
      </c>
      <c r="B13" s="841">
        <v>252</v>
      </c>
      <c r="C13" s="845">
        <v>2649327</v>
      </c>
      <c r="D13" s="845">
        <v>19135</v>
      </c>
      <c r="E13" s="845"/>
      <c r="F13" s="1771">
        <f>(C13+D13)-E13</f>
        <v>2668462</v>
      </c>
      <c r="G13" s="844">
        <v>5</v>
      </c>
      <c r="H13" s="766">
        <v>1887677</v>
      </c>
      <c r="I13" s="766">
        <v>204934</v>
      </c>
      <c r="J13" s="766"/>
      <c r="K13" s="1780">
        <f>(H13+I13)-J13</f>
        <v>2092611</v>
      </c>
      <c r="L13" s="1780">
        <f>F13-K13</f>
        <v>575851</v>
      </c>
    </row>
    <row r="14" spans="1:14" ht="14.25" thickTop="1" thickBot="1" x14ac:dyDescent="0.25">
      <c r="A14" s="849" t="s">
        <v>1184</v>
      </c>
      <c r="B14" s="841">
        <v>253</v>
      </c>
      <c r="C14" s="766"/>
      <c r="D14" s="766"/>
      <c r="E14" s="766"/>
      <c r="F14" s="1771">
        <f>(C14+D14)-E14</f>
        <v>0</v>
      </c>
      <c r="G14" s="844">
        <v>3</v>
      </c>
      <c r="H14" s="766"/>
      <c r="I14" s="766"/>
      <c r="J14" s="766"/>
      <c r="K14" s="1780">
        <f>(H14+I14)-J14</f>
        <v>0</v>
      </c>
      <c r="L14" s="1780">
        <f>F14-K14</f>
        <v>0</v>
      </c>
    </row>
    <row r="15" spans="1:14" ht="15" customHeight="1" thickTop="1" thickBot="1" x14ac:dyDescent="0.25">
      <c r="A15" s="1644" t="s">
        <v>548</v>
      </c>
      <c r="B15" s="1643">
        <v>260</v>
      </c>
      <c r="C15" s="845">
        <v>55434</v>
      </c>
      <c r="D15" s="845">
        <v>1905286</v>
      </c>
      <c r="E15" s="845"/>
      <c r="F15" s="1771">
        <f>(C15+D15)-E15</f>
        <v>1960720</v>
      </c>
      <c r="G15" s="850" t="s">
        <v>916</v>
      </c>
      <c r="H15" s="782"/>
      <c r="I15" s="782"/>
      <c r="J15" s="782"/>
      <c r="K15" s="782"/>
      <c r="L15" s="1780">
        <f>F15-K15</f>
        <v>1960720</v>
      </c>
    </row>
    <row r="16" spans="1:14" ht="15" customHeight="1" thickTop="1" thickBot="1" x14ac:dyDescent="0.25">
      <c r="A16" s="1776" t="s">
        <v>663</v>
      </c>
      <c r="B16" s="1777">
        <v>200</v>
      </c>
      <c r="C16" s="1771">
        <f>SUM(C3,C5:C6,C8:C10,C12:C15)</f>
        <v>57944266</v>
      </c>
      <c r="D16" s="1771">
        <f>SUM(D3,D5:D6,D8:D10,D12:D15)</f>
        <v>2670189</v>
      </c>
      <c r="E16" s="1771">
        <f>SUM(E3,E5:E6,E8:E10,E12:E15)</f>
        <v>0</v>
      </c>
      <c r="F16" s="1771">
        <f>SUM(F3,F5:F6,F8:F10,F12:F15)</f>
        <v>60614455</v>
      </c>
      <c r="G16" s="844"/>
      <c r="H16" s="1771">
        <f>SUM(H3,H6,H8:H10,H12:H14,)</f>
        <v>21198280</v>
      </c>
      <c r="I16" s="1771">
        <f>SUM(I3,I6,I8:I10,I12:I14,)</f>
        <v>1331552</v>
      </c>
      <c r="J16" s="1771">
        <f>SUM(J3,J6,J8:J10,J12:J14,)</f>
        <v>0</v>
      </c>
      <c r="K16" s="1771">
        <f>(H16+I16)-J16</f>
        <v>22529832</v>
      </c>
      <c r="L16" s="1771">
        <f>F16-K16</f>
        <v>38084623</v>
      </c>
    </row>
    <row r="17" spans="1:12" ht="15" customHeight="1" thickTop="1" thickBot="1" x14ac:dyDescent="0.25">
      <c r="A17" s="1646" t="s">
        <v>308</v>
      </c>
      <c r="B17" s="1643">
        <v>700</v>
      </c>
      <c r="C17" s="770"/>
      <c r="D17" s="770"/>
      <c r="E17" s="770"/>
      <c r="F17" s="1771">
        <f>SUM('Expenditures 15-22'!I114,'Expenditures 15-22'!I151,'Expenditures 15-22'!I210,'Expenditures 15-22'!I312,'Expenditures 15-22'!I342,'Expenditures 15-22'!I367)</f>
        <v>184010</v>
      </c>
      <c r="G17" s="838">
        <v>10</v>
      </c>
      <c r="H17" s="770"/>
      <c r="I17" s="1780">
        <f>F17/G17</f>
        <v>18401</v>
      </c>
      <c r="J17" s="770"/>
      <c r="K17" s="796"/>
      <c r="L17" s="796"/>
    </row>
    <row r="18" spans="1:12" ht="14.25" thickTop="1" thickBot="1" x14ac:dyDescent="0.25">
      <c r="A18" s="1778" t="s">
        <v>705</v>
      </c>
      <c r="B18" s="1779"/>
      <c r="C18" s="772"/>
      <c r="D18" s="772"/>
      <c r="E18" s="772"/>
      <c r="F18" s="851"/>
      <c r="G18" s="852"/>
      <c r="H18" s="774"/>
      <c r="I18" s="1771">
        <f>SUM(I16,I17)</f>
        <v>1349953</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0.9"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4" type="noConversion"/>
  <printOptions headings="1"/>
  <pageMargins left="0.25" right="0.17" top="1.1000000000000001" bottom="0.66" header="0.39" footer="0.17"/>
  <pageSetup scale="80" firstPageNumber="26" orientation="landscape" useFirstPageNumber="1" r:id="rId1"/>
  <headerFooter>
    <oddHeader>&amp;L&amp;8Page &amp;P&amp;C &amp;R&amp;8Page &amp;P</oddHeader>
    <oddFooter>&amp;L&amp;8See Notes to Financial Statements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161" activePane="bottomLeft" state="frozen"/>
      <selection activeCell="A47" sqref="A47"/>
      <selection pane="bottomLeft" activeCell="F178" sqref="F178"/>
    </sheetView>
  </sheetViews>
  <sheetFormatPr defaultColWidth="8.7109375" defaultRowHeight="11.25" x14ac:dyDescent="0.2"/>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x14ac:dyDescent="0.2">
      <c r="A1" s="2284" t="s">
        <v>1698</v>
      </c>
      <c r="B1" s="2285"/>
      <c r="C1" s="2285"/>
      <c r="D1" s="2285"/>
      <c r="E1" s="2285"/>
      <c r="F1" s="2286"/>
      <c r="G1" s="856"/>
    </row>
    <row r="2" spans="1:7" ht="15" customHeight="1" thickBot="1" x14ac:dyDescent="0.25">
      <c r="A2" s="2287" t="s">
        <v>497</v>
      </c>
      <c r="B2" s="2288"/>
      <c r="C2" s="2288"/>
      <c r="D2" s="2288"/>
      <c r="E2" s="2288"/>
      <c r="F2" s="2289"/>
      <c r="G2" s="858"/>
    </row>
    <row r="3" spans="1:7" ht="5.25" customHeight="1" thickTop="1" x14ac:dyDescent="0.2">
      <c r="A3" s="859"/>
      <c r="B3" s="860"/>
      <c r="C3" s="861"/>
      <c r="D3" s="860"/>
      <c r="E3" s="861"/>
      <c r="F3" s="860"/>
      <c r="G3" s="860"/>
    </row>
    <row r="4" spans="1:7" ht="12.2" customHeight="1" x14ac:dyDescent="0.2">
      <c r="A4" s="862" t="s">
        <v>1136</v>
      </c>
      <c r="B4" s="863" t="s">
        <v>117</v>
      </c>
      <c r="D4" s="865" t="s">
        <v>531</v>
      </c>
      <c r="F4" s="863" t="s">
        <v>919</v>
      </c>
    </row>
    <row r="5" spans="1:7" ht="7.5" customHeight="1" x14ac:dyDescent="0.2">
      <c r="A5" s="2290"/>
      <c r="B5" s="2291"/>
      <c r="C5" s="2291"/>
      <c r="D5" s="2291"/>
      <c r="E5" s="2291"/>
      <c r="F5" s="2291"/>
    </row>
    <row r="6" spans="1:7" ht="13.5" customHeight="1" thickBot="1" x14ac:dyDescent="0.25">
      <c r="A6" s="2281" t="s">
        <v>1165</v>
      </c>
      <c r="B6" s="2282"/>
      <c r="C6" s="2282"/>
      <c r="D6" s="2282"/>
      <c r="E6" s="2282"/>
      <c r="F6" s="2283"/>
      <c r="G6" s="866"/>
    </row>
    <row r="7" spans="1:7" s="866" customFormat="1" ht="12" thickTop="1" x14ac:dyDescent="0.2">
      <c r="A7" s="867" t="s">
        <v>522</v>
      </c>
      <c r="B7" s="868"/>
      <c r="C7" s="869"/>
      <c r="D7" s="868"/>
      <c r="E7" s="869"/>
      <c r="F7" s="868"/>
    </row>
    <row r="8" spans="1:7" x14ac:dyDescent="0.2">
      <c r="A8" s="870" t="s">
        <v>478</v>
      </c>
      <c r="B8" s="871" t="s">
        <v>1543</v>
      </c>
      <c r="C8" s="872"/>
      <c r="D8" s="870" t="s">
        <v>521</v>
      </c>
      <c r="E8" s="869" t="s">
        <v>1014</v>
      </c>
      <c r="F8" s="1922">
        <f>'Expenditures 15-22'!K114</f>
        <v>16638985</v>
      </c>
      <c r="G8" s="866"/>
    </row>
    <row r="9" spans="1:7" x14ac:dyDescent="0.2">
      <c r="A9" s="870" t="s">
        <v>479</v>
      </c>
      <c r="B9" s="871" t="s">
        <v>1985</v>
      </c>
      <c r="C9" s="872"/>
      <c r="D9" s="870" t="s">
        <v>521</v>
      </c>
      <c r="E9" s="869"/>
      <c r="F9" s="1923">
        <f>'Expenditures 15-22'!K151</f>
        <v>1877821</v>
      </c>
      <c r="G9" s="873"/>
    </row>
    <row r="10" spans="1:7" x14ac:dyDescent="0.2">
      <c r="A10" s="870" t="s">
        <v>519</v>
      </c>
      <c r="B10" s="871" t="s">
        <v>1986</v>
      </c>
      <c r="C10" s="872"/>
      <c r="D10" s="870" t="s">
        <v>521</v>
      </c>
      <c r="E10" s="869"/>
      <c r="F10" s="1923">
        <f>'Expenditures 15-22'!K174</f>
        <v>3378560</v>
      </c>
      <c r="G10" s="873"/>
    </row>
    <row r="11" spans="1:7" x14ac:dyDescent="0.2">
      <c r="A11" s="870" t="s">
        <v>480</v>
      </c>
      <c r="B11" s="871" t="s">
        <v>1987</v>
      </c>
      <c r="C11" s="872"/>
      <c r="D11" s="870" t="s">
        <v>521</v>
      </c>
      <c r="E11" s="869"/>
      <c r="F11" s="1923">
        <f>'Expenditures 15-22'!K210</f>
        <v>2003221</v>
      </c>
      <c r="G11" s="873"/>
    </row>
    <row r="12" spans="1:7" x14ac:dyDescent="0.2">
      <c r="A12" s="870" t="s">
        <v>481</v>
      </c>
      <c r="B12" s="871" t="s">
        <v>1988</v>
      </c>
      <c r="C12" s="872"/>
      <c r="D12" s="870" t="s">
        <v>521</v>
      </c>
      <c r="E12" s="869"/>
      <c r="F12" s="1923">
        <f>'Expenditures 15-22'!K295</f>
        <v>1036275</v>
      </c>
      <c r="G12" s="873"/>
    </row>
    <row r="13" spans="1:7" x14ac:dyDescent="0.2">
      <c r="A13" s="870" t="s">
        <v>108</v>
      </c>
      <c r="B13" s="871" t="s">
        <v>1989</v>
      </c>
      <c r="C13" s="872"/>
      <c r="D13" s="870" t="s">
        <v>521</v>
      </c>
      <c r="E13" s="869"/>
      <c r="F13" s="1923">
        <f>'Expenditures 15-22'!K342</f>
        <v>1329763</v>
      </c>
      <c r="G13" s="874"/>
    </row>
    <row r="14" spans="1:7" ht="12" customHeight="1" thickBot="1" x14ac:dyDescent="0.25">
      <c r="A14" s="1781"/>
      <c r="B14" s="1782"/>
      <c r="C14" s="1783"/>
      <c r="D14" s="1784" t="s">
        <v>521</v>
      </c>
      <c r="E14" s="1785" t="s">
        <v>1014</v>
      </c>
      <c r="F14" s="1786">
        <f>SUM(F8:F13)</f>
        <v>26264625</v>
      </c>
      <c r="G14" s="866"/>
    </row>
    <row r="15" spans="1:7" ht="3.75" customHeight="1" thickTop="1" x14ac:dyDescent="0.2">
      <c r="A15" s="866"/>
      <c r="B15" s="866"/>
      <c r="C15" s="872"/>
      <c r="D15" s="866"/>
      <c r="E15" s="869"/>
      <c r="F15" s="866"/>
      <c r="G15" s="866"/>
    </row>
    <row r="16" spans="1:7" ht="12" customHeight="1" x14ac:dyDescent="0.2">
      <c r="A16" s="875" t="s">
        <v>532</v>
      </c>
      <c r="B16" s="231"/>
      <c r="C16" s="231"/>
      <c r="D16" s="868"/>
      <c r="E16" s="869"/>
      <c r="F16" s="868"/>
      <c r="G16" s="866"/>
    </row>
    <row r="17" spans="1:7" ht="4.5" customHeight="1" x14ac:dyDescent="0.2">
      <c r="A17" s="875"/>
      <c r="B17" s="231"/>
      <c r="C17" s="231"/>
      <c r="D17" s="868"/>
      <c r="E17" s="869"/>
      <c r="F17" s="868"/>
      <c r="G17" s="866"/>
    </row>
    <row r="18" spans="1:7" x14ac:dyDescent="0.2">
      <c r="A18" s="870" t="s">
        <v>480</v>
      </c>
      <c r="B18" s="871" t="s">
        <v>1067</v>
      </c>
      <c r="C18" s="876">
        <f>'Revenues 9-14'!B43</f>
        <v>1412</v>
      </c>
      <c r="D18" s="877" t="str">
        <f>'Revenues 9-14'!A43</f>
        <v>Regular - Transp Fees from Other Districts (In State)</v>
      </c>
      <c r="E18" s="869" t="s">
        <v>1014</v>
      </c>
      <c r="F18" s="1924">
        <f>'Revenues 9-14'!F43</f>
        <v>0</v>
      </c>
      <c r="G18" s="866"/>
    </row>
    <row r="19" spans="1:7" x14ac:dyDescent="0.2">
      <c r="A19" s="870" t="s">
        <v>480</v>
      </c>
      <c r="B19" s="871" t="s">
        <v>1068</v>
      </c>
      <c r="C19" s="878">
        <f>'Revenues 9-14'!B47</f>
        <v>1421</v>
      </c>
      <c r="D19" s="879" t="str">
        <f>'Revenues 9-14'!A47</f>
        <v>Summer Sch - Transp. Fees from Pupils or Parents (In State)</v>
      </c>
      <c r="E19" s="880"/>
      <c r="F19" s="1925">
        <f>'Revenues 9-14'!F47</f>
        <v>0</v>
      </c>
      <c r="G19" s="866"/>
    </row>
    <row r="20" spans="1:7" x14ac:dyDescent="0.2">
      <c r="A20" s="870" t="s">
        <v>480</v>
      </c>
      <c r="B20" s="871" t="s">
        <v>1069</v>
      </c>
      <c r="C20" s="876">
        <f>'Revenues 9-14'!B48</f>
        <v>1422</v>
      </c>
      <c r="D20" s="877" t="str">
        <f>'Revenues 9-14'!A48</f>
        <v>Summer Sch - Transp. Fees from Other Districts (In State)</v>
      </c>
      <c r="E20" s="869"/>
      <c r="F20" s="1926">
        <f>'Revenues 9-14'!F48</f>
        <v>0</v>
      </c>
      <c r="G20" s="866"/>
    </row>
    <row r="21" spans="1:7" x14ac:dyDescent="0.2">
      <c r="A21" s="870" t="s">
        <v>480</v>
      </c>
      <c r="B21" s="871" t="s">
        <v>1070</v>
      </c>
      <c r="C21" s="878">
        <f>'Revenues 9-14'!B49</f>
        <v>1423</v>
      </c>
      <c r="D21" s="877" t="str">
        <f>'Revenues 9-14'!A49</f>
        <v>Summer Sch - Transp. Fees from Other Sources (In State)</v>
      </c>
      <c r="E21" s="869"/>
      <c r="F21" s="1927">
        <f>'Revenues 9-14'!F49</f>
        <v>0</v>
      </c>
      <c r="G21" s="866"/>
    </row>
    <row r="22" spans="1:7" x14ac:dyDescent="0.2">
      <c r="A22" s="870" t="s">
        <v>480</v>
      </c>
      <c r="B22" s="871" t="s">
        <v>1071</v>
      </c>
      <c r="C22" s="878">
        <f>'Revenues 9-14'!B50</f>
        <v>1424</v>
      </c>
      <c r="D22" s="877" t="str">
        <f>'Revenues 9-14'!A50</f>
        <v>Summer Sch - Transp. Fees from Other Sources (Out of State)</v>
      </c>
      <c r="E22" s="869"/>
      <c r="F22" s="1927">
        <f>'Revenues 9-14'!F50</f>
        <v>0</v>
      </c>
      <c r="G22" s="866"/>
    </row>
    <row r="23" spans="1:7" x14ac:dyDescent="0.2">
      <c r="A23" s="870" t="s">
        <v>480</v>
      </c>
      <c r="B23" s="871" t="s">
        <v>1072</v>
      </c>
      <c r="C23" s="876">
        <f>'Revenues 9-14'!B52</f>
        <v>1432</v>
      </c>
      <c r="D23" s="877" t="str">
        <f>'Revenues 9-14'!A52</f>
        <v>CTE - Transp Fees from Other Districts (In State)</v>
      </c>
      <c r="E23" s="869"/>
      <c r="F23" s="1927">
        <f>'Revenues 9-14'!F52</f>
        <v>0</v>
      </c>
      <c r="G23" s="866"/>
    </row>
    <row r="24" spans="1:7" x14ac:dyDescent="0.2">
      <c r="A24" s="870" t="s">
        <v>480</v>
      </c>
      <c r="B24" s="871" t="s">
        <v>1073</v>
      </c>
      <c r="C24" s="876">
        <f>'Revenues 9-14'!B56</f>
        <v>1442</v>
      </c>
      <c r="D24" s="877" t="str">
        <f>'Revenues 9-14'!A56</f>
        <v>Special Ed - Transp Fees from Other Districts (In State)</v>
      </c>
      <c r="E24" s="869"/>
      <c r="F24" s="1927">
        <f>'Revenues 9-14'!F56</f>
        <v>0</v>
      </c>
      <c r="G24" s="866"/>
    </row>
    <row r="25" spans="1:7" x14ac:dyDescent="0.2">
      <c r="A25" s="870" t="s">
        <v>480</v>
      </c>
      <c r="B25" s="871" t="s">
        <v>1074</v>
      </c>
      <c r="C25" s="876">
        <f>'Revenues 9-14'!B59</f>
        <v>1451</v>
      </c>
      <c r="D25" s="877" t="str">
        <f>'Revenues 9-14'!A59</f>
        <v>Adult - Transp Fees from Pupils or Parents (In State)</v>
      </c>
      <c r="E25" s="869"/>
      <c r="F25" s="1927">
        <f>'Revenues 9-14'!F59</f>
        <v>0</v>
      </c>
      <c r="G25" s="866"/>
    </row>
    <row r="26" spans="1:7" x14ac:dyDescent="0.2">
      <c r="A26" s="870" t="s">
        <v>480</v>
      </c>
      <c r="B26" s="871" t="s">
        <v>1075</v>
      </c>
      <c r="C26" s="876">
        <f>'Revenues 9-14'!B60</f>
        <v>1452</v>
      </c>
      <c r="D26" s="877" t="str">
        <f>'Revenues 9-14'!A60</f>
        <v>Adult - Transp Fees from Other Districts (In State)</v>
      </c>
      <c r="E26" s="869"/>
      <c r="F26" s="1927">
        <f>'Revenues 9-14'!F60</f>
        <v>0</v>
      </c>
      <c r="G26" s="866"/>
    </row>
    <row r="27" spans="1:7" x14ac:dyDescent="0.2">
      <c r="A27" s="870" t="s">
        <v>480</v>
      </c>
      <c r="B27" s="871" t="s">
        <v>1076</v>
      </c>
      <c r="C27" s="876">
        <f>'Revenues 9-14'!B61</f>
        <v>1453</v>
      </c>
      <c r="D27" s="877" t="str">
        <f>'Revenues 9-14'!A61</f>
        <v>Adult - Transp Fees from Other Sources (In State)</v>
      </c>
      <c r="E27" s="869"/>
      <c r="F27" s="1927">
        <f>'Revenues 9-14'!F61</f>
        <v>0</v>
      </c>
      <c r="G27" s="866"/>
    </row>
    <row r="28" spans="1:7" x14ac:dyDescent="0.2">
      <c r="A28" s="870" t="s">
        <v>480</v>
      </c>
      <c r="B28" s="871" t="s">
        <v>1077</v>
      </c>
      <c r="C28" s="876">
        <f>'Revenues 9-14'!B62</f>
        <v>1454</v>
      </c>
      <c r="D28" s="877" t="str">
        <f>'Revenues 9-14'!A62</f>
        <v>Adult - Transp Fees from Other Sources (Out of State)</v>
      </c>
      <c r="E28" s="869"/>
      <c r="F28" s="1927">
        <f>'Revenues 9-14'!F62</f>
        <v>0</v>
      </c>
      <c r="G28" s="866"/>
    </row>
    <row r="29" spans="1:7" x14ac:dyDescent="0.2">
      <c r="A29" s="870" t="s">
        <v>1158</v>
      </c>
      <c r="B29" s="871" t="s">
        <v>1682</v>
      </c>
      <c r="C29" s="881">
        <f>'Revenues 9-14'!B148</f>
        <v>3410</v>
      </c>
      <c r="D29" s="882" t="str">
        <f>'Revenues 9-14'!A148</f>
        <v>Adult Ed (from ICCB)</v>
      </c>
      <c r="E29" s="869"/>
      <c r="F29" s="1927">
        <f>SUM('Revenues 9-14'!D148,F149)</f>
        <v>0</v>
      </c>
      <c r="G29" s="866"/>
    </row>
    <row r="30" spans="1:7" x14ac:dyDescent="0.2">
      <c r="A30" s="870" t="s">
        <v>1158</v>
      </c>
      <c r="B30" s="871" t="s">
        <v>860</v>
      </c>
      <c r="C30" s="881">
        <f>'Revenues 9-14'!B149</f>
        <v>3499</v>
      </c>
      <c r="D30" s="882" t="str">
        <f>'Revenues 9-14'!A149</f>
        <v>Adult Ed - Other (Describe &amp; Itemize)</v>
      </c>
      <c r="E30" s="869"/>
      <c r="F30" s="1928">
        <f>('Revenues 9-14'!D149+'Revenues 9-14'!F149)</f>
        <v>0</v>
      </c>
      <c r="G30" s="866"/>
    </row>
    <row r="31" spans="1:7" x14ac:dyDescent="0.2">
      <c r="A31" s="870" t="s">
        <v>1158</v>
      </c>
      <c r="B31" s="871" t="s">
        <v>861</v>
      </c>
      <c r="C31" s="876">
        <f>'Revenues 9-14'!B218</f>
        <v>4600</v>
      </c>
      <c r="D31" s="884" t="str">
        <f>'Revenues 9-14'!A218</f>
        <v>Fed - Spec Education - Preschool Flow-Through</v>
      </c>
      <c r="E31" s="885"/>
      <c r="F31" s="1927">
        <f>SUM('Revenues 9-14'!D218,'Revenues 9-14'!F218)</f>
        <v>0</v>
      </c>
      <c r="G31" s="866"/>
    </row>
    <row r="32" spans="1:7" x14ac:dyDescent="0.2">
      <c r="A32" s="870" t="s">
        <v>1158</v>
      </c>
      <c r="B32" s="871" t="s">
        <v>799</v>
      </c>
      <c r="C32" s="876">
        <f>'Revenues 9-14'!B219</f>
        <v>4605</v>
      </c>
      <c r="D32" s="886" t="str">
        <f>'Revenues 9-14'!A219</f>
        <v>Fed - Spec Education - Preschool Discretionary</v>
      </c>
      <c r="E32" s="885"/>
      <c r="F32" s="1927">
        <f>SUM('Revenues 9-14'!D219,'Revenues 9-14'!F219)</f>
        <v>0</v>
      </c>
      <c r="G32" s="866"/>
    </row>
    <row r="33" spans="1:7" x14ac:dyDescent="0.2">
      <c r="A33" s="870" t="s">
        <v>479</v>
      </c>
      <c r="B33" s="871" t="s">
        <v>800</v>
      </c>
      <c r="C33" s="876">
        <f>'Revenues 9-14'!B229</f>
        <v>4810</v>
      </c>
      <c r="D33" s="884" t="str">
        <f>'Revenues 9-14'!A229</f>
        <v>Federal - Adult Education</v>
      </c>
      <c r="E33" s="869"/>
      <c r="F33" s="1927">
        <f>'Revenues 9-14'!D229</f>
        <v>0</v>
      </c>
      <c r="G33" s="866"/>
    </row>
    <row r="34" spans="1:7" x14ac:dyDescent="0.2">
      <c r="A34" s="870" t="s">
        <v>478</v>
      </c>
      <c r="B34" s="870" t="s">
        <v>1544</v>
      </c>
      <c r="C34" s="887" t="str">
        <f>'Expenditures 15-22'!B7</f>
        <v>1125</v>
      </c>
      <c r="D34" s="888" t="str">
        <f>'Expenditures 15-22'!A7</f>
        <v>Pre-K Programs</v>
      </c>
      <c r="E34" s="869"/>
      <c r="F34" s="1927">
        <f>'Expenditures 15-22'!K7-SUM('Expenditures 15-22'!G7,'Expenditures 15-22'!I7)</f>
        <v>401645</v>
      </c>
      <c r="G34" s="866"/>
    </row>
    <row r="35" spans="1:7" x14ac:dyDescent="0.2">
      <c r="A35" s="870" t="s">
        <v>478</v>
      </c>
      <c r="B35" s="870" t="s">
        <v>1545</v>
      </c>
      <c r="C35" s="887" t="str">
        <f>'Expenditures 15-22'!B9</f>
        <v>1225</v>
      </c>
      <c r="D35" s="888" t="str">
        <f>'Expenditures 15-22'!A9</f>
        <v>Special Education Programs Pre-K</v>
      </c>
      <c r="E35" s="869"/>
      <c r="F35" s="1927">
        <f>'Expenditures 15-22'!K9-SUM('Expenditures 15-22'!G9+'Expenditures 15-22'!I9)</f>
        <v>0</v>
      </c>
      <c r="G35" s="866"/>
    </row>
    <row r="36" spans="1:7" x14ac:dyDescent="0.2">
      <c r="A36" s="870" t="s">
        <v>478</v>
      </c>
      <c r="B36" s="870" t="s">
        <v>118</v>
      </c>
      <c r="C36" s="887" t="str">
        <f>'Expenditures 15-22'!B11</f>
        <v>1275</v>
      </c>
      <c r="D36" s="888" t="str">
        <f>'Expenditures 15-22'!A11</f>
        <v>Remedial and Supplemental Programs Pre-K</v>
      </c>
      <c r="E36" s="869"/>
      <c r="F36" s="1927">
        <f>'Expenditures 15-22'!K11-SUM('Expenditures 15-22'!G11,'Expenditures 15-22'!I11)</f>
        <v>0</v>
      </c>
      <c r="G36" s="866"/>
    </row>
    <row r="37" spans="1:7" x14ac:dyDescent="0.2">
      <c r="A37" s="870" t="s">
        <v>478</v>
      </c>
      <c r="B37" s="870" t="s">
        <v>1546</v>
      </c>
      <c r="C37" s="887">
        <f>'Expenditures 15-22'!B12</f>
        <v>1300</v>
      </c>
      <c r="D37" s="889" t="str">
        <f>'Expenditures 15-22'!A12</f>
        <v>Adult/Continuing Education Programs</v>
      </c>
      <c r="E37" s="869"/>
      <c r="F37" s="1927">
        <f>'Expenditures 15-22'!K12-SUM('Expenditures 15-22'!G12+'Expenditures 15-22'!I12)</f>
        <v>0</v>
      </c>
      <c r="G37" s="866"/>
    </row>
    <row r="38" spans="1:7" x14ac:dyDescent="0.2">
      <c r="A38" s="870" t="s">
        <v>478</v>
      </c>
      <c r="B38" s="870" t="s">
        <v>1547</v>
      </c>
      <c r="C38" s="887">
        <f>'Expenditures 15-22'!B15</f>
        <v>1600</v>
      </c>
      <c r="D38" s="889" t="str">
        <f>'Expenditures 15-22'!A15</f>
        <v>Summer School Programs</v>
      </c>
      <c r="E38" s="869"/>
      <c r="F38" s="1927">
        <f>'Expenditures 15-22'!K15-SUM('Expenditures 15-22'!G15,'Expenditures 15-22'!I15)</f>
        <v>6790</v>
      </c>
      <c r="G38" s="866"/>
    </row>
    <row r="39" spans="1:7" x14ac:dyDescent="0.2">
      <c r="A39" s="870" t="s">
        <v>478</v>
      </c>
      <c r="B39" s="870" t="s">
        <v>119</v>
      </c>
      <c r="C39" s="887" t="str">
        <f>'Expenditures 15-22'!B20</f>
        <v>1910</v>
      </c>
      <c r="D39" s="889" t="str">
        <f>'Expenditures 15-22'!A20</f>
        <v>Pre-K Programs - Private Tuition</v>
      </c>
      <c r="E39" s="869"/>
      <c r="F39" s="1927">
        <f>'Expenditures 15-22'!K20</f>
        <v>0</v>
      </c>
      <c r="G39" s="866"/>
    </row>
    <row r="40" spans="1:7" x14ac:dyDescent="0.2">
      <c r="A40" s="870" t="s">
        <v>478</v>
      </c>
      <c r="B40" s="870" t="s">
        <v>120</v>
      </c>
      <c r="C40" s="887" t="str">
        <f>'Expenditures 15-22'!B21</f>
        <v>1911</v>
      </c>
      <c r="D40" s="889" t="str">
        <f>'Expenditures 15-22'!A21</f>
        <v>Regular K-12 Programs - Private Tuition</v>
      </c>
      <c r="E40" s="869"/>
      <c r="F40" s="1927">
        <f>'Expenditures 15-22'!K21</f>
        <v>0</v>
      </c>
      <c r="G40" s="866"/>
    </row>
    <row r="41" spans="1:7" x14ac:dyDescent="0.2">
      <c r="A41" s="870" t="s">
        <v>478</v>
      </c>
      <c r="B41" s="870" t="s">
        <v>121</v>
      </c>
      <c r="C41" s="887" t="str">
        <f>'Expenditures 15-22'!B22</f>
        <v>1912</v>
      </c>
      <c r="D41" s="889" t="str">
        <f>'Expenditures 15-22'!A22</f>
        <v>Special Education Programs K-12 - Private Tuition</v>
      </c>
      <c r="E41" s="869"/>
      <c r="F41" s="1927">
        <f>'Expenditures 15-22'!K22</f>
        <v>100544</v>
      </c>
      <c r="G41" s="866"/>
    </row>
    <row r="42" spans="1:7" x14ac:dyDescent="0.2">
      <c r="A42" s="870" t="s">
        <v>478</v>
      </c>
      <c r="B42" s="870" t="s">
        <v>122</v>
      </c>
      <c r="C42" s="890" t="str">
        <f>'Expenditures 15-22'!B23</f>
        <v>1913</v>
      </c>
      <c r="D42" s="889" t="str">
        <f>'Expenditures 15-22'!A23</f>
        <v>Special Education Programs Pre-K - Tuition</v>
      </c>
      <c r="E42" s="869"/>
      <c r="F42" s="1927">
        <f>'Expenditures 15-22'!K23</f>
        <v>0</v>
      </c>
      <c r="G42" s="866"/>
    </row>
    <row r="43" spans="1:7" x14ac:dyDescent="0.2">
      <c r="A43" s="870" t="s">
        <v>478</v>
      </c>
      <c r="B43" s="870" t="s">
        <v>123</v>
      </c>
      <c r="C43" s="887" t="str">
        <f>'Expenditures 15-22'!B24</f>
        <v>1914</v>
      </c>
      <c r="D43" s="889" t="str">
        <f>'Expenditures 15-22'!A24</f>
        <v>Remedial/Supplemental Programs K-12 - Private Tuition</v>
      </c>
      <c r="E43" s="869"/>
      <c r="F43" s="1927">
        <f>'Expenditures 15-22'!K24</f>
        <v>0</v>
      </c>
      <c r="G43" s="866"/>
    </row>
    <row r="44" spans="1:7" x14ac:dyDescent="0.2">
      <c r="A44" s="870" t="s">
        <v>478</v>
      </c>
      <c r="B44" s="870" t="s">
        <v>124</v>
      </c>
      <c r="C44" s="890" t="str">
        <f>'Expenditures 15-22'!B25</f>
        <v>1915</v>
      </c>
      <c r="D44" s="889" t="str">
        <f>'Expenditures 15-22'!A25</f>
        <v>Remedial/Supplemental Programs Pre-K - Private Tuition</v>
      </c>
      <c r="E44" s="869"/>
      <c r="F44" s="1927">
        <f>'Expenditures 15-22'!K25</f>
        <v>0</v>
      </c>
      <c r="G44" s="866"/>
    </row>
    <row r="45" spans="1:7" x14ac:dyDescent="0.2">
      <c r="A45" s="870" t="s">
        <v>478</v>
      </c>
      <c r="B45" s="870" t="s">
        <v>125</v>
      </c>
      <c r="C45" s="890" t="str">
        <f>'Expenditures 15-22'!B26</f>
        <v>1916</v>
      </c>
      <c r="D45" s="889" t="str">
        <f>'Expenditures 15-22'!A26</f>
        <v>Adult/Continuing Education Programs - Private Tuition</v>
      </c>
      <c r="E45" s="869"/>
      <c r="F45" s="1927">
        <f>'Expenditures 15-22'!K26</f>
        <v>0</v>
      </c>
      <c r="G45" s="866"/>
    </row>
    <row r="46" spans="1:7" x14ac:dyDescent="0.2">
      <c r="A46" s="870" t="s">
        <v>478</v>
      </c>
      <c r="B46" s="870" t="s">
        <v>126</v>
      </c>
      <c r="C46" s="887" t="str">
        <f>'Expenditures 15-22'!B27</f>
        <v>1917</v>
      </c>
      <c r="D46" s="889" t="str">
        <f>'Expenditures 15-22'!A27</f>
        <v>CTE Programs - Private Tuition</v>
      </c>
      <c r="E46" s="869"/>
      <c r="F46" s="1927">
        <f>'Expenditures 15-22'!K27</f>
        <v>0</v>
      </c>
      <c r="G46" s="866"/>
    </row>
    <row r="47" spans="1:7" x14ac:dyDescent="0.2">
      <c r="A47" s="870" t="s">
        <v>478</v>
      </c>
      <c r="B47" s="870" t="s">
        <v>127</v>
      </c>
      <c r="C47" s="891" t="str">
        <f>'Expenditures 15-22'!B28</f>
        <v>1918</v>
      </c>
      <c r="D47" s="892" t="str">
        <f>'Expenditures 15-22'!A28</f>
        <v>Interscholastic Programs - Private Tuition</v>
      </c>
      <c r="E47" s="869"/>
      <c r="F47" s="1927">
        <f>'Expenditures 15-22'!K28</f>
        <v>0</v>
      </c>
      <c r="G47" s="866"/>
    </row>
    <row r="48" spans="1:7" x14ac:dyDescent="0.2">
      <c r="A48" s="870" t="s">
        <v>478</v>
      </c>
      <c r="B48" s="870" t="s">
        <v>128</v>
      </c>
      <c r="C48" s="890" t="str">
        <f>'Expenditures 15-22'!B29</f>
        <v>1919</v>
      </c>
      <c r="D48" s="889" t="str">
        <f>'Expenditures 15-22'!A29</f>
        <v>Summer School Programs - Private Tuition</v>
      </c>
      <c r="E48" s="869"/>
      <c r="F48" s="1927">
        <f>'Expenditures 15-22'!K29</f>
        <v>0</v>
      </c>
      <c r="G48" s="866"/>
    </row>
    <row r="49" spans="1:7" x14ac:dyDescent="0.2">
      <c r="A49" s="870" t="s">
        <v>478</v>
      </c>
      <c r="B49" s="870" t="s">
        <v>129</v>
      </c>
      <c r="C49" s="887" t="str">
        <f>'Expenditures 15-22'!B30</f>
        <v>1920</v>
      </c>
      <c r="D49" s="889" t="str">
        <f>'Expenditures 15-22'!A30</f>
        <v>Gifted Programs - Private Tuition</v>
      </c>
      <c r="E49" s="869"/>
      <c r="F49" s="1927">
        <f>'Expenditures 15-22'!K30</f>
        <v>0</v>
      </c>
      <c r="G49" s="866"/>
    </row>
    <row r="50" spans="1:7" x14ac:dyDescent="0.2">
      <c r="A50" s="870" t="s">
        <v>478</v>
      </c>
      <c r="B50" s="870" t="s">
        <v>130</v>
      </c>
      <c r="C50" s="887" t="str">
        <f>'Expenditures 15-22'!B31</f>
        <v>1921</v>
      </c>
      <c r="D50" s="889" t="str">
        <f>'Expenditures 15-22'!A31</f>
        <v>Bilingual Programs - Private Tuition</v>
      </c>
      <c r="E50" s="869"/>
      <c r="F50" s="1927">
        <f>'Expenditures 15-22'!K31</f>
        <v>0</v>
      </c>
      <c r="G50" s="866"/>
    </row>
    <row r="51" spans="1:7" x14ac:dyDescent="0.2">
      <c r="A51" s="870" t="s">
        <v>478</v>
      </c>
      <c r="B51" s="870" t="s">
        <v>1548</v>
      </c>
      <c r="C51" s="887" t="str">
        <f>'Expenditures 15-22'!B32</f>
        <v>1922</v>
      </c>
      <c r="D51" s="889" t="str">
        <f>'Expenditures 15-22'!A32</f>
        <v>Truants Alternative/Optional Ed Progms - Private Tuition</v>
      </c>
      <c r="E51" s="869"/>
      <c r="F51" s="1927">
        <f>'Expenditures 15-22'!K32</f>
        <v>0</v>
      </c>
      <c r="G51" s="866"/>
    </row>
    <row r="52" spans="1:7" x14ac:dyDescent="0.2">
      <c r="A52" s="870" t="s">
        <v>478</v>
      </c>
      <c r="B52" s="870" t="s">
        <v>1549</v>
      </c>
      <c r="C52" s="890" t="str">
        <f>'Expenditures 15-22'!B75</f>
        <v>3000</v>
      </c>
      <c r="D52" s="889" t="s">
        <v>468</v>
      </c>
      <c r="E52" s="869"/>
      <c r="F52" s="1927">
        <f>'Expenditures 15-22'!K75-SUM('Expenditures 15-22'!G75,'Expenditures 15-22'!I75)</f>
        <v>177897</v>
      </c>
      <c r="G52" s="866"/>
    </row>
    <row r="53" spans="1:7" x14ac:dyDescent="0.2">
      <c r="A53" s="870" t="s">
        <v>478</v>
      </c>
      <c r="B53" s="870" t="s">
        <v>1550</v>
      </c>
      <c r="C53" s="890">
        <f>'Expenditures 15-22'!B102</f>
        <v>4000</v>
      </c>
      <c r="D53" s="889" t="str">
        <f>'Expenditures 15-22'!A102</f>
        <v>Total Payments to Other Govt Units</v>
      </c>
      <c r="E53" s="869"/>
      <c r="F53" s="1927">
        <f>'Expenditures 15-22'!K102</f>
        <v>571831</v>
      </c>
      <c r="G53" s="866"/>
    </row>
    <row r="54" spans="1:7" x14ac:dyDescent="0.2">
      <c r="A54" s="870" t="s">
        <v>478</v>
      </c>
      <c r="B54" s="870" t="s">
        <v>1551</v>
      </c>
      <c r="C54" s="890" t="s">
        <v>1038</v>
      </c>
      <c r="D54" s="886" t="s">
        <v>1156</v>
      </c>
      <c r="E54" s="869"/>
      <c r="F54" s="1927">
        <f>'Expenditures 15-22'!G114</f>
        <v>23304</v>
      </c>
      <c r="G54" s="866"/>
    </row>
    <row r="55" spans="1:7" x14ac:dyDescent="0.2">
      <c r="A55" s="870" t="s">
        <v>478</v>
      </c>
      <c r="B55" s="870" t="s">
        <v>1552</v>
      </c>
      <c r="C55" s="890" t="s">
        <v>1038</v>
      </c>
      <c r="D55" s="886" t="s">
        <v>308</v>
      </c>
      <c r="E55" s="869"/>
      <c r="F55" s="1927">
        <f>'Expenditures 15-22'!I114</f>
        <v>135756</v>
      </c>
      <c r="G55" s="866"/>
    </row>
    <row r="56" spans="1:7" x14ac:dyDescent="0.2">
      <c r="A56" s="870" t="s">
        <v>479</v>
      </c>
      <c r="B56" s="870" t="s">
        <v>1553</v>
      </c>
      <c r="C56" s="887" t="str">
        <f>'Expenditures 15-22'!B130</f>
        <v>3000</v>
      </c>
      <c r="D56" s="893" t="s">
        <v>468</v>
      </c>
      <c r="E56" s="869"/>
      <c r="F56" s="1927">
        <f>'Expenditures 15-22'!K130-SUM('Expenditures 15-22'!G130+'Expenditures 15-22'!I130)</f>
        <v>0</v>
      </c>
      <c r="G56" s="866"/>
    </row>
    <row r="57" spans="1:7" x14ac:dyDescent="0.2">
      <c r="A57" s="870" t="s">
        <v>479</v>
      </c>
      <c r="B57" s="870" t="s">
        <v>1990</v>
      </c>
      <c r="C57" s="890">
        <f>'Expenditures 15-22'!B139</f>
        <v>4000</v>
      </c>
      <c r="D57" s="888" t="str">
        <f>'Expenditures 15-22'!A139</f>
        <v>Total Payments to Other Govt Units</v>
      </c>
      <c r="E57" s="869"/>
      <c r="F57" s="1927">
        <f>'Expenditures 15-22'!K139</f>
        <v>0</v>
      </c>
      <c r="G57" s="866"/>
    </row>
    <row r="58" spans="1:7" x14ac:dyDescent="0.2">
      <c r="A58" s="870" t="s">
        <v>479</v>
      </c>
      <c r="B58" s="870" t="s">
        <v>1991</v>
      </c>
      <c r="C58" s="887" t="s">
        <v>1038</v>
      </c>
      <c r="D58" s="886" t="s">
        <v>1156</v>
      </c>
      <c r="E58" s="869"/>
      <c r="F58" s="1929">
        <f>'Expenditures 15-22'!G151</f>
        <v>27760</v>
      </c>
      <c r="G58" s="866"/>
    </row>
    <row r="59" spans="1:7" x14ac:dyDescent="0.2">
      <c r="A59" s="894" t="s">
        <v>479</v>
      </c>
      <c r="B59" s="857" t="s">
        <v>1992</v>
      </c>
      <c r="C59" s="895" t="s">
        <v>1038</v>
      </c>
      <c r="D59" s="857" t="s">
        <v>308</v>
      </c>
      <c r="F59" s="1930">
        <f>'Expenditures 15-22'!I151</f>
        <v>0</v>
      </c>
      <c r="G59" s="866"/>
    </row>
    <row r="60" spans="1:7" x14ac:dyDescent="0.2">
      <c r="A60" s="894" t="s">
        <v>519</v>
      </c>
      <c r="B60" s="857" t="s">
        <v>1993</v>
      </c>
      <c r="C60" s="895">
        <v>4000</v>
      </c>
      <c r="D60" s="857" t="s">
        <v>329</v>
      </c>
      <c r="F60" s="1928">
        <f>'Expenditures 15-22'!K160</f>
        <v>0</v>
      </c>
      <c r="G60" s="866"/>
    </row>
    <row r="61" spans="1:7" x14ac:dyDescent="0.2">
      <c r="A61" s="896" t="s">
        <v>519</v>
      </c>
      <c r="B61" s="896" t="s">
        <v>1994</v>
      </c>
      <c r="C61" s="897" t="str">
        <f>'Expenditures 15-22'!B170</f>
        <v>5300</v>
      </c>
      <c r="D61" s="898" t="s">
        <v>328</v>
      </c>
      <c r="E61" s="880"/>
      <c r="F61" s="1927">
        <f>'Expenditures 15-22'!K170</f>
        <v>1659297</v>
      </c>
      <c r="G61" s="866"/>
    </row>
    <row r="62" spans="1:7" x14ac:dyDescent="0.2">
      <c r="A62" s="870" t="s">
        <v>480</v>
      </c>
      <c r="B62" s="870" t="s">
        <v>1995</v>
      </c>
      <c r="C62" s="887">
        <f>'Expenditures 15-22'!B185</f>
        <v>3000</v>
      </c>
      <c r="D62" s="877" t="s">
        <v>468</v>
      </c>
      <c r="E62" s="869"/>
      <c r="F62" s="1927">
        <f>'Expenditures 15-22'!K185-SUM('Expenditures 15-22'!G185,'Expenditures 15-22'!I185)</f>
        <v>0</v>
      </c>
      <c r="G62" s="866"/>
    </row>
    <row r="63" spans="1:7" x14ac:dyDescent="0.2">
      <c r="A63" s="870" t="s">
        <v>480</v>
      </c>
      <c r="B63" s="870" t="s">
        <v>1996</v>
      </c>
      <c r="C63" s="887" t="str">
        <f>'Expenditures 15-22'!B196</f>
        <v>4000</v>
      </c>
      <c r="D63" s="888" t="str">
        <f>'Expenditures 15-22'!A196</f>
        <v>Total Payments to Other Govt Units</v>
      </c>
      <c r="E63" s="869"/>
      <c r="F63" s="1927">
        <f>'Expenditures 15-22'!K196</f>
        <v>0</v>
      </c>
      <c r="G63" s="866"/>
    </row>
    <row r="64" spans="1:7" x14ac:dyDescent="0.2">
      <c r="A64" s="896" t="s">
        <v>480</v>
      </c>
      <c r="B64" s="896" t="s">
        <v>1997</v>
      </c>
      <c r="C64" s="897" t="str">
        <f>'Expenditures 15-22'!B206</f>
        <v>5300</v>
      </c>
      <c r="D64" s="893" t="s">
        <v>328</v>
      </c>
      <c r="E64" s="869"/>
      <c r="F64" s="1927">
        <f>'Expenditures 15-22'!K206</f>
        <v>183259</v>
      </c>
      <c r="G64" s="866"/>
    </row>
    <row r="65" spans="1:8" x14ac:dyDescent="0.2">
      <c r="A65" s="870" t="s">
        <v>480</v>
      </c>
      <c r="B65" s="870" t="s">
        <v>1998</v>
      </c>
      <c r="C65" s="887" t="s">
        <v>1038</v>
      </c>
      <c r="D65" s="886" t="s">
        <v>1156</v>
      </c>
      <c r="E65" s="869"/>
      <c r="F65" s="1927">
        <f>'Expenditures 15-22'!G210</f>
        <v>19135</v>
      </c>
      <c r="G65" s="866"/>
    </row>
    <row r="66" spans="1:8" x14ac:dyDescent="0.2">
      <c r="A66" s="870" t="s">
        <v>480</v>
      </c>
      <c r="B66" s="870" t="s">
        <v>1999</v>
      </c>
      <c r="C66" s="887" t="s">
        <v>1038</v>
      </c>
      <c r="D66" s="886" t="s">
        <v>308</v>
      </c>
      <c r="E66" s="869"/>
      <c r="F66" s="1927">
        <f>'Expenditures 15-22'!I210</f>
        <v>0</v>
      </c>
      <c r="G66" s="866"/>
    </row>
    <row r="67" spans="1:8" x14ac:dyDescent="0.2">
      <c r="A67" s="870" t="s">
        <v>481</v>
      </c>
      <c r="B67" s="870" t="s">
        <v>2000</v>
      </c>
      <c r="C67" s="887" t="str">
        <f>'Expenditures 15-22'!B216</f>
        <v>1125</v>
      </c>
      <c r="D67" s="893" t="str">
        <f>'Expenditures 15-22'!A216</f>
        <v>Pre-K Programs</v>
      </c>
      <c r="E67" s="869"/>
      <c r="F67" s="1927">
        <f>'Expenditures 15-22'!K216</f>
        <v>24840</v>
      </c>
      <c r="G67" s="866"/>
    </row>
    <row r="68" spans="1:8" x14ac:dyDescent="0.2">
      <c r="A68" s="870" t="s">
        <v>481</v>
      </c>
      <c r="B68" s="870" t="s">
        <v>1554</v>
      </c>
      <c r="C68" s="887" t="str">
        <f>'Expenditures 15-22'!B218</f>
        <v>1225</v>
      </c>
      <c r="D68" s="893" t="str">
        <f>'Expenditures 15-22'!A218</f>
        <v>Special Education Programs - Pre-K</v>
      </c>
      <c r="E68" s="869"/>
      <c r="F68" s="1927">
        <f>'Expenditures 15-22'!K218</f>
        <v>0</v>
      </c>
      <c r="G68" s="866"/>
    </row>
    <row r="69" spans="1:8" x14ac:dyDescent="0.2">
      <c r="A69" s="870" t="s">
        <v>481</v>
      </c>
      <c r="B69" s="870" t="s">
        <v>2001</v>
      </c>
      <c r="C69" s="887" t="str">
        <f>'Expenditures 15-22'!B220</f>
        <v>1275</v>
      </c>
      <c r="D69" s="893" t="str">
        <f>'Expenditures 15-22'!A220</f>
        <v>Remedial and Supplemental Programs - Pre-K</v>
      </c>
      <c r="E69" s="869"/>
      <c r="F69" s="1927">
        <f>'Expenditures 15-22'!K220</f>
        <v>0</v>
      </c>
      <c r="G69" s="866"/>
    </row>
    <row r="70" spans="1:8" x14ac:dyDescent="0.2">
      <c r="A70" s="870" t="s">
        <v>481</v>
      </c>
      <c r="B70" s="870" t="s">
        <v>2002</v>
      </c>
      <c r="C70" s="887">
        <f>'Expenditures 15-22'!B221</f>
        <v>1300</v>
      </c>
      <c r="D70" s="888" t="str">
        <f>'Expenditures 15-22'!A221</f>
        <v>Adult/Continuing Education Programs</v>
      </c>
      <c r="E70" s="869"/>
      <c r="F70" s="1927">
        <f>'Expenditures 15-22'!K221</f>
        <v>0</v>
      </c>
      <c r="G70" s="866"/>
    </row>
    <row r="71" spans="1:8" x14ac:dyDescent="0.2">
      <c r="A71" s="870" t="s">
        <v>481</v>
      </c>
      <c r="B71" s="870" t="s">
        <v>2003</v>
      </c>
      <c r="C71" s="887">
        <f>'Expenditures 15-22'!B224</f>
        <v>1600</v>
      </c>
      <c r="D71" s="888" t="str">
        <f>'Expenditures 15-22'!A224</f>
        <v>Summer School Programs</v>
      </c>
      <c r="E71" s="869"/>
      <c r="F71" s="1927">
        <f>'Expenditures 15-22'!K224</f>
        <v>94</v>
      </c>
      <c r="G71" s="866"/>
    </row>
    <row r="72" spans="1:8" x14ac:dyDescent="0.2">
      <c r="A72" s="870" t="s">
        <v>481</v>
      </c>
      <c r="B72" s="870" t="s">
        <v>2004</v>
      </c>
      <c r="C72" s="887">
        <f>'Expenditures 15-22'!B280</f>
        <v>3000</v>
      </c>
      <c r="D72" s="877" t="s">
        <v>468</v>
      </c>
      <c r="E72" s="869"/>
      <c r="F72" s="1927">
        <f>'Expenditures 15-22'!K280</f>
        <v>14408</v>
      </c>
      <c r="G72" s="866"/>
    </row>
    <row r="73" spans="1:8" x14ac:dyDescent="0.2">
      <c r="A73" s="870" t="s">
        <v>481</v>
      </c>
      <c r="B73" s="870" t="s">
        <v>2005</v>
      </c>
      <c r="C73" s="887" t="str">
        <f>'Expenditures 15-22'!B285</f>
        <v>4000</v>
      </c>
      <c r="D73" s="888" t="str">
        <f>'Expenditures 15-22'!A285</f>
        <v>Total Payments to Other Govt Units</v>
      </c>
      <c r="E73" s="869"/>
      <c r="F73" s="1927">
        <f>'Expenditures 15-22'!K285</f>
        <v>0</v>
      </c>
      <c r="G73" s="866"/>
    </row>
    <row r="74" spans="1:8" x14ac:dyDescent="0.2">
      <c r="A74" s="870" t="s">
        <v>455</v>
      </c>
      <c r="B74" s="870" t="s">
        <v>2006</v>
      </c>
      <c r="C74" s="887" t="s">
        <v>914</v>
      </c>
      <c r="D74" s="888" t="s">
        <v>1566</v>
      </c>
      <c r="E74" s="869"/>
      <c r="F74" s="1931">
        <f>'Expenditures 15-22'!K334</f>
        <v>0</v>
      </c>
      <c r="G74" s="866"/>
    </row>
    <row r="75" spans="1:8" ht="5.25" customHeight="1" x14ac:dyDescent="0.2">
      <c r="A75" s="866"/>
      <c r="B75" s="876"/>
      <c r="C75" s="876"/>
      <c r="D75" s="866"/>
      <c r="E75" s="869"/>
      <c r="F75" s="883"/>
      <c r="G75" s="868"/>
    </row>
    <row r="76" spans="1:8" ht="12" thickBot="1" x14ac:dyDescent="0.25">
      <c r="A76" s="1781"/>
      <c r="B76" s="1787"/>
      <c r="C76" s="1783"/>
      <c r="D76" s="1788" t="s">
        <v>2007</v>
      </c>
      <c r="E76" s="1785" t="s">
        <v>1014</v>
      </c>
      <c r="F76" s="1789">
        <f>SUM(F18:F74)</f>
        <v>3346560</v>
      </c>
      <c r="G76" s="866"/>
    </row>
    <row r="77" spans="1:8" s="894" customFormat="1" ht="12" customHeight="1" thickTop="1" thickBot="1" x14ac:dyDescent="0.25">
      <c r="A77" s="1790"/>
      <c r="B77" s="1787"/>
      <c r="C77" s="1783"/>
      <c r="D77" s="1788" t="s">
        <v>2008</v>
      </c>
      <c r="E77" s="1785"/>
      <c r="F77" s="1791">
        <f>(F14-F76)</f>
        <v>22918065</v>
      </c>
      <c r="G77" s="870"/>
    </row>
    <row r="78" spans="1:8" s="894" customFormat="1" ht="12" customHeight="1" thickTop="1" x14ac:dyDescent="0.2">
      <c r="A78" s="1792"/>
      <c r="B78" s="1787"/>
      <c r="C78" s="1783"/>
      <c r="D78" s="1788" t="s">
        <v>2055</v>
      </c>
      <c r="E78" s="1785"/>
      <c r="F78" s="899">
        <v>2247.9899999999998</v>
      </c>
      <c r="G78" s="900"/>
      <c r="H78" s="870"/>
    </row>
    <row r="79" spans="1:8" s="894" customFormat="1" ht="12" customHeight="1" thickBot="1" x14ac:dyDescent="0.25">
      <c r="A79" s="1793"/>
      <c r="B79" s="1787"/>
      <c r="C79" s="1783"/>
      <c r="D79" s="1788" t="s">
        <v>2009</v>
      </c>
      <c r="E79" s="1785" t="s">
        <v>1014</v>
      </c>
      <c r="F79" s="1794">
        <f>IF(F78&gt;0,F77/F78," Complete Line 78")</f>
        <v>10194.914123283468</v>
      </c>
      <c r="G79" s="870"/>
    </row>
    <row r="80" spans="1:8" s="894" customFormat="1" ht="8.25" customHeight="1" thickTop="1" x14ac:dyDescent="0.2">
      <c r="A80" s="901"/>
      <c r="B80" s="870"/>
      <c r="C80" s="872"/>
      <c r="D80" s="902"/>
      <c r="E80" s="869"/>
      <c r="F80" s="903"/>
      <c r="G80" s="870"/>
    </row>
    <row r="81" spans="1:7" s="894" customFormat="1" ht="12" thickBot="1" x14ac:dyDescent="0.25">
      <c r="A81" s="2281" t="s">
        <v>1166</v>
      </c>
      <c r="B81" s="2282"/>
      <c r="C81" s="2282"/>
      <c r="D81" s="2282"/>
      <c r="E81" s="2282"/>
      <c r="F81" s="2283"/>
      <c r="G81" s="870"/>
    </row>
    <row r="82" spans="1:7" s="894" customFormat="1" ht="5.25" customHeight="1" thickTop="1" x14ac:dyDescent="0.2">
      <c r="A82" s="870"/>
      <c r="B82" s="870"/>
      <c r="C82" s="872"/>
      <c r="D82" s="870"/>
      <c r="E82" s="872"/>
      <c r="F82" s="870"/>
      <c r="G82" s="904"/>
    </row>
    <row r="83" spans="1:7" ht="12" customHeight="1" x14ac:dyDescent="0.2">
      <c r="A83" s="905" t="s">
        <v>866</v>
      </c>
      <c r="B83" s="906"/>
      <c r="C83" s="907"/>
      <c r="D83" s="908"/>
      <c r="E83" s="907"/>
      <c r="F83" s="906"/>
      <c r="G83" s="906"/>
    </row>
    <row r="84" spans="1:7" x14ac:dyDescent="0.2">
      <c r="A84" s="909" t="s">
        <v>480</v>
      </c>
      <c r="B84" s="910" t="s">
        <v>148</v>
      </c>
      <c r="C84" s="911">
        <f>'Revenues 9-14'!B42</f>
        <v>1411</v>
      </c>
      <c r="D84" s="912" t="str">
        <f>'Revenues 9-14'!A42</f>
        <v>Regular -Transp Fees from Pupils or Parents (In State)</v>
      </c>
      <c r="E84" s="907" t="s">
        <v>1014</v>
      </c>
      <c r="F84" s="1921">
        <f>'Revenues 9-14'!F42</f>
        <v>0</v>
      </c>
      <c r="G84" s="913"/>
    </row>
    <row r="85" spans="1:7" x14ac:dyDescent="0.2">
      <c r="A85" s="909" t="s">
        <v>480</v>
      </c>
      <c r="B85" s="909" t="s">
        <v>192</v>
      </c>
      <c r="C85" s="914">
        <f>'Revenues 9-14'!B44</f>
        <v>1413</v>
      </c>
      <c r="D85" s="912" t="str">
        <f>'Revenues 9-14'!A44</f>
        <v>Regular - Transp Fees from Other Sources (In State)</v>
      </c>
      <c r="E85" s="907"/>
      <c r="F85" s="1800">
        <f>'Revenues 9-14'!F44</f>
        <v>0</v>
      </c>
      <c r="G85" s="915"/>
    </row>
    <row r="86" spans="1:7" x14ac:dyDescent="0.2">
      <c r="A86" s="909" t="s">
        <v>480</v>
      </c>
      <c r="B86" s="909" t="s">
        <v>168</v>
      </c>
      <c r="C86" s="911">
        <f>'Revenues 9-14'!B45</f>
        <v>1415</v>
      </c>
      <c r="D86" s="912" t="str">
        <f>'Revenues 9-14'!A45</f>
        <v>Regular - Transp Fees from Co-curricular Activities (In State)</v>
      </c>
      <c r="E86" s="907"/>
      <c r="F86" s="1800">
        <f>'Revenues 9-14'!F45</f>
        <v>11975</v>
      </c>
      <c r="G86" s="915"/>
    </row>
    <row r="87" spans="1:7" x14ac:dyDescent="0.2">
      <c r="A87" s="909" t="s">
        <v>480</v>
      </c>
      <c r="B87" s="909" t="s">
        <v>169</v>
      </c>
      <c r="C87" s="911">
        <v>1416</v>
      </c>
      <c r="D87" s="912" t="str">
        <f>'Revenues 9-14'!A46</f>
        <v>Regular Transp Fees from Other Sources (Out of State)</v>
      </c>
      <c r="E87" s="907"/>
      <c r="F87" s="1800">
        <f>'Revenues 9-14'!F46</f>
        <v>0</v>
      </c>
      <c r="G87" s="915"/>
    </row>
    <row r="88" spans="1:7" x14ac:dyDescent="0.2">
      <c r="A88" s="909" t="s">
        <v>480</v>
      </c>
      <c r="B88" s="909" t="s">
        <v>170</v>
      </c>
      <c r="C88" s="911">
        <f>'Revenues 9-14'!B51</f>
        <v>1431</v>
      </c>
      <c r="D88" s="912" t="str">
        <f>'Revenues 9-14'!A51</f>
        <v>CTE - Transp Fees from Pupils or Parents (In State)</v>
      </c>
      <c r="E88" s="907"/>
      <c r="F88" s="1800">
        <f>'Revenues 9-14'!F51</f>
        <v>0</v>
      </c>
      <c r="G88" s="915"/>
    </row>
    <row r="89" spans="1:7" x14ac:dyDescent="0.2">
      <c r="A89" s="909" t="s">
        <v>480</v>
      </c>
      <c r="B89" s="909" t="s">
        <v>171</v>
      </c>
      <c r="C89" s="911">
        <f>'Revenues 9-14'!B53</f>
        <v>1433</v>
      </c>
      <c r="D89" s="912" t="str">
        <f>'Revenues 9-14'!A53</f>
        <v>CTE - Transp Fees from Other Sources (In State)</v>
      </c>
      <c r="E89" s="907"/>
      <c r="F89" s="1800">
        <f>'Revenues 9-14'!F53</f>
        <v>0</v>
      </c>
      <c r="G89" s="915"/>
    </row>
    <row r="90" spans="1:7" x14ac:dyDescent="0.2">
      <c r="A90" s="909" t="s">
        <v>480</v>
      </c>
      <c r="B90" s="909" t="s">
        <v>172</v>
      </c>
      <c r="C90" s="911">
        <f>'Revenues 9-14'!B54</f>
        <v>1434</v>
      </c>
      <c r="D90" s="912" t="str">
        <f>'Revenues 9-14'!A54</f>
        <v>CTE - Transp Fees from Other Sources (Out of State)</v>
      </c>
      <c r="E90" s="907"/>
      <c r="F90" s="1800">
        <f>'Revenues 9-14'!F54</f>
        <v>0</v>
      </c>
      <c r="G90" s="915"/>
    </row>
    <row r="91" spans="1:7" x14ac:dyDescent="0.2">
      <c r="A91" s="909" t="s">
        <v>480</v>
      </c>
      <c r="B91" s="909" t="s">
        <v>173</v>
      </c>
      <c r="C91" s="916">
        <f>'Revenues 9-14'!B55</f>
        <v>1441</v>
      </c>
      <c r="D91" s="912" t="str">
        <f>'Revenues 9-14'!A55</f>
        <v>Special Ed - Transp Fees from Pupils or Parents (In State)</v>
      </c>
      <c r="E91" s="907"/>
      <c r="F91" s="1800">
        <f>'Revenues 9-14'!F55</f>
        <v>0</v>
      </c>
      <c r="G91" s="915"/>
    </row>
    <row r="92" spans="1:7" x14ac:dyDescent="0.2">
      <c r="A92" s="909" t="s">
        <v>480</v>
      </c>
      <c r="B92" s="909" t="s">
        <v>174</v>
      </c>
      <c r="C92" s="911">
        <f>'Revenues 9-14'!B57</f>
        <v>1443</v>
      </c>
      <c r="D92" s="912" t="str">
        <f>'Revenues 9-14'!A57</f>
        <v>Special Ed - Transp Fees from Other Sources (In State)</v>
      </c>
      <c r="E92" s="907"/>
      <c r="F92" s="1800">
        <f>'Revenues 9-14'!F57</f>
        <v>0</v>
      </c>
      <c r="G92" s="917"/>
    </row>
    <row r="93" spans="1:7" x14ac:dyDescent="0.2">
      <c r="A93" s="909" t="s">
        <v>480</v>
      </c>
      <c r="B93" s="909" t="s">
        <v>175</v>
      </c>
      <c r="C93" s="911">
        <f>'Revenues 9-14'!B58</f>
        <v>1444</v>
      </c>
      <c r="D93" s="912" t="str">
        <f>'Revenues 9-14'!A58</f>
        <v>Special Ed - Transp Fees from Other Sources (Out of State)</v>
      </c>
      <c r="E93" s="907"/>
      <c r="F93" s="1800">
        <f>'Revenues 9-14'!F58</f>
        <v>0</v>
      </c>
      <c r="G93" s="917"/>
    </row>
    <row r="94" spans="1:7" x14ac:dyDescent="0.2">
      <c r="A94" s="909" t="s">
        <v>478</v>
      </c>
      <c r="B94" s="909" t="s">
        <v>176</v>
      </c>
      <c r="C94" s="911">
        <v>1600</v>
      </c>
      <c r="D94" s="918" t="str">
        <f>'Revenues 9-14'!A75</f>
        <v>Total Food Service</v>
      </c>
      <c r="E94" s="907"/>
      <c r="F94" s="1800">
        <f>'Revenues 9-14'!C75</f>
        <v>389793</v>
      </c>
      <c r="G94" s="913"/>
    </row>
    <row r="95" spans="1:7" x14ac:dyDescent="0.2">
      <c r="A95" s="909" t="s">
        <v>142</v>
      </c>
      <c r="B95" s="909" t="s">
        <v>177</v>
      </c>
      <c r="C95" s="911">
        <v>1700</v>
      </c>
      <c r="D95" s="919" t="str">
        <f>'Revenues 9-14'!A82</f>
        <v>Total District/School Activity Income</v>
      </c>
      <c r="E95" s="907"/>
      <c r="F95" s="1800">
        <f>SUM('Revenues 9-14'!C82,'Revenues 9-14'!D82)</f>
        <v>153921</v>
      </c>
      <c r="G95" s="913"/>
    </row>
    <row r="96" spans="1:7" x14ac:dyDescent="0.2">
      <c r="A96" s="909" t="s">
        <v>478</v>
      </c>
      <c r="B96" s="909" t="s">
        <v>178</v>
      </c>
      <c r="C96" s="911">
        <f>'Revenues 9-14'!B84</f>
        <v>1811</v>
      </c>
      <c r="D96" s="912" t="str">
        <f>'Revenues 9-14'!A84</f>
        <v>Rentals - Regular Textbooks</v>
      </c>
      <c r="E96" s="907"/>
      <c r="F96" s="1800">
        <f>'Revenues 9-14'!C84</f>
        <v>131625</v>
      </c>
      <c r="G96" s="913"/>
    </row>
    <row r="97" spans="1:7" x14ac:dyDescent="0.2">
      <c r="A97" s="909" t="s">
        <v>478</v>
      </c>
      <c r="B97" s="909" t="s">
        <v>179</v>
      </c>
      <c r="C97" s="911">
        <f>'Revenues 9-14'!B87</f>
        <v>1819</v>
      </c>
      <c r="D97" s="912" t="str">
        <f>'Revenues 9-14'!A87</f>
        <v>Rentals - Other (Describe &amp; Itemize)</v>
      </c>
      <c r="E97" s="907"/>
      <c r="F97" s="1800">
        <f>'Revenues 9-14'!C87</f>
        <v>0</v>
      </c>
      <c r="G97" s="913"/>
    </row>
    <row r="98" spans="1:7" x14ac:dyDescent="0.2">
      <c r="A98" s="909" t="s">
        <v>478</v>
      </c>
      <c r="B98" s="909" t="s">
        <v>180</v>
      </c>
      <c r="C98" s="911">
        <f>'Revenues 9-14'!B88</f>
        <v>1821</v>
      </c>
      <c r="D98" s="912" t="str">
        <f>'Revenues 9-14'!A88</f>
        <v>Sales - Regular Textbooks</v>
      </c>
      <c r="E98" s="907"/>
      <c r="F98" s="1800">
        <f>'Revenues 9-14'!C88</f>
        <v>0</v>
      </c>
      <c r="G98" s="913"/>
    </row>
    <row r="99" spans="1:7" x14ac:dyDescent="0.2">
      <c r="A99" s="909" t="s">
        <v>478</v>
      </c>
      <c r="B99" s="909" t="s">
        <v>181</v>
      </c>
      <c r="C99" s="911">
        <f>'Revenues 9-14'!B91</f>
        <v>1829</v>
      </c>
      <c r="D99" s="912" t="str">
        <f>'Revenues 9-14'!A91</f>
        <v>Sales - Other (Describe &amp; Itemize)</v>
      </c>
      <c r="E99" s="907"/>
      <c r="F99" s="1800">
        <f>'Revenues 9-14'!C91</f>
        <v>0</v>
      </c>
      <c r="G99" s="913"/>
    </row>
    <row r="100" spans="1:7" x14ac:dyDescent="0.2">
      <c r="A100" s="909" t="s">
        <v>478</v>
      </c>
      <c r="B100" s="909" t="s">
        <v>182</v>
      </c>
      <c r="C100" s="911">
        <f>'Revenues 9-14'!B92</f>
        <v>1890</v>
      </c>
      <c r="D100" s="912" t="str">
        <f>'Revenues 9-14'!A92</f>
        <v>Other (Describe &amp; Itemize)</v>
      </c>
      <c r="E100" s="907"/>
      <c r="F100" s="1800">
        <f>'Revenues 9-14'!C92</f>
        <v>0</v>
      </c>
      <c r="G100" s="913"/>
    </row>
    <row r="101" spans="1:7" x14ac:dyDescent="0.2">
      <c r="A101" s="909" t="s">
        <v>142</v>
      </c>
      <c r="B101" s="909" t="s">
        <v>183</v>
      </c>
      <c r="C101" s="911">
        <f>'Revenues 9-14'!B95</f>
        <v>1910</v>
      </c>
      <c r="D101" s="912" t="str">
        <f>'Revenues 9-14'!A95</f>
        <v>Rentals</v>
      </c>
      <c r="E101" s="907"/>
      <c r="F101" s="1800">
        <f>SUM('Revenues 9-14'!C95:D95)</f>
        <v>35340</v>
      </c>
      <c r="G101" s="913"/>
    </row>
    <row r="102" spans="1:7" x14ac:dyDescent="0.2">
      <c r="A102" s="909" t="s">
        <v>523</v>
      </c>
      <c r="B102" s="909" t="s">
        <v>184</v>
      </c>
      <c r="C102" s="911">
        <f>'Revenues 9-14'!B98</f>
        <v>1940</v>
      </c>
      <c r="D102" s="912" t="str">
        <f>'Revenues 9-14'!A98</f>
        <v>Services Provided Other Districts</v>
      </c>
      <c r="E102" s="907"/>
      <c r="F102" s="1800">
        <f>SUM('Revenues 9-14'!C98,'Revenues 9-14'!D98,'Revenues 9-14'!F98)</f>
        <v>0</v>
      </c>
      <c r="G102" s="913"/>
    </row>
    <row r="103" spans="1:7" x14ac:dyDescent="0.2">
      <c r="A103" s="909" t="s">
        <v>1065</v>
      </c>
      <c r="B103" s="909" t="s">
        <v>833</v>
      </c>
      <c r="C103" s="911">
        <f>'Revenues 9-14'!B104</f>
        <v>1991</v>
      </c>
      <c r="D103" s="920" t="str">
        <f>'Revenues 9-14'!A104</f>
        <v>Payment from Other Districts</v>
      </c>
      <c r="E103" s="907"/>
      <c r="F103" s="1800">
        <f>SUM('Revenues 9-14'!C104,'Revenues 9-14'!D104,'Revenues 9-14'!E104,'Revenues 9-14'!F104,'Revenues 9-14'!G104)</f>
        <v>0</v>
      </c>
      <c r="G103" s="913"/>
    </row>
    <row r="104" spans="1:7" x14ac:dyDescent="0.2">
      <c r="A104" s="909" t="s">
        <v>478</v>
      </c>
      <c r="B104" s="909" t="s">
        <v>840</v>
      </c>
      <c r="C104" s="911">
        <f>'Revenues 9-14'!B106</f>
        <v>1993</v>
      </c>
      <c r="D104" s="912" t="str">
        <f>'Revenues 9-14'!A106</f>
        <v>Other Local Fees (Describe &amp; Itemize)</v>
      </c>
      <c r="E104" s="907"/>
      <c r="F104" s="1800">
        <f>('Revenues 9-14'!C106)</f>
        <v>0</v>
      </c>
      <c r="G104" s="913"/>
    </row>
    <row r="105" spans="1:7" x14ac:dyDescent="0.2">
      <c r="A105" s="909" t="s">
        <v>523</v>
      </c>
      <c r="B105" s="909" t="s">
        <v>841</v>
      </c>
      <c r="C105" s="914">
        <v>3100</v>
      </c>
      <c r="D105" s="920" t="str">
        <f>'Revenues 9-14'!A131</f>
        <v>Total Special Education</v>
      </c>
      <c r="E105" s="907"/>
      <c r="F105" s="1800">
        <f>SUM('Revenues 9-14'!C131:D131,'Revenues 9-14'!F131)</f>
        <v>426293</v>
      </c>
      <c r="G105" s="913"/>
    </row>
    <row r="106" spans="1:7" x14ac:dyDescent="0.2">
      <c r="A106" s="909" t="s">
        <v>693</v>
      </c>
      <c r="B106" s="909" t="s">
        <v>1482</v>
      </c>
      <c r="C106" s="921">
        <v>3200</v>
      </c>
      <c r="D106" s="912" t="str">
        <f>'Revenues 9-14'!A140</f>
        <v>Total Career and Technical Education</v>
      </c>
      <c r="E106" s="907"/>
      <c r="F106" s="1800">
        <f>SUM('Revenues 9-14'!C140,'Revenues 9-14'!D140,'Revenues 9-14'!G140)</f>
        <v>115265</v>
      </c>
      <c r="G106" s="913"/>
    </row>
    <row r="107" spans="1:7" x14ac:dyDescent="0.2">
      <c r="A107" s="922" t="s">
        <v>684</v>
      </c>
      <c r="B107" s="909" t="s">
        <v>842</v>
      </c>
      <c r="C107" s="921">
        <v>3300</v>
      </c>
      <c r="D107" s="912" t="str">
        <f>'Revenues 9-14'!A144</f>
        <v>Total Bilingual Ed</v>
      </c>
      <c r="E107" s="907"/>
      <c r="F107" s="1800">
        <f>SUM('Revenues 9-14'!C144,'Revenues 9-14'!G144)</f>
        <v>0</v>
      </c>
      <c r="G107" s="913"/>
    </row>
    <row r="108" spans="1:7" x14ac:dyDescent="0.2">
      <c r="A108" s="909" t="s">
        <v>478</v>
      </c>
      <c r="B108" s="909" t="s">
        <v>843</v>
      </c>
      <c r="C108" s="921">
        <f>'Revenues 9-14'!B145</f>
        <v>3360</v>
      </c>
      <c r="D108" s="912" t="str">
        <f>'Revenues 9-14'!A145</f>
        <v>State Free Lunch &amp; Breakfast</v>
      </c>
      <c r="E108" s="907"/>
      <c r="F108" s="1800">
        <f>'Revenues 9-14'!C145</f>
        <v>8691</v>
      </c>
      <c r="G108" s="913"/>
    </row>
    <row r="109" spans="1:7" x14ac:dyDescent="0.2">
      <c r="A109" s="909" t="s">
        <v>693</v>
      </c>
      <c r="B109" s="909" t="s">
        <v>844</v>
      </c>
      <c r="C109" s="921">
        <f>'Revenues 9-14'!B146</f>
        <v>3365</v>
      </c>
      <c r="D109" s="912" t="str">
        <f>'Revenues 9-14'!A146</f>
        <v>School Breakfast Initiative</v>
      </c>
      <c r="E109" s="907"/>
      <c r="F109" s="1800">
        <f>SUM('Revenues 9-14'!C146,'Revenues 9-14'!D146,'Revenues 9-14'!G146)</f>
        <v>0</v>
      </c>
      <c r="G109" s="913"/>
    </row>
    <row r="110" spans="1:7" x14ac:dyDescent="0.2">
      <c r="A110" s="909" t="s">
        <v>142</v>
      </c>
      <c r="B110" s="909" t="s">
        <v>845</v>
      </c>
      <c r="C110" s="921">
        <f>'Revenues 9-14'!B147</f>
        <v>3370</v>
      </c>
      <c r="D110" s="912" t="str">
        <f>'Revenues 9-14'!A147</f>
        <v>Driver Education</v>
      </c>
      <c r="E110" s="907"/>
      <c r="F110" s="1800">
        <f>SUM('Revenues 9-14'!C147,'Revenues 9-14'!D147)</f>
        <v>37158</v>
      </c>
      <c r="G110" s="913"/>
    </row>
    <row r="111" spans="1:7" x14ac:dyDescent="0.2">
      <c r="A111" s="909" t="s">
        <v>688</v>
      </c>
      <c r="B111" s="909" t="s">
        <v>801</v>
      </c>
      <c r="C111" s="923">
        <v>3500</v>
      </c>
      <c r="D111" s="912" t="str">
        <f>'Revenues 9-14'!A154</f>
        <v>Total Transportation</v>
      </c>
      <c r="E111" s="907"/>
      <c r="F111" s="1800">
        <f>SUM('Revenues 9-14'!C154,'Revenues 9-14'!D154,'Revenues 9-14'!F154,'Revenues 9-14'!G154)</f>
        <v>1375906</v>
      </c>
      <c r="G111" s="913"/>
    </row>
    <row r="112" spans="1:7" x14ac:dyDescent="0.2">
      <c r="A112" s="909" t="s">
        <v>478</v>
      </c>
      <c r="B112" s="909" t="s">
        <v>846</v>
      </c>
      <c r="C112" s="921">
        <f>'Revenues 9-14'!B155</f>
        <v>3610</v>
      </c>
      <c r="D112" s="912" t="str">
        <f>'Revenues 9-14'!A155</f>
        <v>Learning Improvement - Change Grants</v>
      </c>
      <c r="E112" s="907"/>
      <c r="F112" s="1800">
        <f>'Revenues 9-14'!C155</f>
        <v>0</v>
      </c>
      <c r="G112" s="913"/>
    </row>
    <row r="113" spans="1:7" x14ac:dyDescent="0.2">
      <c r="A113" s="909" t="s">
        <v>688</v>
      </c>
      <c r="B113" s="909" t="s">
        <v>847</v>
      </c>
      <c r="C113" s="921">
        <f>'Revenues 9-14'!B156</f>
        <v>3660</v>
      </c>
      <c r="D113" s="912" t="str">
        <f>'Revenues 9-14'!A156</f>
        <v>Scientific Literacy</v>
      </c>
      <c r="E113" s="907"/>
      <c r="F113" s="1800">
        <f>SUM('Revenues 9-14'!C156,'Revenues 9-14'!D156,'Revenues 9-14'!F156,'Revenues 9-14'!G156)</f>
        <v>0</v>
      </c>
      <c r="G113" s="913"/>
    </row>
    <row r="114" spans="1:7" x14ac:dyDescent="0.2">
      <c r="A114" s="909" t="s">
        <v>5</v>
      </c>
      <c r="B114" s="909" t="s">
        <v>848</v>
      </c>
      <c r="C114" s="921">
        <f>'Revenues 9-14'!B157</f>
        <v>3695</v>
      </c>
      <c r="D114" s="912" t="str">
        <f>'Revenues 9-14'!A157</f>
        <v>Truant Alternative/Optional Education</v>
      </c>
      <c r="E114" s="907"/>
      <c r="F114" s="1800">
        <f>SUM('Revenues 9-14'!C157,'Revenues 9-14'!F157,'Revenues 9-14'!G157)</f>
        <v>0</v>
      </c>
      <c r="G114" s="913"/>
    </row>
    <row r="115" spans="1:7" x14ac:dyDescent="0.2">
      <c r="A115" s="909" t="s">
        <v>5</v>
      </c>
      <c r="B115" s="909" t="s">
        <v>185</v>
      </c>
      <c r="C115" s="921">
        <f>'Revenues 9-14'!B159</f>
        <v>3715</v>
      </c>
      <c r="D115" s="912" t="str">
        <f>'Revenues 9-14'!A159</f>
        <v>Reading Improvement Block Grant</v>
      </c>
      <c r="E115" s="907"/>
      <c r="F115" s="1800">
        <f>SUM('Revenues 9-14'!C159,'Revenues 9-14'!F159,'Revenues 9-14'!G159)</f>
        <v>0</v>
      </c>
      <c r="G115" s="913"/>
    </row>
    <row r="116" spans="1:7" x14ac:dyDescent="0.2">
      <c r="A116" s="924" t="s">
        <v>5</v>
      </c>
      <c r="B116" s="924" t="s">
        <v>186</v>
      </c>
      <c r="C116" s="925">
        <f>'Revenues 9-14'!B160</f>
        <v>3720</v>
      </c>
      <c r="D116" s="926" t="str">
        <f>'Revenues 9-14'!A160</f>
        <v>Reading Improvement Block Grant - Reading Recovery</v>
      </c>
      <c r="E116" s="927"/>
      <c r="F116" s="1800">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800">
        <f>SUM('Revenues 9-14'!C161,'Revenues 9-14'!F161,'Revenues 9-14'!G161)</f>
        <v>0</v>
      </c>
      <c r="G117" s="913"/>
    </row>
    <row r="118" spans="1:7" x14ac:dyDescent="0.2">
      <c r="A118" s="924" t="s">
        <v>5</v>
      </c>
      <c r="B118" s="924" t="s">
        <v>849</v>
      </c>
      <c r="C118" s="925">
        <f>'Revenues 9-14'!B162</f>
        <v>3726</v>
      </c>
      <c r="D118" s="926" t="str">
        <f>'Revenues 9-14'!A162</f>
        <v>Continued Reading Improvement Block Grant (2% Set Aside)</v>
      </c>
      <c r="E118" s="927"/>
      <c r="F118" s="1920">
        <f>SUM('Revenues 9-14'!C162,'Revenues 9-14'!F162,'Revenues 9-14'!G162)</f>
        <v>0</v>
      </c>
      <c r="G118" s="913"/>
    </row>
    <row r="119" spans="1:7" x14ac:dyDescent="0.2">
      <c r="A119" s="909" t="s">
        <v>688</v>
      </c>
      <c r="B119" s="909" t="s">
        <v>188</v>
      </c>
      <c r="C119" s="921">
        <f>'Revenues 9-14'!B163</f>
        <v>3766</v>
      </c>
      <c r="D119" s="912" t="str">
        <f>'Revenues 9-14'!A163</f>
        <v>Chicago General Education Block Grant</v>
      </c>
      <c r="E119" s="907"/>
      <c r="F119" s="1800">
        <f>SUM('Revenues 9-14'!C163,'Revenues 9-14'!D163,'Revenues 9-14'!F163,'Revenues 9-14'!G163)</f>
        <v>0</v>
      </c>
      <c r="G119" s="913"/>
    </row>
    <row r="120" spans="1:7" x14ac:dyDescent="0.2">
      <c r="A120" s="909" t="s">
        <v>688</v>
      </c>
      <c r="B120" s="909" t="s">
        <v>850</v>
      </c>
      <c r="C120" s="921">
        <f>'Revenues 9-14'!B164</f>
        <v>3767</v>
      </c>
      <c r="D120" s="912" t="str">
        <f>'Revenues 9-14'!A164</f>
        <v>Chicago Educational Services Block Grant</v>
      </c>
      <c r="E120" s="907"/>
      <c r="F120" s="1800">
        <f>SUM('Revenues 9-14'!C164,'Revenues 9-14'!D164,'Revenues 9-14'!F164,'Revenues 9-14'!G164)</f>
        <v>0</v>
      </c>
      <c r="G120" s="913"/>
    </row>
    <row r="121" spans="1:7" x14ac:dyDescent="0.2">
      <c r="A121" s="924" t="s">
        <v>1065</v>
      </c>
      <c r="B121" s="924" t="s">
        <v>189</v>
      </c>
      <c r="C121" s="925">
        <f>'Revenues 9-14'!B165</f>
        <v>3775</v>
      </c>
      <c r="D121" s="926" t="str">
        <f>'Revenues 9-14'!A165</f>
        <v>School Safety &amp; Educational Improvement Block Grant</v>
      </c>
      <c r="E121" s="907"/>
      <c r="F121" s="1921">
        <f>SUM('Revenues 9-14'!C165,'Revenues 9-14'!D165,'Revenues 9-14'!E165,'Revenues 9-14'!F165,'Revenues 9-14'!G165)</f>
        <v>0</v>
      </c>
      <c r="G121" s="913"/>
    </row>
    <row r="122" spans="1:7" x14ac:dyDescent="0.2">
      <c r="A122" s="924" t="s">
        <v>1065</v>
      </c>
      <c r="B122" s="924" t="s">
        <v>851</v>
      </c>
      <c r="C122" s="925">
        <f>'Revenues 9-14'!B166</f>
        <v>3780</v>
      </c>
      <c r="D122" s="926" t="str">
        <f>'Revenues 9-14'!A166</f>
        <v>Technology - Technology for Success</v>
      </c>
      <c r="E122" s="907"/>
      <c r="F122" s="1921">
        <f>SUM('Revenues 9-14'!C166:G166)</f>
        <v>0</v>
      </c>
      <c r="G122" s="913"/>
    </row>
    <row r="123" spans="1:7" x14ac:dyDescent="0.2">
      <c r="A123" s="924" t="s">
        <v>524</v>
      </c>
      <c r="B123" s="924" t="s">
        <v>852</v>
      </c>
      <c r="C123" s="925">
        <f>'Revenues 9-14'!B167</f>
        <v>3815</v>
      </c>
      <c r="D123" s="926" t="str">
        <f>'Revenues 9-14'!A167</f>
        <v>State Charter Schools</v>
      </c>
      <c r="E123" s="907"/>
      <c r="F123" s="1921">
        <f>SUM('Revenues 9-14'!C167,'Revenues 9-14'!F167)</f>
        <v>0</v>
      </c>
      <c r="G123" s="913"/>
    </row>
    <row r="124" spans="1:7" x14ac:dyDescent="0.2">
      <c r="A124" s="928" t="s">
        <v>479</v>
      </c>
      <c r="B124" s="928" t="s">
        <v>853</v>
      </c>
      <c r="C124" s="929">
        <f>'Revenues 9-14'!B170</f>
        <v>3925</v>
      </c>
      <c r="D124" s="930" t="str">
        <f>'Revenues 9-14'!A170</f>
        <v>School Infrastructure - Maintenance Projects</v>
      </c>
      <c r="E124" s="907"/>
      <c r="F124" s="1800">
        <f>'Revenues 9-14'!D170</f>
        <v>0</v>
      </c>
      <c r="G124" s="931"/>
    </row>
    <row r="125" spans="1:7" x14ac:dyDescent="0.2">
      <c r="A125" s="928" t="s">
        <v>520</v>
      </c>
      <c r="B125" s="928" t="s">
        <v>854</v>
      </c>
      <c r="C125" s="929">
        <f>'Revenues 9-14'!B171</f>
        <v>3999</v>
      </c>
      <c r="D125" s="930" t="s">
        <v>563</v>
      </c>
      <c r="E125" s="932"/>
      <c r="F125" s="1800">
        <f>SUM('Revenues 9-14'!C171:G171,'Revenues 9-14'!J171)</f>
        <v>4371</v>
      </c>
      <c r="G125" s="931"/>
    </row>
    <row r="126" spans="1:7" x14ac:dyDescent="0.2">
      <c r="A126" s="928" t="s">
        <v>478</v>
      </c>
      <c r="B126" s="928" t="s">
        <v>855</v>
      </c>
      <c r="C126" s="933">
        <f>'Revenues 9-14'!B180</f>
        <v>4045</v>
      </c>
      <c r="D126" s="930" t="str">
        <f>'Revenues 9-14'!A180 &amp; " (Subtract)"</f>
        <v>Head Start (Subtract)</v>
      </c>
      <c r="E126" s="907"/>
      <c r="F126" s="1800">
        <f>SUM(-'Revenues 9-14'!C180)</f>
        <v>0</v>
      </c>
      <c r="G126" s="931"/>
    </row>
    <row r="127" spans="1:7" x14ac:dyDescent="0.2">
      <c r="A127" s="928" t="s">
        <v>688</v>
      </c>
      <c r="B127" s="928" t="s">
        <v>856</v>
      </c>
      <c r="C127" s="933" t="s">
        <v>1038</v>
      </c>
      <c r="D127" s="930" t="str">
        <f>('Revenues 9-14'!A184)</f>
        <v>Total Restricted Grants-In-Aid Received Directly from Federal Govt</v>
      </c>
      <c r="E127" s="907"/>
      <c r="F127" s="1800">
        <f>SUM('Revenues 9-14'!C184,'Revenues 9-14'!D184,'Revenues 9-14'!F184,'Revenues 9-14'!G184)</f>
        <v>0</v>
      </c>
      <c r="G127" s="931"/>
    </row>
    <row r="128" spans="1:7" x14ac:dyDescent="0.2">
      <c r="A128" s="928" t="s">
        <v>688</v>
      </c>
      <c r="B128" s="928" t="s">
        <v>857</v>
      </c>
      <c r="C128" s="933">
        <v>4100</v>
      </c>
      <c r="D128" s="934" t="str">
        <f>'Revenues 9-14'!A191</f>
        <v>Total Title V</v>
      </c>
      <c r="E128" s="907"/>
      <c r="F128" s="1800">
        <f>SUM('Revenues 9-14'!C191,'Revenues 9-14'!D191,'Revenues 9-14'!F191,'Revenues 9-14'!G191)</f>
        <v>0</v>
      </c>
      <c r="G128" s="931"/>
    </row>
    <row r="129" spans="1:7" x14ac:dyDescent="0.2">
      <c r="A129" s="928" t="s">
        <v>684</v>
      </c>
      <c r="B129" s="928" t="s">
        <v>802</v>
      </c>
      <c r="C129" s="933">
        <v>4200</v>
      </c>
      <c r="D129" s="930" t="str">
        <f>'Revenues 9-14'!A201</f>
        <v>Total Food Service</v>
      </c>
      <c r="E129" s="907"/>
      <c r="F129" s="1800">
        <f>SUM('Revenues 9-14'!C201,'Revenues 9-14'!G201)</f>
        <v>540596</v>
      </c>
      <c r="G129" s="931"/>
    </row>
    <row r="130" spans="1:7" x14ac:dyDescent="0.2">
      <c r="A130" s="928" t="s">
        <v>688</v>
      </c>
      <c r="B130" s="928" t="s">
        <v>803</v>
      </c>
      <c r="C130" s="933">
        <v>4300</v>
      </c>
      <c r="D130" s="934" t="str">
        <f>'Revenues 9-14'!A211</f>
        <v>Total Title I</v>
      </c>
      <c r="E130" s="907"/>
      <c r="F130" s="1800">
        <f>SUM('Revenues 9-14'!C211,'Revenues 9-14'!D211,'Revenues 9-14'!F211,'Revenues 9-14'!G211)</f>
        <v>370729</v>
      </c>
      <c r="G130" s="931"/>
    </row>
    <row r="131" spans="1:7" x14ac:dyDescent="0.2">
      <c r="A131" s="928" t="s">
        <v>688</v>
      </c>
      <c r="B131" s="928" t="s">
        <v>804</v>
      </c>
      <c r="C131" s="933">
        <v>4400</v>
      </c>
      <c r="D131" s="934" t="str">
        <f>'Revenues 9-14'!A216</f>
        <v>Total Title IV</v>
      </c>
      <c r="E131" s="907"/>
      <c r="F131" s="1800">
        <f>SUM('Revenues 9-14'!C216,'Revenues 9-14'!D216,'Revenues 9-14'!F216,'Revenues 9-14'!G216)</f>
        <v>0</v>
      </c>
      <c r="G131" s="931"/>
    </row>
    <row r="132" spans="1:7" x14ac:dyDescent="0.2">
      <c r="A132" s="928" t="s">
        <v>688</v>
      </c>
      <c r="B132" s="928" t="s">
        <v>190</v>
      </c>
      <c r="C132" s="933">
        <f>'Revenues 9-14'!B220</f>
        <v>4620</v>
      </c>
      <c r="D132" s="934" t="str">
        <f>'Revenues 9-14'!A220</f>
        <v>Fed - Spec Education - IDEA - Flow Through</v>
      </c>
      <c r="E132" s="907"/>
      <c r="F132" s="1800">
        <f>SUM('Revenues 9-14'!C220:D220,'Revenues 9-14'!F220:G220)</f>
        <v>580481</v>
      </c>
      <c r="G132" s="931"/>
    </row>
    <row r="133" spans="1:7" x14ac:dyDescent="0.2">
      <c r="A133" s="928" t="s">
        <v>688</v>
      </c>
      <c r="B133" s="928" t="s">
        <v>191</v>
      </c>
      <c r="C133" s="933">
        <f>'Revenues 9-14'!B221</f>
        <v>4625</v>
      </c>
      <c r="D133" s="934" t="str">
        <f>'Revenues 9-14'!A221</f>
        <v>Fed - Spec Education - IDEA - Room &amp; Board</v>
      </c>
      <c r="E133" s="907"/>
      <c r="F133" s="1800">
        <f>SUM('Revenues 9-14'!C221,'Revenues 9-14'!D221,'Revenues 9-14'!F221,'Revenues 9-14'!G221)</f>
        <v>0</v>
      </c>
      <c r="G133" s="931"/>
    </row>
    <row r="134" spans="1:7" x14ac:dyDescent="0.2">
      <c r="A134" s="928" t="s">
        <v>688</v>
      </c>
      <c r="B134" s="928" t="s">
        <v>858</v>
      </c>
      <c r="C134" s="933">
        <f>'Revenues 9-14'!B222</f>
        <v>4630</v>
      </c>
      <c r="D134" s="934" t="str">
        <f>'Revenues 9-14'!A222</f>
        <v>Fed - Spec Education - IDEA - Discretionary</v>
      </c>
      <c r="E134" s="907"/>
      <c r="F134" s="1800">
        <f>SUM('Revenues 9-14'!C222:D222,'Revenues 9-14'!F222:G222)</f>
        <v>0</v>
      </c>
      <c r="G134" s="931">
        <v>6297</v>
      </c>
    </row>
    <row r="135" spans="1:7" x14ac:dyDescent="0.2">
      <c r="A135" s="928" t="s">
        <v>688</v>
      </c>
      <c r="B135" s="928" t="s">
        <v>805</v>
      </c>
      <c r="C135" s="933">
        <f>'Revenues 9-14'!B223</f>
        <v>4699</v>
      </c>
      <c r="D135" s="934" t="str">
        <f>'Revenues 9-14'!A223</f>
        <v>Fed - Spec Education - IDEA - Other (Describe &amp; Itemize)</v>
      </c>
      <c r="E135" s="907"/>
      <c r="F135" s="1800">
        <f>SUM('Revenues 9-14'!C223:D223,'Revenues 9-14'!F223:G223)</f>
        <v>0</v>
      </c>
      <c r="G135" s="931"/>
    </row>
    <row r="136" spans="1:7" x14ac:dyDescent="0.2">
      <c r="A136" s="928" t="s">
        <v>693</v>
      </c>
      <c r="B136" s="928" t="s">
        <v>806</v>
      </c>
      <c r="C136" s="933">
        <v>4700</v>
      </c>
      <c r="D136" s="930" t="str">
        <f>'Revenues 9-14'!A228</f>
        <v>Total CTE - Perkins</v>
      </c>
      <c r="E136" s="907"/>
      <c r="F136" s="1800">
        <f>SUM('Revenues 9-14'!C228,'Revenues 9-14'!D228,'Revenues 9-14'!G228)</f>
        <v>28681</v>
      </c>
      <c r="G136" s="931">
        <v>6303</v>
      </c>
    </row>
    <row r="137" spans="1:7" s="868" customFormat="1" hidden="1" x14ac:dyDescent="0.2">
      <c r="A137" s="935" t="s">
        <v>215</v>
      </c>
      <c r="B137" s="935" t="s">
        <v>1483</v>
      </c>
      <c r="C137" s="936" t="s">
        <v>216</v>
      </c>
      <c r="D137" s="937" t="str">
        <f>'Revenues 9-14'!A231</f>
        <v>ARRA - Title I - Low Income</v>
      </c>
      <c r="E137" s="938"/>
      <c r="F137" s="1921">
        <f>SUM('Revenues 9-14'!$C$231:$D$231,'Revenues 9-14'!$F$231:$G$231)</f>
        <v>0</v>
      </c>
      <c r="G137" s="906"/>
    </row>
    <row r="138" spans="1:7" s="868" customFormat="1" hidden="1" x14ac:dyDescent="0.2">
      <c r="A138" s="935" t="s">
        <v>215</v>
      </c>
      <c r="B138" s="935" t="s">
        <v>1484</v>
      </c>
      <c r="C138" s="936" t="s">
        <v>217</v>
      </c>
      <c r="D138" s="937" t="str">
        <f>'Revenues 9-14'!A232</f>
        <v>ARRA - Title I - Neglected, Private</v>
      </c>
      <c r="E138" s="938"/>
      <c r="F138" s="1800">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800">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800">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800">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800">
        <v>0</v>
      </c>
      <c r="G142" s="906"/>
    </row>
    <row r="143" spans="1:7" s="868" customFormat="1" hidden="1" x14ac:dyDescent="0.2">
      <c r="A143" s="935" t="s">
        <v>215</v>
      </c>
      <c r="B143" s="935" t="s">
        <v>228</v>
      </c>
      <c r="C143" s="936" t="s">
        <v>225</v>
      </c>
      <c r="D143" s="937" t="str">
        <f>'Revenues 9-14'!A237</f>
        <v>ARRA - IDEA - Part B - Flow-Through</v>
      </c>
      <c r="E143" s="938"/>
      <c r="F143" s="1800">
        <f>SUM('Revenues 9-14'!C237:G237,'Revenues 9-14'!J237)</f>
        <v>0</v>
      </c>
      <c r="G143" s="906"/>
    </row>
    <row r="144" spans="1:7" s="868" customFormat="1" hidden="1" x14ac:dyDescent="0.2">
      <c r="A144" s="935" t="s">
        <v>215</v>
      </c>
      <c r="B144" s="935" t="s">
        <v>859</v>
      </c>
      <c r="C144" s="936" t="s">
        <v>227</v>
      </c>
      <c r="D144" s="937" t="str">
        <f>'Revenues 9-14'!A238</f>
        <v>ARRA - Title IID - Technology-Formula</v>
      </c>
      <c r="E144" s="938"/>
      <c r="F144" s="1800">
        <f>SUM('Revenues 9-14'!C238:G238,'Revenues 9-14'!J238)</f>
        <v>0</v>
      </c>
      <c r="G144" s="906"/>
    </row>
    <row r="145" spans="1:7" s="868" customFormat="1" hidden="1" x14ac:dyDescent="0.2">
      <c r="A145" s="935" t="s">
        <v>215</v>
      </c>
      <c r="B145" s="935" t="s">
        <v>1485</v>
      </c>
      <c r="C145" s="936" t="s">
        <v>229</v>
      </c>
      <c r="D145" s="937" t="str">
        <f>'Revenues 9-14'!A239</f>
        <v>ARRA - Title IID - Technology-Competitive</v>
      </c>
      <c r="E145" s="938"/>
      <c r="F145" s="1800">
        <f>SUM('Revenues 9-14'!C239:G239,'Revenues 9-14'!J239)</f>
        <v>0</v>
      </c>
      <c r="G145" s="906"/>
    </row>
    <row r="146" spans="1:7" s="868" customFormat="1" hidden="1" x14ac:dyDescent="0.2">
      <c r="A146" s="935" t="s">
        <v>688</v>
      </c>
      <c r="B146" s="935" t="s">
        <v>1486</v>
      </c>
      <c r="C146" s="936" t="s">
        <v>230</v>
      </c>
      <c r="D146" s="937" t="str">
        <f>'Revenues 9-14'!A240</f>
        <v>ARRA - McKinney - Vento Homeless Education</v>
      </c>
      <c r="E146" s="938"/>
      <c r="F146" s="1800">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800">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800">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800">
        <f>SUM('Revenues 9-14'!C246:G246,'Revenues 9-14'!J246)</f>
        <v>0</v>
      </c>
      <c r="G149" s="906"/>
    </row>
    <row r="150" spans="1:7" s="868" customFormat="1" hidden="1" x14ac:dyDescent="0.2">
      <c r="A150" s="935" t="s">
        <v>215</v>
      </c>
      <c r="B150" s="935" t="s">
        <v>1487</v>
      </c>
      <c r="C150" s="936" t="s">
        <v>236</v>
      </c>
      <c r="D150" s="937" t="str">
        <f>'Revenues 9-14'!A247</f>
        <v>Build America Bond Interest Reimbursement</v>
      </c>
      <c r="E150" s="938"/>
      <c r="F150" s="1800">
        <f>SUM('Revenues 9-14'!C247:G247,'Revenues 9-14'!J247)</f>
        <v>0</v>
      </c>
      <c r="G150" s="906"/>
    </row>
    <row r="151" spans="1:7" s="868" customFormat="1" hidden="1" x14ac:dyDescent="0.2">
      <c r="A151" s="935" t="s">
        <v>215</v>
      </c>
      <c r="B151" s="935" t="s">
        <v>240</v>
      </c>
      <c r="C151" s="936" t="s">
        <v>238</v>
      </c>
      <c r="D151" s="937" t="str">
        <f>'Revenues 9-14'!A249</f>
        <v>Other ARRA Funds - II</v>
      </c>
      <c r="E151" s="938"/>
      <c r="F151" s="1800">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800">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800">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800">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800">
        <v>0</v>
      </c>
      <c r="G155" s="906"/>
    </row>
    <row r="156" spans="1:7" s="868" customFormat="1" hidden="1" x14ac:dyDescent="0.2">
      <c r="A156" s="935" t="s">
        <v>215</v>
      </c>
      <c r="B156" s="935" t="s">
        <v>250</v>
      </c>
      <c r="C156" s="936" t="s">
        <v>247</v>
      </c>
      <c r="D156" s="937" t="str">
        <f>'Revenues 9-14'!A254</f>
        <v>Other ARRA Funds VII</v>
      </c>
      <c r="E156" s="938"/>
      <c r="F156" s="1800">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800">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800">
        <f>SUM('Revenues 9-14'!C256:G256,'Revenues 9-14'!J256)</f>
        <v>0</v>
      </c>
      <c r="G158" s="906"/>
    </row>
    <row r="159" spans="1:7" s="868" customFormat="1" hidden="1" x14ac:dyDescent="0.2">
      <c r="A159" s="935" t="s">
        <v>215</v>
      </c>
      <c r="B159" s="935" t="s">
        <v>862</v>
      </c>
      <c r="C159" s="936" t="s">
        <v>253</v>
      </c>
      <c r="D159" s="937" t="str">
        <f>'Revenues 9-14'!A257</f>
        <v>Other ARRA Funds X</v>
      </c>
      <c r="E159" s="938"/>
      <c r="F159" s="1800">
        <f>SUM('Revenues 9-14'!C257:G257,'Revenues 9-14'!J257)</f>
        <v>0</v>
      </c>
      <c r="G159" s="906"/>
    </row>
    <row r="160" spans="1:7" s="868" customFormat="1" hidden="1" x14ac:dyDescent="0.2">
      <c r="A160" s="935" t="s">
        <v>215</v>
      </c>
      <c r="B160" s="935" t="s">
        <v>1488</v>
      </c>
      <c r="C160" s="936" t="s">
        <v>255</v>
      </c>
      <c r="D160" s="937" t="str">
        <f>'Revenues 9-14'!A258</f>
        <v>Other ARRA Funds Ed Job Fund Program</v>
      </c>
      <c r="E160" s="938"/>
      <c r="F160" s="1800">
        <f>SUM('Revenues 9-14'!C258:G258,'Revenues 9-14'!J258)</f>
        <v>0</v>
      </c>
      <c r="G160" s="906"/>
    </row>
    <row r="161" spans="1:7" s="868" customFormat="1" x14ac:dyDescent="0.2">
      <c r="A161" s="939" t="s">
        <v>520</v>
      </c>
      <c r="B161" s="940" t="s">
        <v>1563</v>
      </c>
      <c r="C161" s="941" t="s">
        <v>895</v>
      </c>
      <c r="D161" s="942" t="s">
        <v>807</v>
      </c>
      <c r="E161" s="943"/>
      <c r="F161" s="1800">
        <f>SUM(F137:F160)</f>
        <v>0</v>
      </c>
      <c r="G161" s="906"/>
    </row>
    <row r="162" spans="1:7" s="868" customFormat="1" x14ac:dyDescent="0.2">
      <c r="A162" s="939" t="s">
        <v>478</v>
      </c>
      <c r="B162" s="940" t="s">
        <v>1500</v>
      </c>
      <c r="C162" s="941" t="s">
        <v>1498</v>
      </c>
      <c r="D162" s="942" t="s">
        <v>1499</v>
      </c>
      <c r="E162" s="943"/>
      <c r="F162" s="1800">
        <f>SUM('Revenues 9-14'!C260)</f>
        <v>0</v>
      </c>
      <c r="G162" s="906"/>
    </row>
    <row r="163" spans="1:7" s="868" customFormat="1" x14ac:dyDescent="0.2">
      <c r="A163" s="939" t="s">
        <v>520</v>
      </c>
      <c r="B163" s="940" t="s">
        <v>1540</v>
      </c>
      <c r="C163" s="941" t="s">
        <v>1541</v>
      </c>
      <c r="D163" s="942" t="s">
        <v>1542</v>
      </c>
      <c r="E163" s="943"/>
      <c r="F163" s="1800">
        <f>SUM('Revenues 9-14'!C261:H261,'Revenues 9-14'!J261:K261)</f>
        <v>0</v>
      </c>
      <c r="G163" s="906"/>
    </row>
    <row r="164" spans="1:7" x14ac:dyDescent="0.2">
      <c r="A164" s="928" t="s">
        <v>1066</v>
      </c>
      <c r="B164" s="928" t="s">
        <v>1555</v>
      </c>
      <c r="C164" s="933">
        <f>'Revenues 9-14'!B262</f>
        <v>4904</v>
      </c>
      <c r="D164" s="930" t="str">
        <f>'Revenues 9-14'!A262</f>
        <v>Advanced Placement Fee/International Baccalaureate</v>
      </c>
      <c r="E164" s="907"/>
      <c r="F164" s="1800">
        <f>SUM('Revenues 9-14'!C262,'Revenues 9-14'!D262,'Revenues 9-14'!G262)</f>
        <v>0</v>
      </c>
      <c r="G164" s="931"/>
    </row>
    <row r="165" spans="1:7" x14ac:dyDescent="0.2">
      <c r="A165" s="928" t="s">
        <v>5</v>
      </c>
      <c r="B165" s="928" t="s">
        <v>808</v>
      </c>
      <c r="C165" s="933">
        <f>'Revenues 9-14'!B263</f>
        <v>4905</v>
      </c>
      <c r="D165" s="930" t="str">
        <f>'Revenues 9-14'!A263</f>
        <v>Title III - Immigrant Education Program (IEP)</v>
      </c>
      <c r="E165" s="907"/>
      <c r="F165" s="1800">
        <f>SUM('Revenues 9-14'!C263,'Revenues 9-14'!F263,'Revenues 9-14'!G263)</f>
        <v>0</v>
      </c>
      <c r="G165" s="944">
        <v>6306</v>
      </c>
    </row>
    <row r="166" spans="1:7" x14ac:dyDescent="0.2">
      <c r="A166" s="928" t="s">
        <v>5</v>
      </c>
      <c r="B166" s="928" t="s">
        <v>1501</v>
      </c>
      <c r="C166" s="933">
        <f>'Revenues 9-14'!B264</f>
        <v>4909</v>
      </c>
      <c r="D166" s="930" t="str">
        <f>'Revenues 9-14'!A264</f>
        <v>Title III - Language Inst Program - Limited Eng (LIPLEP)</v>
      </c>
      <c r="E166" s="907"/>
      <c r="F166" s="1800">
        <f>SUM('Revenues 9-14'!C264,'Revenues 9-14'!F264,'Revenues 9-14'!G264)</f>
        <v>0</v>
      </c>
      <c r="G166" s="944"/>
    </row>
    <row r="167" spans="1:7" x14ac:dyDescent="0.2">
      <c r="A167" s="928" t="s">
        <v>5</v>
      </c>
      <c r="B167" s="928" t="s">
        <v>1556</v>
      </c>
      <c r="C167" s="933">
        <f>'Revenues 9-14'!B265</f>
        <v>4910</v>
      </c>
      <c r="D167" s="930" t="str">
        <f>'Revenues 9-14'!A265</f>
        <v>Learn &amp; Serve America</v>
      </c>
      <c r="E167" s="907"/>
      <c r="F167" s="1800">
        <f>SUM('Revenues 9-14'!C265,'Revenues 9-14'!F265,'Revenues 9-14'!G265)</f>
        <v>0</v>
      </c>
      <c r="G167" s="931"/>
    </row>
    <row r="168" spans="1:7" x14ac:dyDescent="0.2">
      <c r="A168" s="928" t="s">
        <v>688</v>
      </c>
      <c r="B168" s="928" t="s">
        <v>706</v>
      </c>
      <c r="C168" s="933">
        <f>'Revenues 9-14'!B266</f>
        <v>4920</v>
      </c>
      <c r="D168" s="930" t="str">
        <f>'Revenues 9-14'!A266</f>
        <v>McKinney Education for Homeless Children</v>
      </c>
      <c r="E168" s="907"/>
      <c r="F168" s="1800">
        <f>SUM('Revenues 9-14'!C266,'Revenues 9-14'!D266,'Revenues 9-14'!F266,'Revenues 9-14'!G266)</f>
        <v>0</v>
      </c>
      <c r="G168" s="931"/>
    </row>
    <row r="169" spans="1:7" x14ac:dyDescent="0.2">
      <c r="A169" s="945" t="s">
        <v>688</v>
      </c>
      <c r="B169" s="945" t="s">
        <v>707</v>
      </c>
      <c r="C169" s="946">
        <f>'Revenues 9-14'!B267</f>
        <v>4930</v>
      </c>
      <c r="D169" s="947" t="str">
        <f>'Revenues 9-14'!A267</f>
        <v>Title II - Eisenhower Professional Development Formula</v>
      </c>
      <c r="E169" s="927"/>
      <c r="F169" s="1921">
        <f>SUM('Revenues 9-14'!C267:D267,'Revenues 9-14'!F267,'Revenues 9-14'!G267)</f>
        <v>70237</v>
      </c>
      <c r="G169" s="931"/>
    </row>
    <row r="170" spans="1:7" x14ac:dyDescent="0.2">
      <c r="A170" s="928" t="s">
        <v>688</v>
      </c>
      <c r="B170" s="928" t="s">
        <v>708</v>
      </c>
      <c r="C170" s="933">
        <f>'Revenues 9-14'!B268</f>
        <v>4932</v>
      </c>
      <c r="D170" s="934" t="str">
        <f>'Revenues 9-14'!A268</f>
        <v>Title II - Teacher Quality</v>
      </c>
      <c r="E170" s="907"/>
      <c r="F170" s="1921">
        <f>SUM('Revenues 9-14'!C268,'Revenues 9-14'!D268,'Revenues 9-14'!F268,'Revenues 9-14'!G268)</f>
        <v>0</v>
      </c>
      <c r="G170" s="931"/>
    </row>
    <row r="171" spans="1:7" x14ac:dyDescent="0.2">
      <c r="A171" s="928" t="s">
        <v>688</v>
      </c>
      <c r="B171" s="928" t="s">
        <v>863</v>
      </c>
      <c r="C171" s="933">
        <f>'Revenues 9-14'!B269</f>
        <v>4960</v>
      </c>
      <c r="D171" s="930" t="str">
        <f>'Revenues 9-14'!A269</f>
        <v>Federal Charter Schools</v>
      </c>
      <c r="E171" s="907"/>
      <c r="F171" s="1800">
        <f>SUM('Revenues 9-14'!C269:D269,'Revenues 9-14'!F269:G269)</f>
        <v>0</v>
      </c>
      <c r="G171" s="931"/>
    </row>
    <row r="172" spans="1:7" x14ac:dyDescent="0.2">
      <c r="A172" s="928" t="s">
        <v>688</v>
      </c>
      <c r="B172" s="928" t="s">
        <v>809</v>
      </c>
      <c r="C172" s="933">
        <f>'Revenues 9-14'!B270</f>
        <v>4991</v>
      </c>
      <c r="D172" s="934" t="str">
        <f>'Revenues 9-14'!A270</f>
        <v>Medicaid Matching Funds - Administrative Outreach</v>
      </c>
      <c r="E172" s="907"/>
      <c r="F172" s="1800">
        <f>SUM('Revenues 9-14'!C270:D270,'Revenues 9-14'!F270:G270)</f>
        <v>30766</v>
      </c>
      <c r="G172" s="948">
        <v>6320</v>
      </c>
    </row>
    <row r="173" spans="1:7" x14ac:dyDescent="0.2">
      <c r="A173" s="928" t="s">
        <v>688</v>
      </c>
      <c r="B173" s="928" t="s">
        <v>1502</v>
      </c>
      <c r="C173" s="933">
        <f>'Revenues 9-14'!B271</f>
        <v>4992</v>
      </c>
      <c r="D173" s="934" t="str">
        <f>'Revenues 9-14'!A271</f>
        <v>Medicaid Matching Funds - Fee-for-Service Program</v>
      </c>
      <c r="E173" s="907"/>
      <c r="F173" s="1800">
        <f>SUM('Revenues 9-14'!C271:D271,'Revenues 9-14'!F271:G271)</f>
        <v>33063</v>
      </c>
      <c r="G173" s="948"/>
    </row>
    <row r="174" spans="1:7" x14ac:dyDescent="0.2">
      <c r="A174" s="949" t="s">
        <v>688</v>
      </c>
      <c r="B174" s="945" t="s">
        <v>1557</v>
      </c>
      <c r="C174" s="946">
        <f>'Revenues 9-14'!B272</f>
        <v>4999</v>
      </c>
      <c r="D174" s="947" t="str">
        <f>'Revenues 9-14'!A272</f>
        <v>Other Restricted Revenue from Federal Sources (Describe &amp; Itemize)</v>
      </c>
      <c r="E174" s="907"/>
      <c r="F174" s="1800">
        <f>SUM('Revenues 9-14'!C272:D272,'Revenues 9-14'!F272:G272)</f>
        <v>97203</v>
      </c>
      <c r="G174" s="928"/>
    </row>
    <row r="175" spans="1:7" x14ac:dyDescent="0.2">
      <c r="A175" s="1932" t="s">
        <v>5</v>
      </c>
      <c r="B175" s="1933" t="s">
        <v>2054</v>
      </c>
      <c r="C175" s="1934">
        <v>3100</v>
      </c>
      <c r="D175" s="1935" t="s">
        <v>2057</v>
      </c>
      <c r="E175" s="907"/>
      <c r="F175" s="1919">
        <v>695895</v>
      </c>
      <c r="G175" s="928"/>
    </row>
    <row r="176" spans="1:7" x14ac:dyDescent="0.2">
      <c r="A176" s="1932" t="s">
        <v>684</v>
      </c>
      <c r="B176" s="1933" t="s">
        <v>2054</v>
      </c>
      <c r="C176" s="1934">
        <v>3300</v>
      </c>
      <c r="D176" s="1935" t="s">
        <v>2058</v>
      </c>
      <c r="E176" s="907"/>
      <c r="F176" s="1919">
        <v>98</v>
      </c>
      <c r="G176" s="928"/>
    </row>
    <row r="177" spans="1:7" ht="6" customHeight="1" x14ac:dyDescent="0.2">
      <c r="A177" s="928"/>
      <c r="B177" s="928"/>
      <c r="C177" s="950"/>
      <c r="D177" s="928"/>
      <c r="E177" s="907"/>
      <c r="F177" s="951"/>
      <c r="G177" s="948"/>
    </row>
    <row r="178" spans="1:7" x14ac:dyDescent="0.2">
      <c r="A178" s="1781"/>
      <c r="B178" s="1795"/>
      <c r="C178" s="1796"/>
      <c r="D178" s="1797" t="s">
        <v>2010</v>
      </c>
      <c r="E178" s="1798" t="s">
        <v>1014</v>
      </c>
      <c r="F178" s="1799">
        <f>SUM(F84:F136,F161:F176)</f>
        <v>5138087</v>
      </c>
    </row>
    <row r="179" spans="1:7" ht="12" customHeight="1" x14ac:dyDescent="0.2">
      <c r="A179" s="1781"/>
      <c r="B179" s="1795"/>
      <c r="C179" s="1796"/>
      <c r="D179" s="1797" t="s">
        <v>2011</v>
      </c>
      <c r="E179" s="1798"/>
      <c r="F179" s="1800">
        <f>'PCTC-OEPP 27-28'!F77-F178</f>
        <v>17779978</v>
      </c>
    </row>
    <row r="180" spans="1:7" ht="12" customHeight="1" x14ac:dyDescent="0.2">
      <c r="A180" s="1781"/>
      <c r="B180" s="1795"/>
      <c r="C180" s="1796"/>
      <c r="D180" s="1797" t="s">
        <v>1920</v>
      </c>
      <c r="E180" s="1798"/>
      <c r="F180" s="1800">
        <f>'Cap Outlay Deprec 26'!I18</f>
        <v>1349953</v>
      </c>
    </row>
    <row r="181" spans="1:7" ht="12" customHeight="1" x14ac:dyDescent="0.2">
      <c r="A181" s="1781"/>
      <c r="B181" s="1795"/>
      <c r="C181" s="1796"/>
      <c r="D181" s="1797" t="s">
        <v>2012</v>
      </c>
      <c r="E181" s="1798"/>
      <c r="F181" s="1800">
        <f>F179+F180</f>
        <v>19129931</v>
      </c>
    </row>
    <row r="182" spans="1:7" ht="12" customHeight="1" x14ac:dyDescent="0.2">
      <c r="A182" s="1781"/>
      <c r="B182" s="1801"/>
      <c r="C182" s="1796"/>
      <c r="D182" s="1797" t="str">
        <f>D78</f>
        <v>9 Month ADA from District Average Daily Attendance/Prior General State Aid Inquiry 2017-2018</v>
      </c>
      <c r="E182" s="1798"/>
      <c r="F182" s="1802">
        <f>'PCTC-OEPP 27-28'!F78</f>
        <v>2247.9899999999998</v>
      </c>
      <c r="G182" s="931"/>
    </row>
    <row r="183" spans="1:7" ht="12" customHeight="1" thickBot="1" x14ac:dyDescent="0.25">
      <c r="A183" s="1781"/>
      <c r="B183" s="1801"/>
      <c r="C183" s="1796"/>
      <c r="D183" s="1797" t="s">
        <v>2013</v>
      </c>
      <c r="E183" s="1798" t="s">
        <v>1625</v>
      </c>
      <c r="F183" s="1803">
        <f>F181/F182</f>
        <v>8509.7936378720551</v>
      </c>
      <c r="G183" s="857">
        <v>6323</v>
      </c>
    </row>
    <row r="184" spans="1:7" ht="12" thickTop="1" x14ac:dyDescent="0.2">
      <c r="B184" s="931"/>
      <c r="C184" s="950"/>
      <c r="D184" s="931"/>
      <c r="E184" s="950"/>
      <c r="F184" s="931"/>
      <c r="G184" s="952">
        <v>6326</v>
      </c>
    </row>
    <row r="185" spans="1:7" ht="12.2" customHeight="1" x14ac:dyDescent="0.2">
      <c r="A185" s="931" t="s">
        <v>2056</v>
      </c>
      <c r="B185" s="931"/>
      <c r="C185" s="950"/>
      <c r="D185" s="931"/>
      <c r="E185" s="950"/>
      <c r="F185" s="931"/>
      <c r="G185" s="931"/>
    </row>
    <row r="186" spans="1:7" s="1936" customFormat="1" ht="12.2" customHeight="1" x14ac:dyDescent="0.2">
      <c r="A186" s="1936" t="s">
        <v>2061</v>
      </c>
      <c r="B186" s="1937"/>
      <c r="C186" s="1938"/>
      <c r="D186" s="1937"/>
      <c r="E186" s="1938"/>
      <c r="F186" s="1937"/>
      <c r="G186" s="1937"/>
    </row>
    <row r="187" spans="1:7" s="1936" customFormat="1" ht="12.2" customHeight="1" x14ac:dyDescent="0.2">
      <c r="A187" s="1939" t="s">
        <v>2062</v>
      </c>
      <c r="C187" s="1938"/>
      <c r="D187" s="1937"/>
      <c r="E187" s="1938"/>
      <c r="F187" s="1937"/>
      <c r="G187" s="1937"/>
    </row>
    <row r="188" spans="1:7" ht="12" customHeight="1" x14ac:dyDescent="0.2">
      <c r="C188" s="950"/>
      <c r="D188" s="931"/>
      <c r="E188" s="950"/>
      <c r="F188" s="931"/>
      <c r="G188" s="931"/>
    </row>
    <row r="189" spans="1:7" x14ac:dyDescent="0.2">
      <c r="A189" s="1940" t="s">
        <v>2060</v>
      </c>
      <c r="B189" s="1941" t="s">
        <v>2059</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4" type="noConversion"/>
  <hyperlinks>
    <hyperlink ref="B189" r:id="rId1"/>
  </hyperlinks>
  <printOptions headings="1"/>
  <pageMargins left="0.54" right="0.2" top="0.7" bottom="0.45" header="0.19" footer="0.17"/>
  <pageSetup scale="70" firstPageNumber="27" orientation="portrait" useFirstPageNumber="1" r:id="rId2"/>
  <headerFooter>
    <oddHeader>&amp;L&amp;8Page &amp;P&amp;C &amp;R&amp;8Page &amp;P</oddHeader>
    <oddFooter>&amp;L&amp;8See Notes to Financial Statements</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showGridLines="0" zoomScale="80" zoomScaleNormal="80" workbookViewId="0">
      <pane ySplit="16" topLeftCell="A17" activePane="bottomLeft" state="frozen"/>
      <selection pane="bottomLeft" activeCell="A17" sqref="A17"/>
    </sheetView>
  </sheetViews>
  <sheetFormatPr defaultColWidth="9.140625" defaultRowHeight="15" x14ac:dyDescent="0.25"/>
  <cols>
    <col min="1" max="1" width="52" style="1555" customWidth="1"/>
    <col min="2" max="2" width="16.42578125" style="1556" bestFit="1" customWidth="1"/>
    <col min="3" max="3" width="33.7109375" style="1556" customWidth="1"/>
    <col min="4" max="4" width="16.28515625" style="1557" customWidth="1"/>
    <col min="5" max="5" width="0.140625" style="1557" hidden="1" customWidth="1"/>
    <col min="6" max="6" width="23.5703125" style="1557" customWidth="1"/>
    <col min="7" max="7" width="23.28515625" style="1556" customWidth="1"/>
    <col min="8" max="16384" width="9.140625" style="1546"/>
  </cols>
  <sheetData>
    <row r="1" spans="1:7" ht="15" customHeight="1" x14ac:dyDescent="0.25">
      <c r="A1" s="1671" t="s">
        <v>1936</v>
      </c>
      <c r="B1" s="1672"/>
      <c r="C1" s="1672"/>
      <c r="D1" s="1672"/>
      <c r="E1" s="1672"/>
      <c r="F1" s="1672"/>
      <c r="G1" s="1672"/>
    </row>
    <row r="2" spans="1:7" x14ac:dyDescent="0.25">
      <c r="A2" s="1669"/>
      <c r="B2" s="1669"/>
      <c r="C2" s="1670" t="s">
        <v>1035</v>
      </c>
      <c r="D2" s="1669"/>
      <c r="E2" s="1669"/>
      <c r="F2" s="1669"/>
      <c r="G2" s="1669"/>
    </row>
    <row r="3" spans="1:7" ht="5.25" customHeight="1" x14ac:dyDescent="0.25">
      <c r="A3" s="1558"/>
      <c r="B3" s="1558"/>
      <c r="C3" s="1558"/>
      <c r="D3" s="1558"/>
      <c r="E3" s="1558"/>
      <c r="F3" s="1558"/>
      <c r="G3" s="1558"/>
    </row>
    <row r="4" spans="1:7" ht="18.75" customHeight="1" x14ac:dyDescent="0.25">
      <c r="A4" s="2295" t="s">
        <v>1921</v>
      </c>
      <c r="B4" s="2296"/>
      <c r="C4" s="2296"/>
      <c r="D4" s="2296"/>
      <c r="E4" s="2296"/>
      <c r="F4" s="2296"/>
      <c r="G4" s="2297"/>
    </row>
    <row r="5" spans="1:7" x14ac:dyDescent="0.25">
      <c r="A5" s="2298"/>
      <c r="B5" s="2299"/>
      <c r="C5" s="2299"/>
      <c r="D5" s="2299"/>
      <c r="E5" s="2299"/>
      <c r="F5" s="2299"/>
      <c r="G5" s="2300"/>
    </row>
    <row r="6" spans="1:7" ht="18.75" x14ac:dyDescent="0.25">
      <c r="A6" s="1547" t="s">
        <v>1922</v>
      </c>
      <c r="B6" s="1548"/>
      <c r="C6" s="1548"/>
      <c r="D6" s="1548"/>
      <c r="E6" s="1548"/>
      <c r="F6" s="1548"/>
      <c r="G6" s="1549"/>
    </row>
    <row r="7" spans="1:7" ht="30.75" customHeight="1" x14ac:dyDescent="0.25">
      <c r="A7" s="2301" t="s">
        <v>2071</v>
      </c>
      <c r="B7" s="2302"/>
      <c r="C7" s="2302"/>
      <c r="D7" s="2302"/>
      <c r="E7" s="2302"/>
      <c r="F7" s="2302"/>
      <c r="G7" s="2303"/>
    </row>
    <row r="8" spans="1:7" ht="15.75" customHeight="1" x14ac:dyDescent="0.25">
      <c r="A8" s="2304" t="s">
        <v>2020</v>
      </c>
      <c r="B8" s="2305"/>
      <c r="C8" s="2305"/>
      <c r="D8" s="2305"/>
      <c r="E8" s="2305"/>
      <c r="F8" s="2305"/>
      <c r="G8" s="2306"/>
    </row>
    <row r="9" spans="1:7" ht="35.25" customHeight="1" x14ac:dyDescent="0.25">
      <c r="A9" s="2301" t="s">
        <v>2019</v>
      </c>
      <c r="B9" s="2302"/>
      <c r="C9" s="2302"/>
      <c r="D9" s="2302"/>
      <c r="E9" s="2302"/>
      <c r="F9" s="2302"/>
      <c r="G9" s="2303"/>
    </row>
    <row r="10" spans="1:7" ht="15" customHeight="1" x14ac:dyDescent="0.25">
      <c r="A10" s="1550" t="s">
        <v>1923</v>
      </c>
      <c r="B10" s="1551"/>
      <c r="C10" s="1551"/>
      <c r="D10" s="1551"/>
      <c r="E10" s="1551"/>
      <c r="F10" s="1551"/>
      <c r="G10" s="1552"/>
    </row>
    <row r="11" spans="1:7" ht="17.25" customHeight="1" x14ac:dyDescent="0.25">
      <c r="A11" s="2301" t="s">
        <v>1937</v>
      </c>
      <c r="B11" s="2302"/>
      <c r="C11" s="2302"/>
      <c r="D11" s="2302"/>
      <c r="E11" s="2302"/>
      <c r="F11" s="2302"/>
      <c r="G11" s="2303"/>
    </row>
    <row r="12" spans="1:7" ht="15" customHeight="1" x14ac:dyDescent="0.25">
      <c r="A12" s="1550" t="s">
        <v>1928</v>
      </c>
      <c r="B12" s="1551"/>
      <c r="C12" s="1551"/>
      <c r="D12" s="1551"/>
      <c r="E12" s="1551"/>
      <c r="F12" s="1551"/>
      <c r="G12" s="1552"/>
    </row>
    <row r="13" spans="1:7" ht="32.25" customHeight="1" x14ac:dyDescent="0.25">
      <c r="A13" s="2292" t="s">
        <v>1929</v>
      </c>
      <c r="B13" s="2293"/>
      <c r="C13" s="2293"/>
      <c r="D13" s="2293"/>
      <c r="E13" s="2293"/>
      <c r="F13" s="2293"/>
      <c r="G13" s="2294"/>
    </row>
    <row r="14" spans="1:7" x14ac:dyDescent="0.25">
      <c r="A14" s="1673" t="s">
        <v>1938</v>
      </c>
      <c r="B14" s="1674"/>
      <c r="C14" s="1674"/>
      <c r="D14" s="1674"/>
      <c r="E14" s="1674"/>
      <c r="F14" s="1674"/>
      <c r="G14" s="1675"/>
    </row>
    <row r="15" spans="1:7" ht="61.5" customHeight="1" x14ac:dyDescent="0.25">
      <c r="A15" s="1559" t="s">
        <v>1930</v>
      </c>
      <c r="B15" s="1559" t="s">
        <v>1931</v>
      </c>
      <c r="C15" s="1559" t="s">
        <v>1932</v>
      </c>
      <c r="D15" s="1560" t="s">
        <v>1933</v>
      </c>
      <c r="E15" s="1560" t="s">
        <v>1924</v>
      </c>
      <c r="F15" s="1560" t="s">
        <v>1934</v>
      </c>
      <c r="G15" s="1560" t="s">
        <v>1935</v>
      </c>
    </row>
    <row r="16" spans="1:7" x14ac:dyDescent="0.25">
      <c r="A16" s="1661" t="s">
        <v>1939</v>
      </c>
      <c r="B16" s="1662" t="s">
        <v>1927</v>
      </c>
      <c r="C16" s="1663" t="s">
        <v>1925</v>
      </c>
      <c r="D16" s="1664">
        <v>500000</v>
      </c>
      <c r="E16" s="1664">
        <f>IF(D16&lt;=25000,D16,IF(D16&gt;25000,25000,0))</f>
        <v>25000</v>
      </c>
      <c r="F16" s="1664">
        <f>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65">
        <f>IF(F16=0,"0",D16-F16)</f>
        <v>475000</v>
      </c>
    </row>
    <row r="17" spans="1:8" x14ac:dyDescent="0.25">
      <c r="A17" s="1948" t="s">
        <v>2256</v>
      </c>
      <c r="B17" s="1949" t="s">
        <v>2257</v>
      </c>
      <c r="C17" s="1950" t="s">
        <v>2077</v>
      </c>
      <c r="D17" s="1855">
        <v>28175</v>
      </c>
      <c r="E17" s="1553">
        <f>IF(D17&lt;=25000,D17,IF(D17&gt;25000,25000,0))</f>
        <v>25000</v>
      </c>
      <c r="F17" s="1804">
        <f>IF(OR(B17="10-1000-100",B17="10-1000-200",B17="10-1000-300",B17="10-1000-400",B17="10-1000-600",B17="10-1000-800",B17="50-1000-200",B17="10-2100-100",B17="10-2100-200",B17="10-2100-300",B17="10-2100-400",B17="10-2100-600",B17="10-2100-800",B17="20-2100-200",B17="20-2190-100",B17="20-2190-200",B17="20-2190-300",B17="20-2190-400",B17="20-2190-600",B17="20-2190-800",B17="40-2190-100",B17="40-2190-200",B17="40-2190-300",B17="40-2190-400",B17="40-2190-600",B17="40-2190-800",B17="50-2190-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20-2540-800",B17="20-2540-100",B17="20-2540-200",B17="20-2540-300",B17="20-2540-400",B17="20-2540-600",B17="50-2540-200",B17="90-2540-100",B17="90-2540-200",B17="90-2540-300",B17="90-2540-400",B17="90-2540-600",B17="90-2540-800",B17="90-2540-800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20-2560-100",B17="20-2560-200",B17="20-2560-300",B17="20-2560-400",B17="20-2560-600",B17="20-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60-2900-100",B17="60-2900-200",B17="60-2900-300",B17="60-2900-400",B17="60-2900-600",B17="60-2900-800",B17="90-2900-100",B17="90-2900-200",B17="90-2900-300",B17="90-2900-400",B17="90-2900-600",B17="90-2900-800",B17="10-3000-100",B17="10-3000-200",B17="10-3000-300",B17="10-3000-400",B17="10-3000-600",B17="10-3000-800",B17="20-3000-100",B17="20-3000-200",B17="20-3000-300",B17="20-3000-400",B17="20-3000-600",B17="20-3000-800",B17="40-3000-100",B17="40-3000-200",B17="40-3000-300",B17="40-3000-400",B17="40-3000-600",B17="40-3000-800",B17="50-3000-200"),E17,0)</f>
        <v>25000</v>
      </c>
      <c r="G17" s="1805">
        <f>IF(F17=0,0,D17-F17)</f>
        <v>3175</v>
      </c>
      <c r="H17" s="1660"/>
    </row>
    <row r="18" spans="1:8" x14ac:dyDescent="0.25">
      <c r="A18" s="1948" t="s">
        <v>2260</v>
      </c>
      <c r="B18" s="1949" t="s">
        <v>2259</v>
      </c>
      <c r="C18" s="1950" t="s">
        <v>2258</v>
      </c>
      <c r="D18" s="1855">
        <v>52889</v>
      </c>
      <c r="E18" s="1553">
        <f t="shared" ref="E18:E38" si="0">IF(D18&lt;=25000,D18,IF(D18&gt;25000,25000,0))</f>
        <v>25000</v>
      </c>
      <c r="F18" s="1804">
        <f t="shared" ref="F18:F38" si="1">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25000</v>
      </c>
      <c r="G18" s="1805">
        <f t="shared" ref="G18:G38" si="2">IF(F18=0,0,D18-F18)</f>
        <v>27889</v>
      </c>
    </row>
    <row r="19" spans="1:8" x14ac:dyDescent="0.25">
      <c r="A19" s="1948" t="s">
        <v>2261</v>
      </c>
      <c r="B19" s="1949" t="s">
        <v>2262</v>
      </c>
      <c r="C19" s="1950" t="s">
        <v>2263</v>
      </c>
      <c r="D19" s="1855">
        <v>37216</v>
      </c>
      <c r="E19" s="1553">
        <f t="shared" si="0"/>
        <v>25000</v>
      </c>
      <c r="F19" s="1804">
        <f t="shared" si="1"/>
        <v>25000</v>
      </c>
      <c r="G19" s="1805">
        <f t="shared" si="2"/>
        <v>12216</v>
      </c>
    </row>
    <row r="20" spans="1:8" x14ac:dyDescent="0.25">
      <c r="A20" s="1948" t="s">
        <v>2264</v>
      </c>
      <c r="B20" s="1949" t="s">
        <v>2265</v>
      </c>
      <c r="C20" s="1950" t="s">
        <v>2266</v>
      </c>
      <c r="D20" s="1855">
        <v>60000</v>
      </c>
      <c r="E20" s="1553">
        <f t="shared" si="0"/>
        <v>25000</v>
      </c>
      <c r="F20" s="1804">
        <f t="shared" si="1"/>
        <v>25000</v>
      </c>
      <c r="G20" s="1805">
        <f t="shared" si="2"/>
        <v>35000</v>
      </c>
    </row>
    <row r="21" spans="1:8" x14ac:dyDescent="0.25">
      <c r="A21" s="1948" t="s">
        <v>2264</v>
      </c>
      <c r="B21" s="1949" t="s">
        <v>2265</v>
      </c>
      <c r="C21" s="1950" t="s">
        <v>2267</v>
      </c>
      <c r="D21" s="1855">
        <v>59026</v>
      </c>
      <c r="E21" s="1553">
        <f t="shared" si="0"/>
        <v>25000</v>
      </c>
      <c r="F21" s="1804">
        <f t="shared" si="1"/>
        <v>25000</v>
      </c>
      <c r="G21" s="1805">
        <f t="shared" si="2"/>
        <v>34026</v>
      </c>
    </row>
    <row r="22" spans="1:8" x14ac:dyDescent="0.25">
      <c r="A22" s="1948" t="s">
        <v>2264</v>
      </c>
      <c r="B22" s="1949" t="s">
        <v>2265</v>
      </c>
      <c r="C22" s="1950" t="s">
        <v>2268</v>
      </c>
      <c r="D22" s="1855">
        <v>97794</v>
      </c>
      <c r="E22" s="1553">
        <f t="shared" si="0"/>
        <v>25000</v>
      </c>
      <c r="F22" s="1804">
        <f t="shared" si="1"/>
        <v>25000</v>
      </c>
      <c r="G22" s="1805">
        <f t="shared" si="2"/>
        <v>72794</v>
      </c>
    </row>
    <row r="23" spans="1:8" x14ac:dyDescent="0.25">
      <c r="A23" s="1666"/>
      <c r="B23" s="1856"/>
      <c r="C23" s="1668"/>
      <c r="D23" s="1855"/>
      <c r="E23" s="1553">
        <f t="shared" si="0"/>
        <v>0</v>
      </c>
      <c r="F23" s="1804">
        <f t="shared" si="1"/>
        <v>0</v>
      </c>
      <c r="G23" s="1805">
        <f t="shared" si="2"/>
        <v>0</v>
      </c>
    </row>
    <row r="24" spans="1:8" x14ac:dyDescent="0.25">
      <c r="A24" s="1666"/>
      <c r="B24" s="1857"/>
      <c r="C24" s="1668"/>
      <c r="D24" s="1855"/>
      <c r="E24" s="1553">
        <f t="shared" si="0"/>
        <v>0</v>
      </c>
      <c r="F24" s="1804">
        <f t="shared" si="1"/>
        <v>0</v>
      </c>
      <c r="G24" s="1805">
        <f t="shared" si="2"/>
        <v>0</v>
      </c>
    </row>
    <row r="25" spans="1:8" x14ac:dyDescent="0.25">
      <c r="A25" s="1666"/>
      <c r="B25" s="1856"/>
      <c r="C25" s="1668"/>
      <c r="D25" s="1855"/>
      <c r="E25" s="1553">
        <f t="shared" si="0"/>
        <v>0</v>
      </c>
      <c r="F25" s="1804">
        <f t="shared" si="1"/>
        <v>0</v>
      </c>
      <c r="G25" s="1805">
        <f t="shared" si="2"/>
        <v>0</v>
      </c>
    </row>
    <row r="26" spans="1:8" x14ac:dyDescent="0.25">
      <c r="A26" s="1666"/>
      <c r="B26" s="1857"/>
      <c r="C26" s="1667"/>
      <c r="D26" s="1855"/>
      <c r="E26" s="1553">
        <f t="shared" si="0"/>
        <v>0</v>
      </c>
      <c r="F26" s="1804">
        <f t="shared" si="1"/>
        <v>0</v>
      </c>
      <c r="G26" s="1805">
        <f t="shared" si="2"/>
        <v>0</v>
      </c>
    </row>
    <row r="27" spans="1:8" x14ac:dyDescent="0.25">
      <c r="A27" s="1666"/>
      <c r="B27" s="1857"/>
      <c r="C27" s="1667"/>
      <c r="D27" s="1855"/>
      <c r="E27" s="1553">
        <f t="shared" si="0"/>
        <v>0</v>
      </c>
      <c r="F27" s="1804">
        <f t="shared" si="1"/>
        <v>0</v>
      </c>
      <c r="G27" s="1805">
        <f t="shared" si="2"/>
        <v>0</v>
      </c>
    </row>
    <row r="28" spans="1:8" x14ac:dyDescent="0.25">
      <c r="A28" s="1666"/>
      <c r="B28" s="1857"/>
      <c r="C28" s="1667"/>
      <c r="D28" s="1855"/>
      <c r="E28" s="1553">
        <f t="shared" si="0"/>
        <v>0</v>
      </c>
      <c r="F28" s="1804">
        <f t="shared" si="1"/>
        <v>0</v>
      </c>
      <c r="G28" s="1805">
        <f t="shared" si="2"/>
        <v>0</v>
      </c>
    </row>
    <row r="29" spans="1:8" x14ac:dyDescent="0.25">
      <c r="A29" s="1666"/>
      <c r="B29" s="1857"/>
      <c r="C29" s="1667"/>
      <c r="D29" s="1855"/>
      <c r="E29" s="1553">
        <f t="shared" si="0"/>
        <v>0</v>
      </c>
      <c r="F29" s="1804">
        <f t="shared" si="1"/>
        <v>0</v>
      </c>
      <c r="G29" s="1805">
        <f t="shared" si="2"/>
        <v>0</v>
      </c>
    </row>
    <row r="30" spans="1:8" x14ac:dyDescent="0.25">
      <c r="A30" s="1666"/>
      <c r="B30" s="1857"/>
      <c r="C30" s="1667"/>
      <c r="D30" s="1855"/>
      <c r="E30" s="1553">
        <f t="shared" si="0"/>
        <v>0</v>
      </c>
      <c r="F30" s="1804">
        <f t="shared" si="1"/>
        <v>0</v>
      </c>
      <c r="G30" s="1805">
        <f t="shared" si="2"/>
        <v>0</v>
      </c>
    </row>
    <row r="31" spans="1:8" x14ac:dyDescent="0.25">
      <c r="A31" s="1666"/>
      <c r="B31" s="1857"/>
      <c r="C31" s="1667"/>
      <c r="D31" s="1855"/>
      <c r="E31" s="1553">
        <f t="shared" si="0"/>
        <v>0</v>
      </c>
      <c r="F31" s="1804">
        <f t="shared" si="1"/>
        <v>0</v>
      </c>
      <c r="G31" s="1805">
        <f t="shared" si="2"/>
        <v>0</v>
      </c>
    </row>
    <row r="32" spans="1:8" x14ac:dyDescent="0.25">
      <c r="A32" s="1666"/>
      <c r="B32" s="1857"/>
      <c r="C32" s="1667"/>
      <c r="D32" s="1855"/>
      <c r="E32" s="1553">
        <f t="shared" si="0"/>
        <v>0</v>
      </c>
      <c r="F32" s="1804">
        <f t="shared" si="1"/>
        <v>0</v>
      </c>
      <c r="G32" s="1805">
        <f t="shared" si="2"/>
        <v>0</v>
      </c>
    </row>
    <row r="33" spans="1:7" x14ac:dyDescent="0.25">
      <c r="A33" s="1666"/>
      <c r="B33" s="1857"/>
      <c r="C33" s="1667"/>
      <c r="D33" s="1855"/>
      <c r="E33" s="1553">
        <f t="shared" si="0"/>
        <v>0</v>
      </c>
      <c r="F33" s="1804">
        <f t="shared" si="1"/>
        <v>0</v>
      </c>
      <c r="G33" s="1805">
        <f t="shared" si="2"/>
        <v>0</v>
      </c>
    </row>
    <row r="34" spans="1:7" x14ac:dyDescent="0.25">
      <c r="A34" s="1666"/>
      <c r="B34" s="1857"/>
      <c r="C34" s="1667"/>
      <c r="D34" s="1855"/>
      <c r="E34" s="1553">
        <f t="shared" si="0"/>
        <v>0</v>
      </c>
      <c r="F34" s="1804">
        <f t="shared" si="1"/>
        <v>0</v>
      </c>
      <c r="G34" s="1805">
        <f t="shared" si="2"/>
        <v>0</v>
      </c>
    </row>
    <row r="35" spans="1:7" x14ac:dyDescent="0.25">
      <c r="A35" s="1666"/>
      <c r="B35" s="1857"/>
      <c r="C35" s="1667"/>
      <c r="D35" s="1855"/>
      <c r="E35" s="1553">
        <f t="shared" si="0"/>
        <v>0</v>
      </c>
      <c r="F35" s="1804">
        <f t="shared" si="1"/>
        <v>0</v>
      </c>
      <c r="G35" s="1805">
        <f t="shared" si="2"/>
        <v>0</v>
      </c>
    </row>
    <row r="36" spans="1:7" x14ac:dyDescent="0.25">
      <c r="A36" s="1666"/>
      <c r="B36" s="1857"/>
      <c r="C36" s="1667"/>
      <c r="D36" s="1855"/>
      <c r="E36" s="1553">
        <f t="shared" si="0"/>
        <v>0</v>
      </c>
      <c r="F36" s="1804">
        <f t="shared" si="1"/>
        <v>0</v>
      </c>
      <c r="G36" s="1805">
        <f t="shared" si="2"/>
        <v>0</v>
      </c>
    </row>
    <row r="37" spans="1:7" x14ac:dyDescent="0.25">
      <c r="A37" s="1666"/>
      <c r="B37" s="1857"/>
      <c r="C37" s="1667"/>
      <c r="D37" s="1855"/>
      <c r="E37" s="1553">
        <f t="shared" si="0"/>
        <v>0</v>
      </c>
      <c r="F37" s="1804">
        <f t="shared" si="1"/>
        <v>0</v>
      </c>
      <c r="G37" s="1805">
        <f t="shared" si="2"/>
        <v>0</v>
      </c>
    </row>
    <row r="38" spans="1:7" x14ac:dyDescent="0.25">
      <c r="A38" s="1666"/>
      <c r="B38" s="1678"/>
      <c r="C38" s="1667"/>
      <c r="D38" s="1855"/>
      <c r="E38" s="1553">
        <f t="shared" si="0"/>
        <v>0</v>
      </c>
      <c r="F38" s="1804">
        <f t="shared" si="1"/>
        <v>0</v>
      </c>
      <c r="G38" s="1805">
        <f t="shared" si="2"/>
        <v>0</v>
      </c>
    </row>
    <row r="39" spans="1:7" x14ac:dyDescent="0.25">
      <c r="A39" s="1808" t="s">
        <v>158</v>
      </c>
      <c r="B39" s="1809"/>
      <c r="C39" s="1810"/>
      <c r="D39" s="1806">
        <f>SUM(D17:D38)</f>
        <v>335100</v>
      </c>
      <c r="E39" s="1554">
        <f>IF(D39&lt;=25000,D39,IF(D39&gt;25000,25000,0))</f>
        <v>25000</v>
      </c>
      <c r="F39" s="1806">
        <f>SUM(F17:F38)</f>
        <v>150000</v>
      </c>
      <c r="G39" s="1807">
        <f>SUM(G17:G38)</f>
        <v>185100</v>
      </c>
    </row>
  </sheetData>
  <sheetProtection selectLockedCells="1"/>
  <mergeCells count="6">
    <mergeCell ref="A13:G13"/>
    <mergeCell ref="A4:G5"/>
    <mergeCell ref="A11:G11"/>
    <mergeCell ref="A7:G7"/>
    <mergeCell ref="A8:G8"/>
    <mergeCell ref="A9:G9"/>
  </mergeCells>
  <pageMargins left="0.7" right="0.7" top="0.75" bottom="0.75" header="0.3" footer="0.3"/>
  <pageSetup scale="75" firstPageNumber="30" fitToHeight="0" orientation="landscape" r:id="rId1"/>
  <headerFooter>
    <oddFooter>&amp;LSee Notes to Financial Statements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topLeftCell="A13" colorId="8" zoomScale="110" zoomScaleNormal="110" workbookViewId="0">
      <selection activeCell="E23" sqref="E23"/>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47" t="s">
        <v>1176</v>
      </c>
      <c r="B1" s="1648"/>
      <c r="C1" s="1649"/>
    </row>
    <row r="2" spans="1:9" x14ac:dyDescent="0.2">
      <c r="A2" s="953" t="s">
        <v>1177</v>
      </c>
      <c r="B2" s="954"/>
      <c r="C2" s="954"/>
      <c r="D2" s="954"/>
      <c r="E2" s="955"/>
      <c r="F2" s="955"/>
      <c r="G2" s="956"/>
    </row>
    <row r="3" spans="1:9" ht="12" customHeight="1" x14ac:dyDescent="0.2">
      <c r="A3" s="957" t="s">
        <v>1422</v>
      </c>
      <c r="B3" s="958"/>
      <c r="C3" s="958"/>
      <c r="D3" s="958"/>
      <c r="E3" s="959"/>
      <c r="F3" s="959"/>
      <c r="G3" s="960"/>
    </row>
    <row r="4" spans="1:9" x14ac:dyDescent="0.2">
      <c r="A4" s="961" t="s">
        <v>778</v>
      </c>
      <c r="B4" s="962"/>
      <c r="C4" s="962"/>
      <c r="D4" s="962"/>
      <c r="E4" s="963"/>
      <c r="F4" s="964"/>
      <c r="G4" s="965"/>
      <c r="H4" s="252"/>
      <c r="I4" s="252"/>
    </row>
    <row r="5" spans="1:9" s="343" customFormat="1" ht="57" customHeight="1" x14ac:dyDescent="0.2">
      <c r="A5" s="2307" t="s">
        <v>1777</v>
      </c>
      <c r="B5" s="2308"/>
      <c r="C5" s="2308"/>
      <c r="D5" s="2308"/>
      <c r="E5" s="2308"/>
      <c r="F5" s="2308"/>
      <c r="G5" s="2309"/>
      <c r="H5" s="252"/>
      <c r="I5" s="610"/>
    </row>
    <row r="6" spans="1:9" s="669" customFormat="1" x14ac:dyDescent="0.2">
      <c r="A6" s="1650" t="s">
        <v>214</v>
      </c>
      <c r="B6" s="967"/>
      <c r="C6" s="967"/>
      <c r="D6" s="968"/>
      <c r="E6" s="968"/>
      <c r="F6" s="969"/>
      <c r="G6" s="970"/>
      <c r="H6" s="162"/>
      <c r="I6" s="162"/>
    </row>
    <row r="7" spans="1:9" s="669" customFormat="1" ht="12" customHeight="1" x14ac:dyDescent="0.2">
      <c r="A7" s="971" t="s">
        <v>963</v>
      </c>
      <c r="B7" s="972"/>
      <c r="C7" s="972"/>
      <c r="D7" s="973"/>
      <c r="E7" s="974"/>
      <c r="F7" s="975"/>
      <c r="G7" s="976"/>
      <c r="H7" s="162"/>
      <c r="I7" s="162"/>
    </row>
    <row r="8" spans="1:9" s="669" customFormat="1" ht="12" customHeight="1" x14ac:dyDescent="0.2">
      <c r="A8" s="971" t="s">
        <v>131</v>
      </c>
      <c r="B8" s="972"/>
      <c r="C8" s="972"/>
      <c r="D8" s="973"/>
      <c r="E8" s="974"/>
      <c r="F8" s="975"/>
      <c r="G8" s="976"/>
      <c r="H8" s="162"/>
      <c r="I8" s="162"/>
    </row>
    <row r="9" spans="1:9" s="669" customFormat="1" ht="12" customHeight="1" x14ac:dyDescent="0.2">
      <c r="A9" s="971" t="s">
        <v>132</v>
      </c>
      <c r="B9" s="972"/>
      <c r="C9" s="972"/>
      <c r="D9" s="973"/>
      <c r="E9" s="974"/>
      <c r="F9" s="975"/>
      <c r="G9" s="976"/>
      <c r="H9" s="162"/>
      <c r="I9" s="162"/>
    </row>
    <row r="10" spans="1:9" s="669" customFormat="1" ht="12" customHeight="1" x14ac:dyDescent="0.2">
      <c r="A10" s="971" t="s">
        <v>2072</v>
      </c>
      <c r="B10" s="972"/>
      <c r="C10" s="977"/>
      <c r="D10" s="973"/>
      <c r="E10" s="974">
        <v>454367</v>
      </c>
      <c r="F10" s="975"/>
      <c r="G10" s="976"/>
      <c r="H10" s="162"/>
      <c r="I10" s="162"/>
    </row>
    <row r="11" spans="1:9" s="669" customFormat="1" ht="22.5" customHeight="1" x14ac:dyDescent="0.2">
      <c r="A11" s="2312" t="s">
        <v>1941</v>
      </c>
      <c r="B11" s="2313"/>
      <c r="C11" s="2313"/>
      <c r="D11" s="2314"/>
      <c r="E11" s="978">
        <v>87123</v>
      </c>
      <c r="F11" s="975"/>
      <c r="G11" s="979"/>
      <c r="H11" s="162"/>
      <c r="I11" s="162"/>
    </row>
    <row r="12" spans="1:9" s="669" customFormat="1" ht="12" customHeight="1" x14ac:dyDescent="0.2">
      <c r="A12" s="971" t="s">
        <v>133</v>
      </c>
      <c r="B12" s="972"/>
      <c r="C12" s="972"/>
      <c r="D12" s="973"/>
      <c r="E12" s="974"/>
      <c r="F12" s="975"/>
      <c r="G12" s="976"/>
      <c r="H12" s="162"/>
      <c r="I12" s="162"/>
    </row>
    <row r="13" spans="1:9" s="669" customFormat="1" ht="12" customHeight="1" x14ac:dyDescent="0.2">
      <c r="A13" s="971" t="s">
        <v>212</v>
      </c>
      <c r="B13" s="972"/>
      <c r="C13" s="972"/>
      <c r="D13" s="973"/>
      <c r="E13" s="974"/>
      <c r="F13" s="975"/>
      <c r="G13" s="976"/>
      <c r="H13" s="162"/>
      <c r="I13" s="162"/>
    </row>
    <row r="14" spans="1:9" s="669" customFormat="1" ht="12" customHeight="1" x14ac:dyDescent="0.2">
      <c r="A14" s="971" t="s">
        <v>213</v>
      </c>
      <c r="B14" s="972"/>
      <c r="C14" s="972"/>
      <c r="D14" s="973"/>
      <c r="E14" s="974"/>
      <c r="F14" s="980"/>
      <c r="G14" s="981"/>
      <c r="H14" s="162"/>
      <c r="I14" s="162"/>
    </row>
    <row r="15" spans="1:9" s="669" customFormat="1" ht="12" customHeight="1" x14ac:dyDescent="0.2">
      <c r="A15" s="966" t="s">
        <v>388</v>
      </c>
      <c r="B15" s="968"/>
      <c r="C15" s="968"/>
      <c r="D15" s="968"/>
      <c r="E15" s="968"/>
      <c r="F15" s="968"/>
      <c r="G15" s="982"/>
      <c r="H15" s="162"/>
      <c r="I15" s="162"/>
    </row>
    <row r="16" spans="1:9" s="669" customFormat="1" x14ac:dyDescent="0.2">
      <c r="A16" s="983" t="s">
        <v>1442</v>
      </c>
      <c r="B16" s="984"/>
      <c r="C16" s="985"/>
      <c r="D16" s="964"/>
      <c r="E16" s="959"/>
      <c r="F16" s="959"/>
      <c r="G16" s="960"/>
      <c r="H16" s="162"/>
      <c r="I16" s="162"/>
    </row>
    <row r="17" spans="1:9" s="669" customFormat="1" ht="12" customHeight="1" x14ac:dyDescent="0.2">
      <c r="A17" s="986"/>
      <c r="B17" s="987"/>
      <c r="C17" s="329"/>
      <c r="D17" s="1651" t="s">
        <v>552</v>
      </c>
      <c r="E17" s="1652"/>
      <c r="F17" s="1651" t="s">
        <v>452</v>
      </c>
      <c r="G17" s="1653"/>
      <c r="H17" s="162"/>
      <c r="I17" s="162"/>
    </row>
    <row r="18" spans="1:9" s="259" customFormat="1" ht="11.25" x14ac:dyDescent="0.2">
      <c r="A18" s="989"/>
      <c r="C18" s="990" t="s">
        <v>453</v>
      </c>
      <c r="D18" s="1654" t="s">
        <v>454</v>
      </c>
      <c r="E18" s="1654" t="s">
        <v>55</v>
      </c>
      <c r="F18" s="1654" t="s">
        <v>454</v>
      </c>
      <c r="G18" s="1654" t="s">
        <v>55</v>
      </c>
      <c r="H18" s="178"/>
      <c r="I18" s="178"/>
    </row>
    <row r="19" spans="1:9" s="669" customFormat="1" ht="12" customHeight="1" x14ac:dyDescent="0.2">
      <c r="A19" s="991" t="s">
        <v>475</v>
      </c>
      <c r="B19" s="992"/>
      <c r="C19" s="993" t="s">
        <v>590</v>
      </c>
      <c r="D19" s="1811"/>
      <c r="E19" s="1812">
        <f>'Expenditures 15-22'!K33-SUM('Expenditures 15-22'!G33,'Expenditures 15-22'!I33)+'Expenditures 15-22'!D229</f>
        <v>11693164</v>
      </c>
      <c r="F19" s="1811"/>
      <c r="G19" s="1813">
        <f>'Expenditures 15-22'!K33-SUM('Expenditures 15-22'!G33,'Expenditures 15-22'!I33)+'Expenditures 15-22'!D229</f>
        <v>11693164</v>
      </c>
      <c r="H19" s="988"/>
      <c r="I19" s="162"/>
    </row>
    <row r="20" spans="1:9" s="669" customFormat="1" ht="12" customHeight="1" x14ac:dyDescent="0.2">
      <c r="A20" s="991" t="s">
        <v>56</v>
      </c>
      <c r="B20" s="992"/>
      <c r="C20" s="994"/>
      <c r="D20" s="1814"/>
      <c r="E20" s="1814"/>
      <c r="F20" s="1814"/>
      <c r="G20" s="1815"/>
      <c r="H20" s="988"/>
      <c r="I20" s="162"/>
    </row>
    <row r="21" spans="1:9" s="669" customFormat="1" ht="12" customHeight="1" x14ac:dyDescent="0.2">
      <c r="A21" s="995" t="s">
        <v>420</v>
      </c>
      <c r="B21" s="996"/>
      <c r="C21" s="994">
        <v>2100</v>
      </c>
      <c r="D21" s="1814"/>
      <c r="E21" s="1816">
        <f>'Expenditures 15-22'!K42-SUM('Expenditures 15-22'!G42,'Expenditures 15-22'!I42)+'Expenditures 15-22'!K120-SUM('Expenditures 15-22'!G120,'Expenditures 15-22'!I120)+'Expenditures 15-22'!K180-SUM('Expenditures 15-22'!G180,'Expenditures 15-22'!I180)+'Expenditures 15-22'!D238</f>
        <v>722970</v>
      </c>
      <c r="F21" s="1814"/>
      <c r="G21" s="1817">
        <f>'Expenditures 15-22'!K42-SUM('Expenditures 15-22'!G42,'Expenditures 15-22'!I42)+'Expenditures 15-22'!K120-SUM('Expenditures 15-22'!G120,'Expenditures 15-22'!I120)+'Expenditures 15-22'!K180-SUM('Expenditures 15-22'!G180,'Expenditures 15-22'!I180)+'Expenditures 15-22'!D238</f>
        <v>722970</v>
      </c>
      <c r="H21" s="988"/>
      <c r="I21" s="162"/>
    </row>
    <row r="22" spans="1:9" s="669" customFormat="1" ht="12" customHeight="1" x14ac:dyDescent="0.2">
      <c r="A22" s="995" t="s">
        <v>584</v>
      </c>
      <c r="B22" s="996"/>
      <c r="C22" s="994">
        <v>2200</v>
      </c>
      <c r="D22" s="1814"/>
      <c r="E22" s="1816">
        <f>'Expenditures 15-22'!K47-SUM('Expenditures 15-22'!G47,'Expenditures 15-22'!I47)+'Expenditures 15-22'!D243</f>
        <v>507082</v>
      </c>
      <c r="F22" s="1814"/>
      <c r="G22" s="1817">
        <f>'Expenditures 15-22'!K47-SUM('Expenditures 15-22'!G47,'Expenditures 15-22'!I47)+'Expenditures 15-22'!D243</f>
        <v>507082</v>
      </c>
      <c r="H22" s="988"/>
      <c r="I22" s="162"/>
    </row>
    <row r="23" spans="1:9" s="669" customFormat="1" ht="12" customHeight="1" x14ac:dyDescent="0.2">
      <c r="A23" s="995" t="s">
        <v>585</v>
      </c>
      <c r="B23" s="996"/>
      <c r="C23" s="994">
        <v>2300</v>
      </c>
      <c r="D23" s="1814"/>
      <c r="E23" s="1816">
        <f>'Expenditures 15-22'!K53-SUM('Expenditures 15-22'!G53,'Expenditures 15-22'!I53)+'Expenditures 15-22'!D257+'Expenditures 15-22'!K330-SUM('Expenditures 15-22'!G330,'Expenditures 15-22'!I330)</f>
        <v>1722874</v>
      </c>
      <c r="F23" s="1814"/>
      <c r="G23" s="1816">
        <f>'Expenditures 15-22'!K53-SUM('Expenditures 15-22'!G53,'Expenditures 15-22'!I53)+'Expenditures 15-22'!D257+'Expenditures 15-22'!K330-SUM('Expenditures 15-22'!G330,'Expenditures 15-22'!I330)</f>
        <v>1722874</v>
      </c>
      <c r="H23" s="988"/>
      <c r="I23" s="162"/>
    </row>
    <row r="24" spans="1:9" s="669" customFormat="1" ht="12" customHeight="1" x14ac:dyDescent="0.2">
      <c r="A24" s="995" t="s">
        <v>586</v>
      </c>
      <c r="B24" s="996"/>
      <c r="C24" s="994">
        <v>2400</v>
      </c>
      <c r="D24" s="1814"/>
      <c r="E24" s="1816">
        <f>'Expenditures 15-22'!K57-SUM('Expenditures 15-22'!G57,'Expenditures 15-22'!I57)+'Expenditures 15-22'!D261</f>
        <v>1027272</v>
      </c>
      <c r="F24" s="1814"/>
      <c r="G24" s="1817">
        <f>'Expenditures 15-22'!K57-SUM('Expenditures 15-22'!G57,'Expenditures 15-22'!I57)+'Expenditures 15-22'!D261</f>
        <v>1027272</v>
      </c>
      <c r="H24" s="988"/>
      <c r="I24" s="162"/>
    </row>
    <row r="25" spans="1:9" s="669" customFormat="1" ht="12" customHeight="1" x14ac:dyDescent="0.2">
      <c r="A25" s="991" t="s">
        <v>587</v>
      </c>
      <c r="B25" s="997"/>
      <c r="C25" s="994"/>
      <c r="D25" s="1814"/>
      <c r="E25" s="1816"/>
      <c r="F25" s="1814"/>
      <c r="G25" s="1817"/>
      <c r="H25" s="988"/>
      <c r="I25" s="162"/>
    </row>
    <row r="26" spans="1:9" s="669" customFormat="1" ht="12" customHeight="1" x14ac:dyDescent="0.2">
      <c r="A26" s="995" t="s">
        <v>535</v>
      </c>
      <c r="B26" s="998"/>
      <c r="C26" s="994">
        <v>2510</v>
      </c>
      <c r="D26" s="1816">
        <f>'Expenditures 15-22'!K59-SUM('Expenditures 15-22'!G59,'Expenditures 15-22'!I59)+'Expenditures 15-22'!D263-E7</f>
        <v>0</v>
      </c>
      <c r="E26" s="1816">
        <f>'Expenditures 15-22'!K122-SUM('Expenditures 15-22'!G122,'Expenditures 15-22'!I122)+E7</f>
        <v>0</v>
      </c>
      <c r="F26" s="1816">
        <f>'Expenditures 15-22'!K59-SUM('Expenditures 15-22'!G59,'Expenditures 15-22'!I59)+'Expenditures 15-22'!D263-E7</f>
        <v>0</v>
      </c>
      <c r="G26" s="1817">
        <f>'Expenditures 15-22'!K122-SUM('Expenditures 15-22'!G122,'Expenditures 15-22'!I122)+E7</f>
        <v>0</v>
      </c>
      <c r="H26" s="988"/>
      <c r="I26" s="162"/>
    </row>
    <row r="27" spans="1:9" s="669" customFormat="1" ht="12" customHeight="1" x14ac:dyDescent="0.2">
      <c r="A27" s="995" t="s">
        <v>482</v>
      </c>
      <c r="B27" s="998"/>
      <c r="C27" s="994">
        <v>2520</v>
      </c>
      <c r="D27" s="1816">
        <f>'Expenditures 15-22'!K60-SUM('Expenditures 15-22'!G60,'Expenditures 15-22'!I60)+'Expenditures 15-22'!D264-E8</f>
        <v>281834</v>
      </c>
      <c r="E27" s="1816">
        <f>E8</f>
        <v>0</v>
      </c>
      <c r="F27" s="1816">
        <f>'Expenditures 15-22'!K60-SUM('Expenditures 15-22'!G60,'Expenditures 15-22'!I60)+'Expenditures 15-22'!D264-E8</f>
        <v>281834</v>
      </c>
      <c r="G27" s="1817">
        <f>E8</f>
        <v>0</v>
      </c>
      <c r="H27" s="988"/>
      <c r="I27" s="162"/>
    </row>
    <row r="28" spans="1:9" s="669" customFormat="1" ht="12" customHeight="1" x14ac:dyDescent="0.2">
      <c r="A28" s="995" t="s">
        <v>536</v>
      </c>
      <c r="B28" s="998"/>
      <c r="C28" s="994">
        <v>2540</v>
      </c>
      <c r="D28" s="1818"/>
      <c r="E28" s="1816">
        <f>'Expenditures 15-22'!K61-SUM('Expenditures 15-22'!G61,'Expenditures 15-22'!I61)+'Expenditures 15-22'!K124-SUM('Expenditures 15-22'!G124,'Expenditures 15-22'!I124)+'Expenditures 15-22'!D266</f>
        <v>2044750</v>
      </c>
      <c r="F28" s="1818">
        <f>'Expenditures 15-22'!K61-SUM('Expenditures 15-22'!G61,'Expenditures 15-22'!I61)+'Expenditures 15-22'!K124-SUM('Expenditures 15-22'!G124,'Expenditures 15-22'!I124)+'Expenditures 15-22'!D266-E9</f>
        <v>2044750</v>
      </c>
      <c r="G28" s="1817">
        <f>E9</f>
        <v>0</v>
      </c>
      <c r="H28" s="988"/>
      <c r="I28" s="162"/>
    </row>
    <row r="29" spans="1:9" ht="12" customHeight="1" x14ac:dyDescent="0.2">
      <c r="A29" s="995" t="s">
        <v>537</v>
      </c>
      <c r="B29" s="998"/>
      <c r="C29" s="994">
        <v>2550</v>
      </c>
      <c r="D29" s="1814"/>
      <c r="E29" s="1816">
        <f>'Expenditures 15-22'!K62-SUM('Expenditures 15-22'!G62,'Expenditures 15-22'!I62)+'Expenditures 15-22'!K125-SUM('Expenditures 15-22'!G125,'Expenditures 15-22'!I125)+'Expenditures 15-22'!K182-SUM('Expenditures 15-22'!G182,'Expenditures 15-22'!I182)+'Expenditures 15-22'!D267</f>
        <v>2241758</v>
      </c>
      <c r="F29" s="1814"/>
      <c r="G29" s="1817">
        <f>'Expenditures 15-22'!K62-SUM('Expenditures 15-22'!G62,'Expenditures 15-22'!I62)+'Expenditures 15-22'!K125-SUM('Expenditures 15-22'!G125,'Expenditures 15-22'!I125)+'Expenditures 15-22'!K182-SUM('Expenditures 15-22'!G182,'Expenditures 15-22'!I182)+'Expenditures 15-22'!D267</f>
        <v>2241758</v>
      </c>
      <c r="H29" s="986"/>
    </row>
    <row r="30" spans="1:9" ht="12" customHeight="1" x14ac:dyDescent="0.2">
      <c r="A30" s="995" t="s">
        <v>102</v>
      </c>
      <c r="B30" s="998"/>
      <c r="C30" s="994">
        <v>2560</v>
      </c>
      <c r="D30" s="1814"/>
      <c r="E30" s="1816">
        <f>'Expenditures 15-22'!K63-SUM('Expenditures 15-22'!G63,'Expenditures 15-22'!I63)+'Expenditures 15-22'!D268-E10</f>
        <v>590895</v>
      </c>
      <c r="F30" s="1814"/>
      <c r="G30" s="1816">
        <f>'Expenditures 15-22'!K63-SUM('Expenditures 15-22'!G63,'Expenditures 15-22'!I63)+'Expenditures 15-22'!D268-E10</f>
        <v>590895</v>
      </c>
    </row>
    <row r="31" spans="1:9" ht="12" customHeight="1" x14ac:dyDescent="0.2">
      <c r="A31" s="995" t="s">
        <v>103</v>
      </c>
      <c r="B31" s="998"/>
      <c r="C31" s="994">
        <v>2570</v>
      </c>
      <c r="D31" s="1816">
        <f>'Expenditures 15-22'!K64-SUM('Expenditures 15-22'!G64,'Expenditures 15-22'!I64)+'Expenditures 15-22'!D269-E12</f>
        <v>0</v>
      </c>
      <c r="E31" s="1816">
        <f>E12</f>
        <v>0</v>
      </c>
      <c r="F31" s="1816">
        <f>'Expenditures 15-22'!K64-SUM('Expenditures 15-22'!G64,'Expenditures 15-22'!I64)+'Expenditures 15-22'!D269-E12</f>
        <v>0</v>
      </c>
      <c r="G31" s="1816">
        <f>E12</f>
        <v>0</v>
      </c>
    </row>
    <row r="32" spans="1:9" ht="12" customHeight="1" x14ac:dyDescent="0.2">
      <c r="A32" s="991" t="s">
        <v>538</v>
      </c>
      <c r="B32" s="997"/>
      <c r="C32" s="994"/>
      <c r="D32" s="1814"/>
      <c r="E32" s="1814"/>
      <c r="F32" s="1814"/>
      <c r="G32" s="1814"/>
    </row>
    <row r="33" spans="1:7" ht="12" customHeight="1" x14ac:dyDescent="0.2">
      <c r="A33" s="995" t="s">
        <v>539</v>
      </c>
      <c r="B33" s="998"/>
      <c r="C33" s="994">
        <v>2610</v>
      </c>
      <c r="D33" s="1814"/>
      <c r="E33" s="1816">
        <f>'Expenditures 15-22'!K67-SUM('Expenditures 15-22'!G67,'Expenditures 15-22'!I67)+'Expenditures 15-22'!D272</f>
        <v>0</v>
      </c>
      <c r="F33" s="1814"/>
      <c r="G33" s="1816">
        <f>'Expenditures 15-22'!K67-SUM('Expenditures 15-22'!G67,'Expenditures 15-22'!I67)+'Expenditures 15-22'!D272</f>
        <v>0</v>
      </c>
    </row>
    <row r="34" spans="1:7" ht="12" customHeight="1" x14ac:dyDescent="0.2">
      <c r="A34" s="995" t="s">
        <v>540</v>
      </c>
      <c r="B34" s="998"/>
      <c r="C34" s="994">
        <v>2620</v>
      </c>
      <c r="D34" s="1814"/>
      <c r="E34" s="1816">
        <f>'Expenditures 15-22'!K68-SUM('Expenditures 15-22'!G68,'Expenditures 15-22'!I68)+'Expenditures 15-22'!D273</f>
        <v>0</v>
      </c>
      <c r="F34" s="1814"/>
      <c r="G34" s="1816">
        <f>'Expenditures 15-22'!K68-SUM('Expenditures 15-22'!G68,'Expenditures 15-22'!I68)+'Expenditures 15-22'!D273</f>
        <v>0</v>
      </c>
    </row>
    <row r="35" spans="1:7" ht="12" customHeight="1" x14ac:dyDescent="0.2">
      <c r="A35" s="995" t="s">
        <v>1120</v>
      </c>
      <c r="B35" s="998"/>
      <c r="C35" s="994">
        <v>2630</v>
      </c>
      <c r="D35" s="1814"/>
      <c r="E35" s="1816">
        <f>'Expenditures 15-22'!K69-SUM('Expenditures 15-22'!G69,'Expenditures 15-22'!I69)+'Expenditures 15-22'!D274</f>
        <v>0</v>
      </c>
      <c r="F35" s="1814"/>
      <c r="G35" s="1816">
        <f>'Expenditures 15-22'!K69-SUM('Expenditures 15-22'!G69,'Expenditures 15-22'!I69)+'Expenditures 15-22'!D274</f>
        <v>0</v>
      </c>
    </row>
    <row r="36" spans="1:7" ht="12" customHeight="1" x14ac:dyDescent="0.2">
      <c r="A36" s="995" t="s">
        <v>422</v>
      </c>
      <c r="B36" s="998"/>
      <c r="C36" s="994">
        <v>2640</v>
      </c>
      <c r="D36" s="1816">
        <f>'Expenditures 15-22'!K70-SUM('Expenditures 15-22'!G70,'Expenditures 15-22'!I70)+'Expenditures 15-22'!D275-E13</f>
        <v>0</v>
      </c>
      <c r="E36" s="1816">
        <f>E13</f>
        <v>0</v>
      </c>
      <c r="F36" s="1816">
        <f>'Expenditures 15-22'!K70-SUM('Expenditures 15-22'!G70,'Expenditures 15-22'!I70)+'Expenditures 15-22'!D275-E13</f>
        <v>0</v>
      </c>
      <c r="G36" s="1816">
        <f>E13</f>
        <v>0</v>
      </c>
    </row>
    <row r="37" spans="1:7" ht="12" customHeight="1" x14ac:dyDescent="0.2">
      <c r="A37" s="995" t="s">
        <v>423</v>
      </c>
      <c r="B37" s="998"/>
      <c r="C37" s="994">
        <v>2660</v>
      </c>
      <c r="D37" s="1816">
        <f>'Expenditures 15-22'!K71-SUM('Expenditures 15-22'!G71,'Expenditures 15-22'!I71)+'Expenditures 15-22'!D276-E14</f>
        <v>412403</v>
      </c>
      <c r="E37" s="1816">
        <f>E14</f>
        <v>0</v>
      </c>
      <c r="F37" s="1816">
        <f>'Expenditures 15-22'!K71-SUM('Expenditures 15-22'!G71,'Expenditures 15-22'!I71)+'Expenditures 15-22'!D276-E14</f>
        <v>412403</v>
      </c>
      <c r="G37" s="1816">
        <f>E14</f>
        <v>0</v>
      </c>
    </row>
    <row r="38" spans="1:7" ht="12" customHeight="1" x14ac:dyDescent="0.2">
      <c r="A38" s="991" t="s">
        <v>541</v>
      </c>
      <c r="B38" s="992"/>
      <c r="C38" s="994">
        <v>2900</v>
      </c>
      <c r="D38" s="1814"/>
      <c r="E38" s="1816">
        <f>'Expenditures 15-22'!K73-SUM('Expenditures 15-22'!G73,'Expenditures 15-22'!I73)+'Expenditures 15-22'!K128-SUM('Expenditures 15-22'!G128,'Expenditures 15-22'!I128)+'Expenditures 15-22'!K183-SUM('Expenditures 15-22'!G183,'Expenditures 15-22'!I183)+'Expenditures 15-22'!D278</f>
        <v>200</v>
      </c>
      <c r="F38" s="1814"/>
      <c r="G38" s="1816">
        <f>'Expenditures 15-22'!K73-SUM('Expenditures 15-22'!G73,'Expenditures 15-22'!I73)+'Expenditures 15-22'!K128-SUM('Expenditures 15-22'!G128,'Expenditures 15-22'!I128)+'Expenditures 15-22'!K183-SUM('Expenditures 15-22'!G183,'Expenditures 15-22'!I183)+'Expenditures 15-22'!D278</f>
        <v>200</v>
      </c>
    </row>
    <row r="39" spans="1:7" ht="12" customHeight="1" x14ac:dyDescent="0.2">
      <c r="A39" s="991" t="s">
        <v>468</v>
      </c>
      <c r="B39" s="992"/>
      <c r="C39" s="994">
        <v>3000</v>
      </c>
      <c r="D39" s="1814"/>
      <c r="E39" s="1816">
        <f>'Expenditures 15-22'!K75-SUM('Expenditures 15-22'!G75,'Expenditures 15-22'!I75)+'Expenditures 15-22'!K130-SUM('Expenditures 15-22'!G130,'Expenditures 15-22'!I130)+'Expenditures 15-22'!K185-SUM('Expenditures 15-22'!G185,'Expenditures 15-22'!I185)+'Expenditures 15-22'!D280</f>
        <v>192305</v>
      </c>
      <c r="F39" s="1814"/>
      <c r="G39" s="1816">
        <f>'Expenditures 15-22'!K75-SUM('Expenditures 15-22'!G75,'Expenditures 15-22'!I75)+'Expenditures 15-22'!K130-SUM('Expenditures 15-22'!G130,'Expenditures 15-22'!I130)+'Expenditures 15-22'!K185-SUM('Expenditures 15-22'!G185,'Expenditures 15-22'!I185)+'Expenditures 15-22'!D280</f>
        <v>192305</v>
      </c>
    </row>
    <row r="40" spans="1:7" ht="12" customHeight="1" x14ac:dyDescent="0.2">
      <c r="A40" s="991" t="s">
        <v>1926</v>
      </c>
      <c r="B40" s="992"/>
      <c r="C40" s="994"/>
      <c r="D40" s="1814"/>
      <c r="E40" s="1818">
        <f>-'Contracts Paid in CY 29'!G39</f>
        <v>-185100</v>
      </c>
      <c r="F40" s="1814"/>
      <c r="G40" s="1818">
        <f>-'Contracts Paid in CY 29'!G39</f>
        <v>-185100</v>
      </c>
    </row>
    <row r="41" spans="1:7" ht="12" customHeight="1" x14ac:dyDescent="0.2">
      <c r="A41" s="999" t="s">
        <v>158</v>
      </c>
      <c r="B41" s="1000"/>
      <c r="C41" s="1001"/>
      <c r="D41" s="1818">
        <f>SUM(D19:D39)</f>
        <v>694237</v>
      </c>
      <c r="E41" s="1818">
        <f>SUM(E19:E40)</f>
        <v>20558170</v>
      </c>
      <c r="F41" s="1818">
        <f>SUM(F19:F39)</f>
        <v>2738987</v>
      </c>
      <c r="G41" s="1818">
        <f>SUM(G19:G40)</f>
        <v>18513420</v>
      </c>
    </row>
    <row r="42" spans="1:7" x14ac:dyDescent="0.2">
      <c r="A42" s="988"/>
      <c r="B42" s="162"/>
      <c r="C42" s="1002"/>
      <c r="D42" s="2310" t="s">
        <v>542</v>
      </c>
      <c r="E42" s="2311"/>
      <c r="F42" s="1003" t="s">
        <v>543</v>
      </c>
      <c r="G42" s="1004"/>
    </row>
    <row r="43" spans="1:7" ht="12" customHeight="1" x14ac:dyDescent="0.2">
      <c r="A43" s="988"/>
      <c r="B43" s="162"/>
      <c r="C43" s="1002"/>
      <c r="D43" s="1819" t="s">
        <v>492</v>
      </c>
      <c r="E43" s="1820">
        <f>D41</f>
        <v>694237</v>
      </c>
      <c r="F43" s="1819" t="s">
        <v>494</v>
      </c>
      <c r="G43" s="1820">
        <f>F41</f>
        <v>2738987</v>
      </c>
    </row>
    <row r="44" spans="1:7" ht="12" customHeight="1" x14ac:dyDescent="0.2">
      <c r="A44" s="988"/>
      <c r="B44" s="162"/>
      <c r="C44" s="1002"/>
      <c r="D44" s="1819" t="s">
        <v>493</v>
      </c>
      <c r="E44" s="1820">
        <f>E41</f>
        <v>20558170</v>
      </c>
      <c r="F44" s="1819" t="s">
        <v>493</v>
      </c>
      <c r="G44" s="1820">
        <f>G41</f>
        <v>18513420</v>
      </c>
    </row>
    <row r="45" spans="1:7" ht="12" customHeight="1" x14ac:dyDescent="0.2">
      <c r="A45" s="988"/>
      <c r="B45" s="162"/>
      <c r="C45" s="162"/>
      <c r="D45" s="1821" t="s">
        <v>1062</v>
      </c>
      <c r="E45" s="1822">
        <f>(E43/E44)</f>
        <v>3.3769396789694803E-2</v>
      </c>
      <c r="F45" s="1821" t="s">
        <v>1062</v>
      </c>
      <c r="G45" s="1822">
        <f>(G43/G44)</f>
        <v>0.14794603050111757</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oddHeader>&amp;L&amp;8Page &amp;P&amp;C&amp;"Arial,Bold"
ESTIMATED INDIRECT COST DATA&amp;R&amp;8Page &amp;P</oddHeader>
    <oddFooter>&amp;L&amp;8See Notes to Financial Statements</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L97"/>
  <sheetViews>
    <sheetView showGridLines="0" zoomScale="110" zoomScaleNormal="110" workbookViewId="0">
      <pane ySplit="4" topLeftCell="A5" activePane="bottomLeft" state="frozen"/>
      <selection activeCell="A47" sqref="A47"/>
      <selection pane="bottomLeft" activeCell="A5" sqref="A5:F5"/>
    </sheetView>
  </sheetViews>
  <sheetFormatPr defaultColWidth="9.140625" defaultRowHeight="12.75" x14ac:dyDescent="0.2"/>
  <cols>
    <col min="1" max="1" width="54.5703125" style="1889" customWidth="1"/>
    <col min="2" max="2" width="4.140625" style="1889" customWidth="1"/>
    <col min="3" max="4" width="9.85546875" style="1860" customWidth="1"/>
    <col min="5" max="5" width="12.5703125" style="1890" customWidth="1"/>
    <col min="6" max="6" width="67.5703125" style="1860" customWidth="1"/>
    <col min="7" max="7" width="9.140625" style="1860" customWidth="1"/>
    <col min="8" max="8" width="5.7109375" style="1891" bestFit="1" customWidth="1"/>
    <col min="9" max="10" width="3" style="1891" bestFit="1" customWidth="1"/>
    <col min="11" max="11" width="9" style="1891" customWidth="1"/>
    <col min="12" max="16384" width="9.140625" style="1860"/>
  </cols>
  <sheetData>
    <row r="1" spans="1:10" x14ac:dyDescent="0.2">
      <c r="A1" s="2318" t="s">
        <v>1445</v>
      </c>
      <c r="B1" s="2318"/>
      <c r="C1" s="2318"/>
      <c r="D1" s="2318"/>
      <c r="E1" s="2318"/>
      <c r="F1" s="2318"/>
    </row>
    <row r="2" spans="1:10" x14ac:dyDescent="0.2">
      <c r="A2" s="1900" t="s">
        <v>2044</v>
      </c>
      <c r="B2" s="1861"/>
      <c r="C2" s="1900"/>
      <c r="D2" s="1861"/>
      <c r="E2" s="1861"/>
      <c r="F2" s="1862"/>
    </row>
    <row r="3" spans="1:10" x14ac:dyDescent="0.2">
      <c r="A3" s="1900" t="s">
        <v>1699</v>
      </c>
      <c r="B3" s="1861"/>
      <c r="C3" s="1900"/>
      <c r="D3" s="1861"/>
      <c r="E3" s="1861"/>
      <c r="F3" s="1862"/>
    </row>
    <row r="4" spans="1:10" ht="3.75" customHeight="1" x14ac:dyDescent="0.2">
      <c r="A4" s="1861"/>
      <c r="B4" s="1861"/>
      <c r="C4" s="1861"/>
      <c r="D4" s="1861"/>
      <c r="E4" s="1861"/>
      <c r="F4" s="1862"/>
    </row>
    <row r="5" spans="1:10" ht="15" x14ac:dyDescent="0.25">
      <c r="A5" s="2319" t="s">
        <v>1626</v>
      </c>
      <c r="B5" s="2320"/>
      <c r="C5" s="2321"/>
      <c r="D5" s="2321"/>
      <c r="E5" s="2321"/>
      <c r="F5" s="2321"/>
    </row>
    <row r="6" spans="1:10" ht="12" customHeight="1" x14ac:dyDescent="0.25">
      <c r="A6" s="1863"/>
      <c r="B6" s="1864"/>
      <c r="C6" s="2322" t="str">
        <f>COVER!A17</f>
        <v>Jersey CUSD 100</v>
      </c>
      <c r="D6" s="2322"/>
      <c r="E6" s="2322"/>
      <c r="F6" s="1865"/>
    </row>
    <row r="7" spans="1:10" ht="11.25" customHeight="1" thickBot="1" x14ac:dyDescent="0.3">
      <c r="A7" s="1863"/>
      <c r="B7" s="1864"/>
      <c r="C7" s="2323">
        <f>COVER!A13</f>
        <v>40042100026</v>
      </c>
      <c r="D7" s="2323"/>
      <c r="E7" s="2323"/>
      <c r="F7" s="1865"/>
    </row>
    <row r="8" spans="1:10" ht="25.5" customHeight="1" thickBot="1" x14ac:dyDescent="0.25">
      <c r="A8" s="1906" t="s">
        <v>2021</v>
      </c>
      <c r="B8" s="1866"/>
      <c r="C8" s="1902" t="s">
        <v>1779</v>
      </c>
      <c r="D8" s="1901" t="s">
        <v>1780</v>
      </c>
      <c r="E8" s="1903" t="s">
        <v>1446</v>
      </c>
      <c r="F8" s="1901" t="s">
        <v>1781</v>
      </c>
      <c r="H8" s="1867" t="b">
        <v>0</v>
      </c>
    </row>
    <row r="9" spans="1:10" ht="15.75" customHeight="1" x14ac:dyDescent="0.2">
      <c r="A9" s="1868" t="s">
        <v>1622</v>
      </c>
      <c r="B9" s="1869"/>
      <c r="C9" s="1870"/>
      <c r="D9" s="1870"/>
      <c r="E9" s="1871"/>
      <c r="F9" s="1872"/>
    </row>
    <row r="10" spans="1:10" ht="27.75" customHeight="1" x14ac:dyDescent="0.2">
      <c r="A10" s="1873" t="s">
        <v>1778</v>
      </c>
      <c r="B10" s="1874"/>
      <c r="C10" s="1875"/>
      <c r="D10" s="1875"/>
      <c r="E10" s="1904" t="s">
        <v>1447</v>
      </c>
      <c r="F10" s="1905" t="s">
        <v>1448</v>
      </c>
    </row>
    <row r="11" spans="1:10" ht="12" customHeight="1" x14ac:dyDescent="0.2">
      <c r="A11" s="1876" t="s">
        <v>1449</v>
      </c>
      <c r="B11" s="1877"/>
      <c r="C11" s="1878"/>
      <c r="D11" s="1878"/>
      <c r="E11" s="1879"/>
      <c r="F11" s="1880"/>
      <c r="H11" s="1891">
        <f>IF(C11="X",5,0)</f>
        <v>0</v>
      </c>
      <c r="I11" s="1891">
        <f>IF(D11="X",5,0)</f>
        <v>0</v>
      </c>
      <c r="J11" s="1891">
        <f>IF(E11="X",5,0)</f>
        <v>0</v>
      </c>
    </row>
    <row r="12" spans="1:10" ht="12" customHeight="1" x14ac:dyDescent="0.2">
      <c r="A12" s="1876" t="s">
        <v>1450</v>
      </c>
      <c r="B12" s="1877"/>
      <c r="C12" s="1878"/>
      <c r="D12" s="1878"/>
      <c r="E12" s="1881"/>
      <c r="F12" s="1880"/>
      <c r="H12" s="1891">
        <f t="shared" ref="H12:H33" si="0">IF(C12="X",5,0)</f>
        <v>0</v>
      </c>
      <c r="I12" s="1891">
        <f t="shared" ref="I12:I33" si="1">IF(D12="X",5,0)</f>
        <v>0</v>
      </c>
      <c r="J12" s="1891">
        <f t="shared" ref="J12:J33" si="2">IF(E12="X",5,0)</f>
        <v>0</v>
      </c>
    </row>
    <row r="13" spans="1:10" ht="12" customHeight="1" x14ac:dyDescent="0.2">
      <c r="A13" s="1876" t="s">
        <v>1451</v>
      </c>
      <c r="B13" s="1877"/>
      <c r="C13" s="1878"/>
      <c r="D13" s="1878"/>
      <c r="E13" s="1881"/>
      <c r="F13" s="1880"/>
      <c r="H13" s="1891">
        <f t="shared" si="0"/>
        <v>0</v>
      </c>
      <c r="I13" s="1891">
        <f t="shared" si="1"/>
        <v>0</v>
      </c>
      <c r="J13" s="1891">
        <f t="shared" si="2"/>
        <v>0</v>
      </c>
    </row>
    <row r="14" spans="1:10" ht="12" customHeight="1" x14ac:dyDescent="0.2">
      <c r="A14" s="1876" t="s">
        <v>1452</v>
      </c>
      <c r="B14" s="1877"/>
      <c r="C14" s="1878"/>
      <c r="D14" s="1878"/>
      <c r="E14" s="1881"/>
      <c r="F14" s="1880"/>
      <c r="H14" s="1891">
        <f t="shared" si="0"/>
        <v>0</v>
      </c>
      <c r="I14" s="1891">
        <f t="shared" si="1"/>
        <v>0</v>
      </c>
      <c r="J14" s="1891">
        <f t="shared" si="2"/>
        <v>0</v>
      </c>
    </row>
    <row r="15" spans="1:10" ht="12" customHeight="1" x14ac:dyDescent="0.2">
      <c r="A15" s="1876" t="s">
        <v>1453</v>
      </c>
      <c r="B15" s="1877"/>
      <c r="C15" s="1878" t="s">
        <v>2087</v>
      </c>
      <c r="D15" s="1878" t="s">
        <v>2087</v>
      </c>
      <c r="E15" s="1881" t="s">
        <v>2087</v>
      </c>
      <c r="F15" s="1880" t="s">
        <v>2101</v>
      </c>
      <c r="H15" s="1891">
        <f t="shared" si="0"/>
        <v>5</v>
      </c>
      <c r="I15" s="1891">
        <f t="shared" si="1"/>
        <v>5</v>
      </c>
      <c r="J15" s="1891">
        <f t="shared" si="2"/>
        <v>5</v>
      </c>
    </row>
    <row r="16" spans="1:10" ht="12" customHeight="1" x14ac:dyDescent="0.2">
      <c r="A16" s="1876" t="s">
        <v>1454</v>
      </c>
      <c r="B16" s="1877"/>
      <c r="C16" s="1878" t="s">
        <v>2087</v>
      </c>
      <c r="D16" s="1878" t="s">
        <v>2087</v>
      </c>
      <c r="E16" s="1881"/>
      <c r="F16" s="1880" t="s">
        <v>2102</v>
      </c>
      <c r="H16" s="1891">
        <f t="shared" si="0"/>
        <v>5</v>
      </c>
      <c r="I16" s="1891">
        <f t="shared" si="1"/>
        <v>5</v>
      </c>
      <c r="J16" s="1891">
        <f t="shared" si="2"/>
        <v>0</v>
      </c>
    </row>
    <row r="17" spans="1:12" ht="12" customHeight="1" x14ac:dyDescent="0.2">
      <c r="A17" s="1876" t="s">
        <v>1455</v>
      </c>
      <c r="B17" s="1877"/>
      <c r="C17" s="1878"/>
      <c r="D17" s="1878"/>
      <c r="E17" s="1881"/>
      <c r="F17" s="1880"/>
      <c r="H17" s="1891">
        <f t="shared" si="0"/>
        <v>0</v>
      </c>
      <c r="I17" s="1891">
        <f t="shared" si="1"/>
        <v>0</v>
      </c>
      <c r="J17" s="1891">
        <f t="shared" si="2"/>
        <v>0</v>
      </c>
    </row>
    <row r="18" spans="1:12" ht="12" customHeight="1" x14ac:dyDescent="0.2">
      <c r="A18" s="1876" t="s">
        <v>1456</v>
      </c>
      <c r="B18" s="1877"/>
      <c r="C18" s="1878"/>
      <c r="D18" s="1878"/>
      <c r="E18" s="1881"/>
      <c r="F18" s="1880"/>
      <c r="H18" s="1891">
        <f t="shared" si="0"/>
        <v>0</v>
      </c>
      <c r="I18" s="1891">
        <f t="shared" si="1"/>
        <v>0</v>
      </c>
      <c r="J18" s="1891">
        <f t="shared" si="2"/>
        <v>0</v>
      </c>
    </row>
    <row r="19" spans="1:12" ht="12" customHeight="1" x14ac:dyDescent="0.2">
      <c r="A19" s="1876" t="s">
        <v>1607</v>
      </c>
      <c r="B19" s="1877"/>
      <c r="C19" s="1878" t="s">
        <v>2087</v>
      </c>
      <c r="D19" s="1878" t="s">
        <v>2087</v>
      </c>
      <c r="E19" s="1881" t="s">
        <v>2087</v>
      </c>
      <c r="F19" s="1880" t="s">
        <v>2103</v>
      </c>
      <c r="H19" s="1891">
        <f t="shared" si="0"/>
        <v>5</v>
      </c>
      <c r="I19" s="1891">
        <f t="shared" si="1"/>
        <v>5</v>
      </c>
      <c r="J19" s="1891">
        <f t="shared" si="2"/>
        <v>5</v>
      </c>
    </row>
    <row r="20" spans="1:12" ht="12" customHeight="1" x14ac:dyDescent="0.2">
      <c r="A20" s="1876" t="s">
        <v>1608</v>
      </c>
      <c r="B20" s="1877"/>
      <c r="C20" s="1878"/>
      <c r="D20" s="1878"/>
      <c r="E20" s="1881"/>
      <c r="F20" s="1880"/>
      <c r="H20" s="1891">
        <f t="shared" si="0"/>
        <v>0</v>
      </c>
      <c r="I20" s="1891">
        <f t="shared" si="1"/>
        <v>0</v>
      </c>
      <c r="J20" s="1891">
        <f t="shared" si="2"/>
        <v>0</v>
      </c>
    </row>
    <row r="21" spans="1:12" ht="12" customHeight="1" x14ac:dyDescent="0.2">
      <c r="A21" s="1876" t="s">
        <v>1609</v>
      </c>
      <c r="B21" s="1877"/>
      <c r="C21" s="1878"/>
      <c r="D21" s="1878"/>
      <c r="E21" s="1881"/>
      <c r="F21" s="1880"/>
      <c r="H21" s="1891">
        <f t="shared" si="0"/>
        <v>0</v>
      </c>
      <c r="I21" s="1891">
        <f t="shared" si="1"/>
        <v>0</v>
      </c>
      <c r="J21" s="1891">
        <f t="shared" si="2"/>
        <v>0</v>
      </c>
    </row>
    <row r="22" spans="1:12" ht="12" customHeight="1" x14ac:dyDescent="0.2">
      <c r="A22" s="1876" t="s">
        <v>1610</v>
      </c>
      <c r="B22" s="1877"/>
      <c r="C22" s="1878"/>
      <c r="D22" s="1878"/>
      <c r="E22" s="1881"/>
      <c r="F22" s="1880"/>
      <c r="H22" s="1891">
        <f t="shared" si="0"/>
        <v>0</v>
      </c>
      <c r="I22" s="1891">
        <f t="shared" si="1"/>
        <v>0</v>
      </c>
      <c r="J22" s="1891">
        <f t="shared" si="2"/>
        <v>0</v>
      </c>
    </row>
    <row r="23" spans="1:12" ht="12" customHeight="1" x14ac:dyDescent="0.2">
      <c r="A23" s="1876" t="s">
        <v>1611</v>
      </c>
      <c r="B23" s="1877"/>
      <c r="C23" s="1878"/>
      <c r="D23" s="1878"/>
      <c r="E23" s="1881"/>
      <c r="F23" s="1880"/>
      <c r="H23" s="1891">
        <f t="shared" si="0"/>
        <v>0</v>
      </c>
      <c r="I23" s="1891">
        <f t="shared" si="1"/>
        <v>0</v>
      </c>
      <c r="J23" s="1891">
        <f t="shared" si="2"/>
        <v>0</v>
      </c>
    </row>
    <row r="24" spans="1:12" ht="12" customHeight="1" x14ac:dyDescent="0.2">
      <c r="A24" s="1876" t="s">
        <v>1612</v>
      </c>
      <c r="B24" s="1877"/>
      <c r="C24" s="1878"/>
      <c r="D24" s="1878"/>
      <c r="E24" s="1881"/>
      <c r="F24" s="1880"/>
      <c r="H24" s="1891">
        <f t="shared" si="0"/>
        <v>0</v>
      </c>
      <c r="I24" s="1891">
        <f t="shared" si="1"/>
        <v>0</v>
      </c>
      <c r="J24" s="1891">
        <f t="shared" si="2"/>
        <v>0</v>
      </c>
    </row>
    <row r="25" spans="1:12" ht="12" customHeight="1" x14ac:dyDescent="0.2">
      <c r="A25" s="1876" t="s">
        <v>1613</v>
      </c>
      <c r="B25" s="1877"/>
      <c r="C25" s="1878"/>
      <c r="D25" s="1878"/>
      <c r="E25" s="1881"/>
      <c r="F25" s="1880"/>
      <c r="H25" s="1891">
        <f t="shared" si="0"/>
        <v>0</v>
      </c>
      <c r="I25" s="1891">
        <f t="shared" si="1"/>
        <v>0</v>
      </c>
      <c r="J25" s="1891">
        <f t="shared" si="2"/>
        <v>0</v>
      </c>
    </row>
    <row r="26" spans="1:12" ht="12" customHeight="1" x14ac:dyDescent="0.2">
      <c r="A26" s="1876" t="s">
        <v>1614</v>
      </c>
      <c r="B26" s="1877"/>
      <c r="C26" s="1878" t="s">
        <v>2087</v>
      </c>
      <c r="D26" s="1878" t="s">
        <v>2087</v>
      </c>
      <c r="E26" s="1881" t="s">
        <v>2087</v>
      </c>
      <c r="F26" s="1880" t="s">
        <v>2104</v>
      </c>
      <c r="H26" s="1891">
        <f t="shared" si="0"/>
        <v>5</v>
      </c>
      <c r="I26" s="1891">
        <f t="shared" si="1"/>
        <v>5</v>
      </c>
      <c r="J26" s="1891">
        <f t="shared" si="2"/>
        <v>5</v>
      </c>
    </row>
    <row r="27" spans="1:12" ht="18.75" x14ac:dyDescent="0.2">
      <c r="A27" s="1876" t="s">
        <v>1615</v>
      </c>
      <c r="B27" s="1877"/>
      <c r="C27" s="1878"/>
      <c r="D27" s="1878"/>
      <c r="E27" s="1881"/>
      <c r="F27" s="1880"/>
      <c r="H27" s="1891">
        <f t="shared" si="0"/>
        <v>0</v>
      </c>
      <c r="I27" s="1891">
        <f t="shared" si="1"/>
        <v>0</v>
      </c>
      <c r="J27" s="1891">
        <f t="shared" si="2"/>
        <v>0</v>
      </c>
    </row>
    <row r="28" spans="1:12" ht="12" customHeight="1" x14ac:dyDescent="0.2">
      <c r="A28" s="1876" t="s">
        <v>1616</v>
      </c>
      <c r="B28" s="1877"/>
      <c r="C28" s="1878"/>
      <c r="D28" s="1878"/>
      <c r="E28" s="1881"/>
      <c r="F28" s="1880"/>
      <c r="H28" s="1891">
        <f t="shared" si="0"/>
        <v>0</v>
      </c>
      <c r="I28" s="1891">
        <f t="shared" si="1"/>
        <v>0</v>
      </c>
      <c r="J28" s="1891">
        <f t="shared" si="2"/>
        <v>0</v>
      </c>
    </row>
    <row r="29" spans="1:12" ht="12" customHeight="1" x14ac:dyDescent="0.2">
      <c r="A29" s="1876" t="s">
        <v>1617</v>
      </c>
      <c r="B29" s="1877"/>
      <c r="C29" s="1878"/>
      <c r="D29" s="1878"/>
      <c r="E29" s="1881"/>
      <c r="F29" s="1880"/>
      <c r="H29" s="1891">
        <f t="shared" si="0"/>
        <v>0</v>
      </c>
      <c r="I29" s="1891">
        <f t="shared" si="1"/>
        <v>0</v>
      </c>
      <c r="J29" s="1891">
        <f t="shared" si="2"/>
        <v>0</v>
      </c>
    </row>
    <row r="30" spans="1:12" ht="12" customHeight="1" x14ac:dyDescent="0.2">
      <c r="A30" s="1876" t="s">
        <v>1618</v>
      </c>
      <c r="B30" s="1877"/>
      <c r="C30" s="1878" t="s">
        <v>2087</v>
      </c>
      <c r="D30" s="1878" t="s">
        <v>2087</v>
      </c>
      <c r="E30" s="1881" t="s">
        <v>2087</v>
      </c>
      <c r="F30" s="1880" t="s">
        <v>2105</v>
      </c>
      <c r="H30" s="1891">
        <f t="shared" si="0"/>
        <v>5</v>
      </c>
      <c r="I30" s="1891">
        <f t="shared" si="1"/>
        <v>5</v>
      </c>
      <c r="J30" s="1891">
        <f t="shared" si="2"/>
        <v>5</v>
      </c>
    </row>
    <row r="31" spans="1:12" ht="12" customHeight="1" x14ac:dyDescent="0.2">
      <c r="A31" s="1876" t="s">
        <v>1619</v>
      </c>
      <c r="B31" s="1877"/>
      <c r="C31" s="1878"/>
      <c r="D31" s="1878"/>
      <c r="E31" s="1881"/>
      <c r="F31" s="1880"/>
      <c r="H31" s="1891">
        <f t="shared" si="0"/>
        <v>0</v>
      </c>
      <c r="I31" s="1891">
        <f t="shared" si="1"/>
        <v>0</v>
      </c>
      <c r="J31" s="1891">
        <f t="shared" si="2"/>
        <v>0</v>
      </c>
      <c r="L31" s="1882"/>
    </row>
    <row r="32" spans="1:12" ht="12" customHeight="1" x14ac:dyDescent="0.2">
      <c r="A32" s="1876" t="s">
        <v>1620</v>
      </c>
      <c r="B32" s="1877"/>
      <c r="C32" s="1878" t="s">
        <v>2087</v>
      </c>
      <c r="D32" s="1878" t="s">
        <v>2087</v>
      </c>
      <c r="E32" s="1881" t="s">
        <v>2087</v>
      </c>
      <c r="F32" s="1880" t="s">
        <v>2106</v>
      </c>
      <c r="H32" s="1891">
        <f t="shared" si="0"/>
        <v>5</v>
      </c>
      <c r="I32" s="1891">
        <f t="shared" si="1"/>
        <v>5</v>
      </c>
      <c r="J32" s="1891">
        <f t="shared" si="2"/>
        <v>5</v>
      </c>
    </row>
    <row r="33" spans="1:11" ht="12" customHeight="1" x14ac:dyDescent="0.2">
      <c r="A33" s="1876" t="s">
        <v>1621</v>
      </c>
      <c r="B33" s="1877"/>
      <c r="C33" s="1878"/>
      <c r="D33" s="1878"/>
      <c r="E33" s="1881"/>
      <c r="F33" s="1880"/>
      <c r="H33" s="1891">
        <f t="shared" si="0"/>
        <v>0</v>
      </c>
      <c r="I33" s="1891">
        <f t="shared" si="1"/>
        <v>0</v>
      </c>
      <c r="J33" s="1891">
        <f t="shared" si="2"/>
        <v>0</v>
      </c>
    </row>
    <row r="34" spans="1:11" ht="12" customHeight="1" x14ac:dyDescent="0.25">
      <c r="A34" s="1883"/>
      <c r="B34" s="1883"/>
      <c r="C34" s="1883"/>
      <c r="D34" s="1883"/>
      <c r="E34" s="1883"/>
      <c r="F34" s="1883"/>
      <c r="H34" s="1891">
        <f>SUM(H11:H32)</f>
        <v>30</v>
      </c>
      <c r="I34" s="1891">
        <f>SUM(I11:I32)</f>
        <v>30</v>
      </c>
      <c r="J34" s="1891">
        <f>SUM(J11:J32)</f>
        <v>25</v>
      </c>
      <c r="K34" s="1891">
        <f>SUM(H34:J34)</f>
        <v>85</v>
      </c>
    </row>
    <row r="35" spans="1:11" ht="12" customHeight="1" x14ac:dyDescent="0.2">
      <c r="A35" s="1884" t="s">
        <v>1458</v>
      </c>
      <c r="B35" s="1885"/>
      <c r="C35" s="2324"/>
      <c r="D35" s="2324"/>
      <c r="E35" s="2324"/>
      <c r="F35" s="2325"/>
    </row>
    <row r="36" spans="1:11" ht="12" customHeight="1" x14ac:dyDescent="0.2">
      <c r="A36" s="2315" t="s">
        <v>2107</v>
      </c>
      <c r="B36" s="2316"/>
      <c r="C36" s="2316"/>
      <c r="D36" s="2316"/>
      <c r="E36" s="2316"/>
      <c r="F36" s="2317"/>
    </row>
    <row r="37" spans="1:11" ht="12" customHeight="1" x14ac:dyDescent="0.2">
      <c r="A37" s="2329"/>
      <c r="B37" s="2316"/>
      <c r="C37" s="2316"/>
      <c r="D37" s="2316"/>
      <c r="E37" s="2316"/>
      <c r="F37" s="2317"/>
    </row>
    <row r="38" spans="1:11" ht="12" customHeight="1" x14ac:dyDescent="0.2">
      <c r="A38" s="2330"/>
      <c r="B38" s="2331"/>
      <c r="C38" s="2331"/>
      <c r="D38" s="2331"/>
      <c r="E38" s="2331"/>
      <c r="F38" s="2332"/>
    </row>
    <row r="39" spans="1:11" ht="4.5" hidden="1" customHeight="1" x14ac:dyDescent="0.2">
      <c r="A39" s="1886"/>
      <c r="B39" s="1886"/>
      <c r="C39" s="1886"/>
      <c r="D39" s="1886"/>
      <c r="E39" s="1886"/>
      <c r="F39" s="1886"/>
    </row>
    <row r="40" spans="1:11" s="1883" customFormat="1" ht="12" customHeight="1" x14ac:dyDescent="0.25">
      <c r="A40" s="1887" t="s">
        <v>1457</v>
      </c>
      <c r="B40" s="1888"/>
      <c r="C40" s="2333"/>
      <c r="D40" s="2333"/>
      <c r="E40" s="2333"/>
      <c r="F40" s="2334"/>
      <c r="H40" s="1892"/>
      <c r="I40" s="1892"/>
      <c r="J40" s="1892"/>
      <c r="K40" s="1892"/>
    </row>
    <row r="41" spans="1:11" s="1883" customFormat="1" ht="12" customHeight="1" x14ac:dyDescent="0.25">
      <c r="A41" s="2335"/>
      <c r="B41" s="2336"/>
      <c r="C41" s="2336"/>
      <c r="D41" s="2336"/>
      <c r="E41" s="2336"/>
      <c r="F41" s="2337"/>
      <c r="H41" s="1892"/>
      <c r="I41" s="1892"/>
      <c r="J41" s="1892"/>
      <c r="K41" s="1892"/>
    </row>
    <row r="42" spans="1:11" s="1883" customFormat="1" ht="12" customHeight="1" x14ac:dyDescent="0.25">
      <c r="A42" s="2335"/>
      <c r="B42" s="2336"/>
      <c r="C42" s="2336"/>
      <c r="D42" s="2336"/>
      <c r="E42" s="2336"/>
      <c r="F42" s="2337"/>
      <c r="H42" s="1892"/>
      <c r="I42" s="1892"/>
      <c r="J42" s="1892"/>
      <c r="K42" s="1892"/>
    </row>
    <row r="43" spans="1:11" s="1883" customFormat="1" ht="15" x14ac:dyDescent="0.25">
      <c r="A43" s="2326"/>
      <c r="B43" s="2327"/>
      <c r="C43" s="2327"/>
      <c r="D43" s="2327"/>
      <c r="E43" s="2327"/>
      <c r="F43" s="2328"/>
      <c r="H43" s="1892"/>
      <c r="I43" s="1892"/>
      <c r="J43" s="1892"/>
      <c r="K43" s="1892"/>
    </row>
    <row r="44" spans="1:11" s="1883" customFormat="1" ht="12" hidden="1" customHeight="1" x14ac:dyDescent="0.25">
      <c r="A44" s="2326"/>
      <c r="B44" s="2327"/>
      <c r="C44" s="2327"/>
      <c r="D44" s="2327"/>
      <c r="E44" s="2327"/>
      <c r="F44" s="2328"/>
      <c r="H44" s="1892"/>
      <c r="I44" s="1892"/>
      <c r="J44" s="1892"/>
      <c r="K44" s="1892"/>
    </row>
    <row r="45" spans="1:11" s="1883" customFormat="1" ht="12" customHeight="1" x14ac:dyDescent="0.25">
      <c r="H45" s="1892"/>
      <c r="I45" s="1892"/>
      <c r="J45" s="1892"/>
      <c r="K45" s="1892"/>
    </row>
    <row r="46" spans="1:11" s="1883" customFormat="1" ht="9.75" customHeight="1" x14ac:dyDescent="0.25">
      <c r="H46" s="1892"/>
      <c r="I46" s="1892"/>
      <c r="J46" s="1892"/>
      <c r="K46" s="1892"/>
    </row>
    <row r="47" spans="1:11" s="1883" customFormat="1" ht="13.5" customHeight="1" x14ac:dyDescent="0.25">
      <c r="H47" s="1892"/>
      <c r="I47" s="1892"/>
      <c r="J47" s="1892"/>
      <c r="K47" s="1892"/>
    </row>
    <row r="48" spans="1:11" s="1883" customFormat="1" ht="15" x14ac:dyDescent="0.25">
      <c r="H48" s="1892"/>
      <c r="I48" s="1892"/>
      <c r="J48" s="1892"/>
      <c r="K48" s="1892"/>
    </row>
    <row r="49" spans="1:11" s="1883" customFormat="1" ht="15" hidden="1" x14ac:dyDescent="0.25">
      <c r="A49" s="1883" t="b">
        <v>0</v>
      </c>
      <c r="H49" s="1892"/>
      <c r="I49" s="1892"/>
      <c r="J49" s="1892"/>
      <c r="K49" s="1892"/>
    </row>
    <row r="50" spans="1:11" s="1883" customFormat="1" ht="15" x14ac:dyDescent="0.25">
      <c r="H50" s="1892"/>
      <c r="I50" s="1892"/>
      <c r="J50" s="1892"/>
      <c r="K50" s="1892"/>
    </row>
    <row r="51" spans="1:11" s="1883" customFormat="1" ht="15" x14ac:dyDescent="0.25">
      <c r="H51" s="1892"/>
      <c r="I51" s="1892"/>
      <c r="J51" s="1892"/>
      <c r="K51" s="1892"/>
    </row>
    <row r="52" spans="1:11" s="1883" customFormat="1" ht="15" x14ac:dyDescent="0.25">
      <c r="H52" s="1892"/>
      <c r="I52" s="1892"/>
      <c r="J52" s="1892"/>
      <c r="K52" s="1892"/>
    </row>
    <row r="53" spans="1:11" s="1883" customFormat="1" ht="15" x14ac:dyDescent="0.25">
      <c r="H53" s="1892"/>
      <c r="I53" s="1892"/>
      <c r="J53" s="1892"/>
      <c r="K53" s="1892"/>
    </row>
    <row r="54" spans="1:11" s="1883" customFormat="1" ht="15" x14ac:dyDescent="0.25">
      <c r="H54" s="1892"/>
      <c r="I54" s="1892"/>
      <c r="J54" s="1892"/>
      <c r="K54" s="1892"/>
    </row>
    <row r="55" spans="1:11" s="1883" customFormat="1" ht="15" x14ac:dyDescent="0.25">
      <c r="H55" s="1892"/>
      <c r="I55" s="1892"/>
      <c r="J55" s="1892"/>
      <c r="K55" s="1892"/>
    </row>
    <row r="56" spans="1:11" s="1883" customFormat="1" ht="15" x14ac:dyDescent="0.25">
      <c r="H56" s="1892"/>
      <c r="I56" s="1892"/>
      <c r="J56" s="1892"/>
      <c r="K56" s="1892"/>
    </row>
    <row r="57" spans="1:11" s="1883" customFormat="1" ht="15" x14ac:dyDescent="0.25">
      <c r="H57" s="1892"/>
      <c r="I57" s="1892"/>
      <c r="J57" s="1892"/>
      <c r="K57" s="1892"/>
    </row>
    <row r="58" spans="1:11" s="1883" customFormat="1" ht="15" x14ac:dyDescent="0.25">
      <c r="H58" s="1892"/>
      <c r="I58" s="1892"/>
      <c r="J58" s="1892"/>
      <c r="K58" s="1892"/>
    </row>
    <row r="59" spans="1:11" s="1883" customFormat="1" ht="15" x14ac:dyDescent="0.25">
      <c r="H59" s="1892"/>
      <c r="I59" s="1892"/>
      <c r="J59" s="1892"/>
      <c r="K59" s="1892"/>
    </row>
    <row r="60" spans="1:11" s="1883" customFormat="1" ht="15" x14ac:dyDescent="0.25">
      <c r="H60" s="1892"/>
      <c r="I60" s="1892"/>
      <c r="J60" s="1892"/>
      <c r="K60" s="1892"/>
    </row>
    <row r="61" spans="1:11" s="1883" customFormat="1" ht="15" x14ac:dyDescent="0.25">
      <c r="H61" s="1892"/>
      <c r="I61" s="1892"/>
      <c r="J61" s="1892"/>
      <c r="K61" s="1892"/>
    </row>
    <row r="62" spans="1:11" s="1883" customFormat="1" ht="15" x14ac:dyDescent="0.25">
      <c r="H62" s="1892"/>
      <c r="I62" s="1892"/>
      <c r="J62" s="1892"/>
      <c r="K62" s="1892"/>
    </row>
    <row r="63" spans="1:11" s="1883" customFormat="1" ht="15" x14ac:dyDescent="0.25">
      <c r="H63" s="1892"/>
      <c r="I63" s="1892"/>
      <c r="J63" s="1892"/>
      <c r="K63" s="1892"/>
    </row>
    <row r="64" spans="1:11" s="1883" customFormat="1" ht="15" x14ac:dyDescent="0.25">
      <c r="H64" s="1892"/>
      <c r="I64" s="1892"/>
      <c r="J64" s="1892"/>
      <c r="K64" s="1892"/>
    </row>
    <row r="65" spans="8:11" s="1883" customFormat="1" ht="15" x14ac:dyDescent="0.25">
      <c r="H65" s="1892"/>
      <c r="I65" s="1892"/>
      <c r="J65" s="1892"/>
      <c r="K65" s="1892"/>
    </row>
    <row r="66" spans="8:11" s="1883" customFormat="1" ht="15" x14ac:dyDescent="0.25">
      <c r="H66" s="1892"/>
      <c r="I66" s="1892"/>
      <c r="J66" s="1892"/>
      <c r="K66" s="1892"/>
    </row>
    <row r="67" spans="8:11" s="1883" customFormat="1" ht="15" x14ac:dyDescent="0.25">
      <c r="H67" s="1892"/>
      <c r="I67" s="1892"/>
      <c r="J67" s="1892"/>
      <c r="K67" s="1892"/>
    </row>
    <row r="68" spans="8:11" s="1883" customFormat="1" ht="15" x14ac:dyDescent="0.25">
      <c r="H68" s="1892"/>
      <c r="I68" s="1892"/>
      <c r="J68" s="1892"/>
      <c r="K68" s="1892"/>
    </row>
    <row r="69" spans="8:11" s="1883" customFormat="1" ht="15" x14ac:dyDescent="0.25">
      <c r="H69" s="1892"/>
      <c r="I69" s="1892"/>
      <c r="J69" s="1892"/>
      <c r="K69" s="1892"/>
    </row>
    <row r="70" spans="8:11" s="1883" customFormat="1" ht="15" x14ac:dyDescent="0.25">
      <c r="H70" s="1892"/>
      <c r="I70" s="1892"/>
      <c r="J70" s="1892"/>
      <c r="K70" s="1892"/>
    </row>
    <row r="71" spans="8:11" s="1883" customFormat="1" ht="15" x14ac:dyDescent="0.25">
      <c r="H71" s="1892"/>
      <c r="I71" s="1892"/>
      <c r="J71" s="1892"/>
      <c r="K71" s="1892"/>
    </row>
    <row r="72" spans="8:11" s="1883" customFormat="1" ht="15" x14ac:dyDescent="0.25">
      <c r="H72" s="1892"/>
      <c r="I72" s="1892"/>
      <c r="J72" s="1892"/>
      <c r="K72" s="1892"/>
    </row>
    <row r="73" spans="8:11" s="1883" customFormat="1" ht="15" x14ac:dyDescent="0.25">
      <c r="H73" s="1892"/>
      <c r="I73" s="1892"/>
      <c r="J73" s="1892"/>
      <c r="K73" s="1892"/>
    </row>
    <row r="74" spans="8:11" s="1883" customFormat="1" ht="15" x14ac:dyDescent="0.25">
      <c r="H74" s="1892"/>
      <c r="I74" s="1892"/>
      <c r="J74" s="1892"/>
      <c r="K74" s="1892"/>
    </row>
    <row r="75" spans="8:11" s="1883" customFormat="1" ht="15" x14ac:dyDescent="0.25">
      <c r="H75" s="1892"/>
      <c r="I75" s="1892"/>
      <c r="J75" s="1892"/>
      <c r="K75" s="1892"/>
    </row>
    <row r="76" spans="8:11" s="1883" customFormat="1" ht="15" x14ac:dyDescent="0.25">
      <c r="H76" s="1892"/>
      <c r="I76" s="1892"/>
      <c r="J76" s="1892"/>
      <c r="K76" s="1892"/>
    </row>
    <row r="77" spans="8:11" s="1883" customFormat="1" ht="15" x14ac:dyDescent="0.25">
      <c r="H77" s="1892"/>
      <c r="I77" s="1892"/>
      <c r="J77" s="1892"/>
      <c r="K77" s="1892"/>
    </row>
    <row r="78" spans="8:11" s="1883" customFormat="1" ht="15" x14ac:dyDescent="0.25">
      <c r="H78" s="1892"/>
      <c r="I78" s="1892"/>
      <c r="J78" s="1892"/>
      <c r="K78" s="1892"/>
    </row>
    <row r="79" spans="8:11" s="1883" customFormat="1" ht="15" x14ac:dyDescent="0.25">
      <c r="H79" s="1892"/>
      <c r="I79" s="1892"/>
      <c r="J79" s="1892"/>
      <c r="K79" s="1892"/>
    </row>
    <row r="80" spans="8:11" s="1883" customFormat="1" ht="15" x14ac:dyDescent="0.25">
      <c r="H80" s="1892"/>
      <c r="I80" s="1892"/>
      <c r="J80" s="1892"/>
      <c r="K80" s="1892"/>
    </row>
    <row r="81" spans="8:11" s="1883" customFormat="1" ht="15" x14ac:dyDescent="0.25">
      <c r="H81" s="1892"/>
      <c r="I81" s="1892"/>
      <c r="J81" s="1892"/>
      <c r="K81" s="1892"/>
    </row>
    <row r="82" spans="8:11" s="1883" customFormat="1" ht="15" x14ac:dyDescent="0.25">
      <c r="H82" s="1892"/>
      <c r="I82" s="1892"/>
      <c r="J82" s="1892"/>
      <c r="K82" s="1892"/>
    </row>
    <row r="83" spans="8:11" s="1883" customFormat="1" ht="15" x14ac:dyDescent="0.25">
      <c r="H83" s="1892"/>
      <c r="I83" s="1892"/>
      <c r="J83" s="1892"/>
      <c r="K83" s="1892"/>
    </row>
    <row r="84" spans="8:11" s="1883" customFormat="1" ht="15" x14ac:dyDescent="0.25">
      <c r="H84" s="1892"/>
      <c r="I84" s="1892"/>
      <c r="J84" s="1892"/>
      <c r="K84" s="1892"/>
    </row>
    <row r="85" spans="8:11" s="1883" customFormat="1" ht="15" x14ac:dyDescent="0.25">
      <c r="H85" s="1892"/>
      <c r="I85" s="1892"/>
      <c r="J85" s="1892"/>
      <c r="K85" s="1892"/>
    </row>
    <row r="86" spans="8:11" s="1883" customFormat="1" ht="15" x14ac:dyDescent="0.25">
      <c r="H86" s="1892"/>
      <c r="I86" s="1892"/>
      <c r="J86" s="1892"/>
      <c r="K86" s="1892"/>
    </row>
    <row r="87" spans="8:11" s="1883" customFormat="1" ht="15" x14ac:dyDescent="0.25">
      <c r="H87" s="1892"/>
      <c r="I87" s="1892"/>
      <c r="J87" s="1892"/>
      <c r="K87" s="1892"/>
    </row>
    <row r="88" spans="8:11" s="1883" customFormat="1" ht="15" x14ac:dyDescent="0.25">
      <c r="H88" s="1892"/>
      <c r="I88" s="1892"/>
      <c r="J88" s="1892"/>
      <c r="K88" s="1892"/>
    </row>
    <row r="89" spans="8:11" s="1883" customFormat="1" ht="15" x14ac:dyDescent="0.25">
      <c r="H89" s="1892"/>
      <c r="I89" s="1892"/>
      <c r="J89" s="1892"/>
      <c r="K89" s="1892"/>
    </row>
    <row r="90" spans="8:11" s="1883" customFormat="1" ht="15" x14ac:dyDescent="0.25">
      <c r="H90" s="1892"/>
      <c r="I90" s="1892"/>
      <c r="J90" s="1892"/>
      <c r="K90" s="1892"/>
    </row>
    <row r="91" spans="8:11" s="1883" customFormat="1" ht="15" x14ac:dyDescent="0.25">
      <c r="H91" s="1892"/>
      <c r="I91" s="1892"/>
      <c r="J91" s="1892"/>
      <c r="K91" s="1892"/>
    </row>
    <row r="92" spans="8:11" s="1883" customFormat="1" ht="15" x14ac:dyDescent="0.25">
      <c r="H92" s="1892"/>
      <c r="I92" s="1892"/>
      <c r="J92" s="1892"/>
      <c r="K92" s="1892"/>
    </row>
    <row r="93" spans="8:11" s="1883" customFormat="1" ht="15" x14ac:dyDescent="0.25">
      <c r="H93" s="1892"/>
      <c r="I93" s="1892"/>
      <c r="J93" s="1892"/>
      <c r="K93" s="1892"/>
    </row>
    <row r="94" spans="8:11" s="1883" customFormat="1" ht="15" x14ac:dyDescent="0.25">
      <c r="H94" s="1892"/>
      <c r="I94" s="1892"/>
      <c r="J94" s="1892"/>
      <c r="K94" s="1892"/>
    </row>
    <row r="95" spans="8:11" s="1883" customFormat="1" ht="15" x14ac:dyDescent="0.25">
      <c r="H95" s="1892"/>
      <c r="I95" s="1892"/>
      <c r="J95" s="1892"/>
      <c r="K95" s="1892"/>
    </row>
    <row r="96" spans="8:11" s="1883" customFormat="1" ht="15" x14ac:dyDescent="0.25">
      <c r="H96" s="1892"/>
      <c r="I96" s="1892"/>
      <c r="J96" s="1892"/>
      <c r="K96" s="1892"/>
    </row>
    <row r="97" spans="8:11" s="1883" customFormat="1" ht="15" x14ac:dyDescent="0.25">
      <c r="H97" s="1892"/>
      <c r="I97" s="1892"/>
      <c r="J97" s="1892"/>
      <c r="K97" s="1892"/>
    </row>
  </sheetData>
  <sheetProtection algorithmName="SHA-512" hashValue="BRPHoNwUsTuO4cqiDVnyKsm5ssNJFSeGuU3uFR/uSLxJXniRDz68ExtgEiwJacaC2of1fB+ficIqObFmSwgpKQ==" saltValue="9vJljbU0ZrpW7oiOPnY/yQ=="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71" fitToHeight="0" orientation="landscape" r:id="rId1"/>
  <headerFooter>
    <oddFooter>&amp;LSee Notes to Financial Statements&amp;C&amp;8Page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election activeCell="N23" sqref="N23"/>
    </sheetView>
  </sheetViews>
  <sheetFormatPr defaultColWidth="9.140625" defaultRowHeight="12.75" x14ac:dyDescent="0.2"/>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x14ac:dyDescent="0.2">
      <c r="A1" s="1009"/>
      <c r="B1" s="1010"/>
      <c r="E1" s="1012"/>
      <c r="F1" s="1013" t="s">
        <v>424</v>
      </c>
      <c r="G1" s="1014"/>
    </row>
    <row r="2" spans="1:17" ht="11.85" customHeight="1" x14ac:dyDescent="0.2">
      <c r="A2" s="1009"/>
      <c r="B2" s="1010"/>
      <c r="E2" s="1012"/>
      <c r="F2" s="1015" t="s">
        <v>307</v>
      </c>
      <c r="G2" s="1014"/>
    </row>
    <row r="3" spans="1:17" ht="11.85" customHeight="1" x14ac:dyDescent="0.2">
      <c r="E3" s="1012"/>
      <c r="F3" s="1015" t="s">
        <v>425</v>
      </c>
      <c r="G3" s="1012"/>
    </row>
    <row r="4" spans="1:17" ht="11.85" customHeight="1" x14ac:dyDescent="0.2">
      <c r="E4" s="1012"/>
      <c r="F4" s="1015" t="s">
        <v>922</v>
      </c>
      <c r="G4" s="1012"/>
    </row>
    <row r="5" spans="1:17" ht="12.2" customHeight="1" x14ac:dyDescent="0.2">
      <c r="F5" s="1015"/>
    </row>
    <row r="6" spans="1:17" x14ac:dyDescent="0.2">
      <c r="A6" s="1907" t="s">
        <v>692</v>
      </c>
      <c r="B6" s="1655"/>
      <c r="C6" s="1655"/>
      <c r="D6" s="1655"/>
      <c r="E6" s="1656"/>
      <c r="F6" s="1016"/>
      <c r="G6" s="1010"/>
      <c r="H6" s="1017" t="s">
        <v>1085</v>
      </c>
      <c r="I6" s="2343" t="str">
        <f>COVER!A17</f>
        <v>Jersey CUSD 100</v>
      </c>
      <c r="J6" s="2344"/>
      <c r="Q6" s="1676"/>
    </row>
    <row r="7" spans="1:17" x14ac:dyDescent="0.2">
      <c r="A7" s="2345" t="s">
        <v>923</v>
      </c>
      <c r="B7" s="2346"/>
      <c r="C7" s="2346"/>
      <c r="D7" s="2346"/>
      <c r="E7" s="2347"/>
      <c r="F7" s="1018"/>
      <c r="G7" s="1010"/>
      <c r="H7" s="1017" t="s">
        <v>389</v>
      </c>
      <c r="I7" s="2348">
        <f>COVER!A13</f>
        <v>40042100026</v>
      </c>
      <c r="J7" s="2348"/>
    </row>
    <row r="8" spans="1:17" ht="8.25" customHeight="1" x14ac:dyDescent="0.2">
      <c r="A8" s="1657"/>
      <c r="B8" s="1658"/>
      <c r="C8" s="1658"/>
      <c r="D8" s="1658"/>
      <c r="E8" s="1659"/>
      <c r="F8" s="1019"/>
      <c r="G8" s="1020"/>
      <c r="H8" s="1020"/>
      <c r="I8" s="1020"/>
      <c r="J8" s="1020"/>
    </row>
    <row r="9" spans="1:17" ht="13.5" customHeight="1" x14ac:dyDescent="0.2">
      <c r="A9" s="1021"/>
      <c r="B9" s="1022"/>
      <c r="C9" s="1022"/>
      <c r="D9" s="1023"/>
      <c r="E9" s="1908" t="s">
        <v>1700</v>
      </c>
      <c r="F9" s="1024"/>
      <c r="G9" s="1024"/>
      <c r="H9" s="1909" t="s">
        <v>1701</v>
      </c>
      <c r="I9" s="1024"/>
      <c r="J9" s="1025"/>
    </row>
    <row r="10" spans="1:17" s="1033" customFormat="1" ht="13.5" customHeight="1" x14ac:dyDescent="0.2">
      <c r="A10" s="1026"/>
      <c r="B10" s="1027"/>
      <c r="C10" s="1028"/>
      <c r="D10" s="1029"/>
      <c r="E10" s="1030" t="s">
        <v>444</v>
      </c>
      <c r="F10" s="1031" t="s">
        <v>445</v>
      </c>
      <c r="G10" s="1032"/>
      <c r="H10" s="1031" t="s">
        <v>444</v>
      </c>
      <c r="I10" s="1031" t="s">
        <v>445</v>
      </c>
      <c r="J10" s="1031"/>
    </row>
    <row r="11" spans="1:17" s="1033" customFormat="1" ht="22.5" x14ac:dyDescent="0.2">
      <c r="A11" s="2349" t="s">
        <v>501</v>
      </c>
      <c r="B11" s="2350"/>
      <c r="C11" s="2351"/>
      <c r="D11" s="1034" t="s">
        <v>925</v>
      </c>
      <c r="E11" s="1034" t="s">
        <v>66</v>
      </c>
      <c r="F11" s="1034" t="s">
        <v>6</v>
      </c>
      <c r="G11" s="1035" t="s">
        <v>158</v>
      </c>
      <c r="H11" s="1035" t="s">
        <v>66</v>
      </c>
      <c r="I11" s="1034" t="s">
        <v>6</v>
      </c>
      <c r="J11" s="1035" t="s">
        <v>158</v>
      </c>
    </row>
    <row r="12" spans="1:17" ht="15" customHeight="1" x14ac:dyDescent="0.2">
      <c r="A12" s="1036">
        <v>1</v>
      </c>
      <c r="B12" s="1037" t="s">
        <v>871</v>
      </c>
      <c r="C12" s="1038"/>
      <c r="D12" s="1039">
        <v>2320</v>
      </c>
      <c r="E12" s="1823">
        <f>'Expenditures 15-22'!K50</f>
        <v>227817</v>
      </c>
      <c r="F12" s="1040"/>
      <c r="G12" s="1823">
        <f t="shared" ref="G12:G18" si="0">SUM(E12:F12)</f>
        <v>227817</v>
      </c>
      <c r="H12" s="1041">
        <v>220200</v>
      </c>
      <c r="I12" s="1040"/>
      <c r="J12" s="1823">
        <f t="shared" ref="J12:J18" si="1">SUM(H12:I12)</f>
        <v>220200</v>
      </c>
    </row>
    <row r="13" spans="1:17" ht="15" customHeight="1" x14ac:dyDescent="0.2">
      <c r="A13" s="1036">
        <v>2</v>
      </c>
      <c r="B13" s="1037" t="s">
        <v>44</v>
      </c>
      <c r="C13" s="1038"/>
      <c r="D13" s="1039">
        <v>2330</v>
      </c>
      <c r="E13" s="1823">
        <f>'Expenditures 15-22'!K51</f>
        <v>40088</v>
      </c>
      <c r="F13" s="1040"/>
      <c r="G13" s="1823">
        <f t="shared" si="0"/>
        <v>40088</v>
      </c>
      <c r="H13" s="1041">
        <v>44200</v>
      </c>
      <c r="I13" s="1040"/>
      <c r="J13" s="1823">
        <f t="shared" si="1"/>
        <v>44200</v>
      </c>
    </row>
    <row r="14" spans="1:17" ht="15" customHeight="1" x14ac:dyDescent="0.2">
      <c r="A14" s="1036">
        <v>3</v>
      </c>
      <c r="B14" s="1037" t="s">
        <v>45</v>
      </c>
      <c r="C14" s="1038"/>
      <c r="D14" s="1042">
        <v>2490</v>
      </c>
      <c r="E14" s="1823">
        <f>'Expenditures 15-22'!K56</f>
        <v>0</v>
      </c>
      <c r="F14" s="1040"/>
      <c r="G14" s="1823">
        <f t="shared" si="0"/>
        <v>0</v>
      </c>
      <c r="H14" s="1041"/>
      <c r="I14" s="1040"/>
      <c r="J14" s="1823">
        <f t="shared" si="1"/>
        <v>0</v>
      </c>
    </row>
    <row r="15" spans="1:17" ht="15" customHeight="1" x14ac:dyDescent="0.2">
      <c r="A15" s="1036">
        <v>4</v>
      </c>
      <c r="B15" s="1037" t="s">
        <v>1127</v>
      </c>
      <c r="C15" s="1038"/>
      <c r="D15" s="1039">
        <v>2510</v>
      </c>
      <c r="E15" s="1823">
        <f>'Expenditures 15-22'!K59</f>
        <v>0</v>
      </c>
      <c r="F15" s="1823">
        <f>'Expenditures 15-22'!K122</f>
        <v>0</v>
      </c>
      <c r="G15" s="1823">
        <f t="shared" si="0"/>
        <v>0</v>
      </c>
      <c r="H15" s="1041"/>
      <c r="I15" s="1041"/>
      <c r="J15" s="1823">
        <f t="shared" si="1"/>
        <v>0</v>
      </c>
    </row>
    <row r="16" spans="1:17" ht="15" customHeight="1" x14ac:dyDescent="0.2">
      <c r="A16" s="1036">
        <v>5</v>
      </c>
      <c r="B16" s="1037" t="s">
        <v>103</v>
      </c>
      <c r="C16" s="1038"/>
      <c r="D16" s="1039">
        <v>2570</v>
      </c>
      <c r="E16" s="1823">
        <f>'Expenditures 15-22'!K64</f>
        <v>0</v>
      </c>
      <c r="F16" s="1040"/>
      <c r="G16" s="1823">
        <f t="shared" si="0"/>
        <v>0</v>
      </c>
      <c r="H16" s="1041"/>
      <c r="I16" s="1040"/>
      <c r="J16" s="1823">
        <f t="shared" si="1"/>
        <v>0</v>
      </c>
    </row>
    <row r="17" spans="1:10" ht="15" customHeight="1" x14ac:dyDescent="0.2">
      <c r="A17" s="1036">
        <v>6</v>
      </c>
      <c r="B17" s="1037" t="s">
        <v>1119</v>
      </c>
      <c r="C17" s="1038"/>
      <c r="D17" s="1039">
        <v>2610</v>
      </c>
      <c r="E17" s="1823">
        <f>'Expenditures 15-22'!K67</f>
        <v>0</v>
      </c>
      <c r="F17" s="1040"/>
      <c r="G17" s="1823">
        <f t="shared" si="0"/>
        <v>0</v>
      </c>
      <c r="H17" s="1041"/>
      <c r="I17" s="1040"/>
      <c r="J17" s="1823">
        <f t="shared" si="1"/>
        <v>0</v>
      </c>
    </row>
    <row r="18" spans="1:10" ht="22.5" customHeight="1" x14ac:dyDescent="0.2">
      <c r="A18" s="1043">
        <v>7</v>
      </c>
      <c r="B18" s="2352" t="s">
        <v>7</v>
      </c>
      <c r="C18" s="2353"/>
      <c r="D18" s="2354"/>
      <c r="E18" s="1044"/>
      <c r="F18" s="1044"/>
      <c r="G18" s="1824">
        <f t="shared" si="0"/>
        <v>0</v>
      </c>
      <c r="H18" s="1041"/>
      <c r="I18" s="1041"/>
      <c r="J18" s="1823">
        <f t="shared" si="1"/>
        <v>0</v>
      </c>
    </row>
    <row r="19" spans="1:10" ht="12.75" customHeight="1" thickBot="1" x14ac:dyDescent="0.25">
      <c r="A19" s="1036">
        <v>8</v>
      </c>
      <c r="B19" s="1045" t="s">
        <v>1222</v>
      </c>
      <c r="D19" s="1046"/>
      <c r="E19" s="1825">
        <f t="shared" ref="E19:J19" si="2">SUM(E12:E17)-E18</f>
        <v>267905</v>
      </c>
      <c r="F19" s="1825">
        <f t="shared" si="2"/>
        <v>0</v>
      </c>
      <c r="G19" s="1825">
        <f t="shared" si="2"/>
        <v>267905</v>
      </c>
      <c r="H19" s="1825">
        <f t="shared" si="2"/>
        <v>264400</v>
      </c>
      <c r="I19" s="1825">
        <f t="shared" si="2"/>
        <v>0</v>
      </c>
      <c r="J19" s="1825">
        <f t="shared" si="2"/>
        <v>264400</v>
      </c>
    </row>
    <row r="20" spans="1:10" ht="13.5" thickTop="1" x14ac:dyDescent="0.2">
      <c r="A20" s="1036">
        <v>9</v>
      </c>
      <c r="B20" s="2355" t="s">
        <v>1702</v>
      </c>
      <c r="C20" s="2355"/>
      <c r="D20" s="2356"/>
      <c r="E20" s="1047"/>
      <c r="F20" s="1047"/>
      <c r="G20" s="1047"/>
      <c r="H20" s="1047"/>
      <c r="I20" s="1047"/>
      <c r="J20" s="1826">
        <f>IF(AND(G19&gt;0,J19&gt;0),(((J19-G19)/G19)),"Enter Budget Data")</f>
        <v>-1.3082995838076931E-2</v>
      </c>
    </row>
    <row r="21" spans="1:10" ht="9" customHeight="1" x14ac:dyDescent="0.2">
      <c r="B21" s="1048"/>
    </row>
    <row r="22" spans="1:10" x14ac:dyDescent="0.2">
      <c r="A22" s="1049" t="s">
        <v>135</v>
      </c>
      <c r="B22" s="1048"/>
    </row>
    <row r="23" spans="1:10" x14ac:dyDescent="0.2">
      <c r="A23" s="1012" t="s">
        <v>1703</v>
      </c>
      <c r="B23" s="1048"/>
    </row>
    <row r="24" spans="1:10" x14ac:dyDescent="0.2">
      <c r="A24" s="1012" t="s">
        <v>1704</v>
      </c>
      <c r="B24" s="1048"/>
    </row>
    <row r="25" spans="1:10" x14ac:dyDescent="0.2">
      <c r="A25" s="1050"/>
      <c r="B25" s="1048"/>
    </row>
    <row r="26" spans="1:10" ht="20.100000000000001" customHeight="1" x14ac:dyDescent="0.2">
      <c r="B26" s="1048"/>
      <c r="C26" s="2361"/>
      <c r="D26" s="2361"/>
      <c r="E26" s="1051"/>
      <c r="F26" s="2360"/>
      <c r="G26" s="2360"/>
    </row>
    <row r="27" spans="1:10" x14ac:dyDescent="0.2">
      <c r="B27" s="1048"/>
      <c r="C27" s="1052" t="s">
        <v>1092</v>
      </c>
      <c r="D27" s="1053"/>
      <c r="E27" s="1054"/>
      <c r="F27" s="2357" t="s">
        <v>1588</v>
      </c>
      <c r="G27" s="2357"/>
    </row>
    <row r="28" spans="1:10" ht="28.5" customHeight="1" x14ac:dyDescent="0.2">
      <c r="B28" s="1048"/>
      <c r="C28" s="2359"/>
      <c r="D28" s="2359"/>
      <c r="E28" s="1055"/>
      <c r="F28" s="2359"/>
      <c r="G28" s="2359"/>
    </row>
    <row r="29" spans="1:10" x14ac:dyDescent="0.2">
      <c r="B29" s="1048"/>
      <c r="C29" s="1056" t="s">
        <v>1641</v>
      </c>
      <c r="E29" s="1057"/>
      <c r="F29" s="2358" t="s">
        <v>1589</v>
      </c>
      <c r="G29" s="2358"/>
    </row>
    <row r="30" spans="1:10" ht="9" customHeight="1" x14ac:dyDescent="0.2">
      <c r="B30" s="1048"/>
      <c r="C30" s="1058"/>
      <c r="E30" s="1059"/>
      <c r="F30" s="1060"/>
      <c r="G30" s="1060"/>
    </row>
    <row r="31" spans="1:10" ht="15" customHeight="1" x14ac:dyDescent="0.2">
      <c r="A31" s="1012"/>
      <c r="B31" s="1061" t="s">
        <v>1093</v>
      </c>
    </row>
    <row r="32" spans="1:10" ht="9" customHeight="1" x14ac:dyDescent="0.2">
      <c r="A32" s="1012"/>
      <c r="B32" s="1049"/>
    </row>
    <row r="33" spans="1:10" ht="12.75" customHeight="1" x14ac:dyDescent="0.2">
      <c r="A33" s="1012"/>
      <c r="B33" s="1062"/>
      <c r="C33" s="2340" t="s">
        <v>134</v>
      </c>
      <c r="D33" s="2341"/>
      <c r="E33" s="2341"/>
      <c r="F33" s="2341"/>
      <c r="G33" s="2341"/>
      <c r="H33" s="2341"/>
      <c r="I33" s="2341"/>
    </row>
    <row r="34" spans="1:10" ht="10.35" customHeight="1" x14ac:dyDescent="0.2">
      <c r="C34" s="2341"/>
      <c r="D34" s="2341"/>
      <c r="E34" s="2341"/>
      <c r="F34" s="2341"/>
      <c r="G34" s="2341"/>
      <c r="H34" s="2341"/>
      <c r="I34" s="2341"/>
    </row>
    <row r="35" spans="1:10" ht="7.5" customHeight="1" x14ac:dyDescent="0.2">
      <c r="C35" s="1063"/>
    </row>
    <row r="36" spans="1:10" ht="13.5" customHeight="1" x14ac:dyDescent="0.2">
      <c r="B36" s="1062"/>
      <c r="C36" s="2342" t="s">
        <v>1940</v>
      </c>
      <c r="D36" s="2341"/>
      <c r="E36" s="2341"/>
      <c r="F36" s="2341"/>
      <c r="G36" s="2341"/>
      <c r="H36" s="2341"/>
      <c r="I36" s="2341"/>
      <c r="J36" s="1064"/>
    </row>
    <row r="37" spans="1:10" ht="22.5" customHeight="1" x14ac:dyDescent="0.2">
      <c r="C37" s="2341"/>
      <c r="D37" s="2341"/>
      <c r="E37" s="2341"/>
      <c r="F37" s="2341"/>
      <c r="G37" s="2341"/>
      <c r="H37" s="2341"/>
      <c r="I37" s="2341"/>
      <c r="J37" s="1064"/>
    </row>
    <row r="38" spans="1:10" ht="7.5" customHeight="1" x14ac:dyDescent="0.2">
      <c r="C38" s="1063"/>
      <c r="D38" s="1065"/>
      <c r="E38" s="1066"/>
      <c r="F38" s="1067"/>
      <c r="G38" s="1066"/>
    </row>
    <row r="39" spans="1:10" ht="13.5" customHeight="1" x14ac:dyDescent="0.2">
      <c r="B39" s="1062"/>
      <c r="C39" s="2338" t="s">
        <v>936</v>
      </c>
      <c r="D39" s="2339"/>
      <c r="E39" s="2339"/>
      <c r="F39" s="2339"/>
      <c r="G39" s="2339"/>
      <c r="H39" s="2339"/>
      <c r="I39" s="2339"/>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oddHeader>&amp;L&amp;8Page 32&amp;C &amp;R&amp;8Page 32</oddHeader>
    <oddFooter>&amp;LSee Notes to Financial Statements</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56"/>
  <sheetViews>
    <sheetView showGridLines="0" topLeftCell="A25" zoomScale="110" zoomScaleNormal="110" workbookViewId="0">
      <selection activeCell="B42" sqref="B42"/>
    </sheetView>
  </sheetViews>
  <sheetFormatPr defaultColWidth="9.140625" defaultRowHeight="12.75" x14ac:dyDescent="0.2"/>
  <cols>
    <col min="1" max="1" width="3" style="329" customWidth="1"/>
    <col min="2" max="2" width="113.140625" style="329" customWidth="1"/>
    <col min="3" max="3" width="3.140625" style="329" customWidth="1"/>
    <col min="4" max="16384" width="9.140625" style="329"/>
  </cols>
  <sheetData>
    <row r="2" spans="1:2" x14ac:dyDescent="0.2">
      <c r="A2" s="1954" t="s">
        <v>276</v>
      </c>
      <c r="B2" s="1955"/>
    </row>
    <row r="3" spans="1:2" x14ac:dyDescent="0.2">
      <c r="A3" s="1955" t="s">
        <v>277</v>
      </c>
      <c r="B3" s="1955"/>
    </row>
    <row r="4" spans="1:2" x14ac:dyDescent="0.2">
      <c r="A4" s="1955"/>
      <c r="B4" s="1955"/>
    </row>
    <row r="5" spans="1:2" x14ac:dyDescent="0.2">
      <c r="A5" s="1956">
        <v>1</v>
      </c>
      <c r="B5" s="1955" t="s">
        <v>2296</v>
      </c>
    </row>
    <row r="6" spans="1:2" x14ac:dyDescent="0.2">
      <c r="A6" s="1956"/>
      <c r="B6" s="1955" t="s">
        <v>66</v>
      </c>
    </row>
    <row r="7" spans="1:2" x14ac:dyDescent="0.2">
      <c r="A7" s="1956"/>
      <c r="B7" s="1955" t="s">
        <v>2243</v>
      </c>
    </row>
    <row r="8" spans="1:2" x14ac:dyDescent="0.2">
      <c r="A8" s="1956"/>
      <c r="B8" s="1955" t="s">
        <v>924</v>
      </c>
    </row>
    <row r="9" spans="1:2" x14ac:dyDescent="0.2">
      <c r="A9" s="1956"/>
      <c r="B9" s="1955" t="s">
        <v>2244</v>
      </c>
    </row>
    <row r="10" spans="1:2" x14ac:dyDescent="0.2">
      <c r="A10" s="1956"/>
      <c r="B10" s="1955" t="s">
        <v>358</v>
      </c>
    </row>
    <row r="11" spans="1:2" x14ac:dyDescent="0.2">
      <c r="A11" s="1956"/>
      <c r="B11" s="1955" t="s">
        <v>2245</v>
      </c>
    </row>
    <row r="12" spans="1:2" x14ac:dyDescent="0.2">
      <c r="A12" s="1956"/>
      <c r="B12" s="1955"/>
    </row>
    <row r="13" spans="1:2" x14ac:dyDescent="0.2">
      <c r="A13" s="1956">
        <v>2</v>
      </c>
      <c r="B13" s="1955" t="s">
        <v>2239</v>
      </c>
    </row>
    <row r="14" spans="1:2" x14ac:dyDescent="0.2">
      <c r="A14" s="1956"/>
      <c r="B14" s="1955" t="s">
        <v>66</v>
      </c>
    </row>
    <row r="15" spans="1:2" x14ac:dyDescent="0.2">
      <c r="A15" s="1956"/>
      <c r="B15" s="1955" t="s">
        <v>2246</v>
      </c>
    </row>
    <row r="16" spans="1:2" x14ac:dyDescent="0.2">
      <c r="A16" s="1956"/>
      <c r="B16" s="1955"/>
    </row>
    <row r="17" spans="1:2" x14ac:dyDescent="0.2">
      <c r="A17" s="1956">
        <v>3</v>
      </c>
      <c r="B17" s="1955" t="s">
        <v>2240</v>
      </c>
    </row>
    <row r="18" spans="1:2" x14ac:dyDescent="0.2">
      <c r="A18" s="1957"/>
      <c r="B18" s="1955" t="s">
        <v>66</v>
      </c>
    </row>
    <row r="19" spans="1:2" x14ac:dyDescent="0.2">
      <c r="A19" s="1957"/>
      <c r="B19" s="1955" t="s">
        <v>2247</v>
      </c>
    </row>
    <row r="20" spans="1:2" x14ac:dyDescent="0.2">
      <c r="A20" s="1957"/>
      <c r="B20" s="1955" t="s">
        <v>2248</v>
      </c>
    </row>
    <row r="21" spans="1:2" x14ac:dyDescent="0.2">
      <c r="A21" s="1957"/>
      <c r="B21" s="1955"/>
    </row>
    <row r="22" spans="1:2" x14ac:dyDescent="0.2">
      <c r="A22" s="1957">
        <v>4</v>
      </c>
      <c r="B22" s="1955" t="s">
        <v>2241</v>
      </c>
    </row>
    <row r="23" spans="1:2" x14ac:dyDescent="0.2">
      <c r="A23" s="1957"/>
      <c r="B23" s="1955" t="s">
        <v>66</v>
      </c>
    </row>
    <row r="24" spans="1:2" ht="12.75" customHeight="1" x14ac:dyDescent="0.2">
      <c r="A24" s="1957"/>
      <c r="B24" s="1958" t="s">
        <v>2298</v>
      </c>
    </row>
    <row r="25" spans="1:2" ht="12.75" customHeight="1" x14ac:dyDescent="0.2">
      <c r="A25" s="1957"/>
      <c r="B25" s="1958" t="s">
        <v>2297</v>
      </c>
    </row>
    <row r="26" spans="1:2" x14ac:dyDescent="0.2">
      <c r="A26" s="1957"/>
      <c r="B26" s="1955"/>
    </row>
    <row r="27" spans="1:2" x14ac:dyDescent="0.2">
      <c r="A27" s="1957">
        <v>5</v>
      </c>
      <c r="B27" s="1955" t="s">
        <v>2242</v>
      </c>
    </row>
    <row r="28" spans="1:2" x14ac:dyDescent="0.2">
      <c r="A28" s="1957"/>
      <c r="B28" s="1955" t="s">
        <v>1161</v>
      </c>
    </row>
    <row r="29" spans="1:2" x14ac:dyDescent="0.2">
      <c r="A29" s="1957"/>
      <c r="B29" s="1955" t="s">
        <v>2249</v>
      </c>
    </row>
    <row r="30" spans="1:2" x14ac:dyDescent="0.2">
      <c r="A30" s="1957"/>
      <c r="B30" s="1955"/>
    </row>
    <row r="31" spans="1:2" x14ac:dyDescent="0.2">
      <c r="A31" s="1957">
        <v>6</v>
      </c>
      <c r="B31" s="1955" t="s">
        <v>2250</v>
      </c>
    </row>
    <row r="32" spans="1:2" x14ac:dyDescent="0.2">
      <c r="A32" s="1957"/>
      <c r="B32" s="1955" t="s">
        <v>1161</v>
      </c>
    </row>
    <row r="33" spans="1:2" x14ac:dyDescent="0.2">
      <c r="A33" s="1957"/>
      <c r="B33" s="1955" t="s">
        <v>2252</v>
      </c>
    </row>
    <row r="34" spans="1:2" x14ac:dyDescent="0.2">
      <c r="A34" s="1957"/>
      <c r="B34" s="1955" t="s">
        <v>2251</v>
      </c>
    </row>
    <row r="35" spans="1:2" x14ac:dyDescent="0.2">
      <c r="A35" s="1957"/>
      <c r="B35" s="1955"/>
    </row>
    <row r="36" spans="1:2" x14ac:dyDescent="0.2">
      <c r="A36" s="1957">
        <v>7</v>
      </c>
      <c r="B36" s="1955" t="s">
        <v>2253</v>
      </c>
    </row>
    <row r="37" spans="1:2" x14ac:dyDescent="0.2">
      <c r="A37" s="1957"/>
      <c r="B37" s="1955" t="s">
        <v>51</v>
      </c>
    </row>
    <row r="38" spans="1:2" x14ac:dyDescent="0.2">
      <c r="A38" s="1957"/>
      <c r="B38" s="1955" t="s">
        <v>2254</v>
      </c>
    </row>
    <row r="39" spans="1:2" x14ac:dyDescent="0.2">
      <c r="A39" s="1957"/>
      <c r="B39" s="1955"/>
    </row>
    <row r="40" spans="1:2" ht="38.25" x14ac:dyDescent="0.2">
      <c r="A40" s="1959">
        <v>8</v>
      </c>
      <c r="B40" s="1958" t="s">
        <v>2255</v>
      </c>
    </row>
    <row r="41" spans="1:2" x14ac:dyDescent="0.2">
      <c r="A41" s="1957"/>
      <c r="B41" s="1955"/>
    </row>
    <row r="42" spans="1:2" ht="102" x14ac:dyDescent="0.2">
      <c r="A42" s="1959">
        <v>9</v>
      </c>
      <c r="B42" s="1958" t="s">
        <v>2307</v>
      </c>
    </row>
    <row r="43" spans="1:2" x14ac:dyDescent="0.2">
      <c r="A43" s="1957"/>
      <c r="B43" s="1955"/>
    </row>
    <row r="44" spans="1:2" x14ac:dyDescent="0.2">
      <c r="A44" s="1957"/>
      <c r="B44" s="1955"/>
    </row>
    <row r="45" spans="1:2" x14ac:dyDescent="0.2">
      <c r="A45" s="1957"/>
      <c r="B45" s="1955"/>
    </row>
    <row r="46" spans="1:2" x14ac:dyDescent="0.2">
      <c r="A46" s="1069"/>
    </row>
    <row r="47" spans="1:2" x14ac:dyDescent="0.2">
      <c r="A47" s="1069"/>
    </row>
    <row r="48" spans="1:2" x14ac:dyDescent="0.2">
      <c r="A48" s="1069"/>
    </row>
    <row r="49" spans="1:2" x14ac:dyDescent="0.2">
      <c r="A49" s="1069"/>
    </row>
    <row r="50" spans="1:2" x14ac:dyDescent="0.2">
      <c r="A50" s="1069"/>
    </row>
    <row r="51" spans="1:2" x14ac:dyDescent="0.2">
      <c r="A51" s="1069"/>
    </row>
    <row r="52" spans="1:2" x14ac:dyDescent="0.2">
      <c r="A52" s="1069"/>
    </row>
    <row r="53" spans="1:2" x14ac:dyDescent="0.2">
      <c r="A53" s="1069"/>
    </row>
    <row r="54" spans="1:2" x14ac:dyDescent="0.2">
      <c r="A54" s="1069"/>
    </row>
    <row r="55" spans="1:2" x14ac:dyDescent="0.2">
      <c r="A55" s="1069"/>
      <c r="B55" s="258" t="str">
        <f>COVER!A17</f>
        <v>Jersey CUSD 100</v>
      </c>
    </row>
    <row r="56" spans="1:2" x14ac:dyDescent="0.2">
      <c r="B56" s="1070">
        <f>COVER!A13</f>
        <v>40042100026</v>
      </c>
    </row>
  </sheetData>
  <phoneticPr fontId="14" type="noConversion"/>
  <pageMargins left="0.2" right="0.2" top="1.17" bottom="0.75" header="0.19" footer="0.16"/>
  <pageSetup scale="80" firstPageNumber="32" orientation="portrait" useFirstPageNumber="1" r:id="rId1"/>
  <headerFooter>
    <oddHeader>&amp;L&amp;8Page 33&amp;C &amp;R&amp;8Page 33</oddHeader>
    <oddFooter>&amp;LSee Notes to Financial Statements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topLeftCell="A7" zoomScale="110" zoomScaleNormal="110" workbookViewId="0">
      <selection activeCell="E21" sqref="E21"/>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1125</v>
      </c>
      <c r="C1" s="163" t="s">
        <v>1230</v>
      </c>
      <c r="D1" s="163"/>
      <c r="E1" s="163"/>
    </row>
    <row r="2" spans="1:5" ht="12.75" thickTop="1" x14ac:dyDescent="0.2">
      <c r="A2" s="164"/>
      <c r="B2" s="164"/>
      <c r="C2" s="164" t="s">
        <v>1230</v>
      </c>
      <c r="D2" s="165" t="s">
        <v>702</v>
      </c>
      <c r="E2" s="166" t="s">
        <v>1159</v>
      </c>
    </row>
    <row r="3" spans="1:5" x14ac:dyDescent="0.2">
      <c r="C3" s="162" t="s">
        <v>1230</v>
      </c>
      <c r="D3" s="167"/>
    </row>
    <row r="4" spans="1:5" x14ac:dyDescent="0.2">
      <c r="A4" s="168" t="s">
        <v>1967</v>
      </c>
      <c r="C4" s="162" t="s">
        <v>1230</v>
      </c>
      <c r="D4" s="169" t="s">
        <v>10</v>
      </c>
      <c r="E4" s="170" t="s">
        <v>22</v>
      </c>
    </row>
    <row r="5" spans="1:5" x14ac:dyDescent="0.2">
      <c r="A5" s="168" t="s">
        <v>1969</v>
      </c>
      <c r="C5" s="162" t="s">
        <v>1230</v>
      </c>
      <c r="D5" s="169" t="s">
        <v>10</v>
      </c>
      <c r="E5" s="170" t="s">
        <v>22</v>
      </c>
    </row>
    <row r="6" spans="1:5" x14ac:dyDescent="0.2">
      <c r="A6" s="168" t="s">
        <v>1968</v>
      </c>
      <c r="C6" s="162" t="s">
        <v>1230</v>
      </c>
      <c r="D6" s="167" t="s">
        <v>11</v>
      </c>
      <c r="E6" s="170" t="s">
        <v>997</v>
      </c>
    </row>
    <row r="7" spans="1:5" x14ac:dyDescent="0.2">
      <c r="A7" s="168" t="s">
        <v>1970</v>
      </c>
      <c r="C7" s="162" t="s">
        <v>1230</v>
      </c>
      <c r="D7" s="169" t="s">
        <v>12</v>
      </c>
      <c r="E7" s="170" t="s">
        <v>998</v>
      </c>
    </row>
    <row r="8" spans="1:5" x14ac:dyDescent="0.2">
      <c r="A8" s="168" t="s">
        <v>399</v>
      </c>
      <c r="C8" s="162" t="s">
        <v>1230</v>
      </c>
      <c r="D8" s="169"/>
      <c r="E8" s="171"/>
    </row>
    <row r="9" spans="1:5" x14ac:dyDescent="0.2">
      <c r="B9" s="167" t="s">
        <v>691</v>
      </c>
      <c r="C9" s="167" t="s">
        <v>1230</v>
      </c>
      <c r="D9" s="169" t="s">
        <v>13</v>
      </c>
      <c r="E9" s="170" t="s">
        <v>23</v>
      </c>
    </row>
    <row r="10" spans="1:5" x14ac:dyDescent="0.2">
      <c r="B10" s="167" t="s">
        <v>1030</v>
      </c>
      <c r="C10" s="162" t="s">
        <v>1230</v>
      </c>
      <c r="D10" s="169"/>
      <c r="E10" s="171"/>
    </row>
    <row r="11" spans="1:5" x14ac:dyDescent="0.2">
      <c r="B11" s="167" t="s">
        <v>1971</v>
      </c>
      <c r="C11" s="162" t="s">
        <v>1230</v>
      </c>
      <c r="D11" s="169" t="s">
        <v>14</v>
      </c>
      <c r="E11" s="170" t="s">
        <v>1217</v>
      </c>
    </row>
    <row r="12" spans="1:5" x14ac:dyDescent="0.2">
      <c r="B12" s="169" t="s">
        <v>1972</v>
      </c>
      <c r="C12" s="162" t="s">
        <v>1230</v>
      </c>
      <c r="D12" s="169" t="s">
        <v>15</v>
      </c>
      <c r="E12" s="170" t="s">
        <v>1098</v>
      </c>
    </row>
    <row r="13" spans="1:5" x14ac:dyDescent="0.2">
      <c r="B13" s="167" t="s">
        <v>1210</v>
      </c>
      <c r="C13" s="162" t="s">
        <v>1230</v>
      </c>
      <c r="D13" s="169" t="s">
        <v>16</v>
      </c>
      <c r="E13" s="170" t="s">
        <v>655</v>
      </c>
    </row>
    <row r="14" spans="1:5" x14ac:dyDescent="0.2">
      <c r="A14" s="168" t="s">
        <v>527</v>
      </c>
      <c r="B14" s="167"/>
      <c r="D14" s="169"/>
      <c r="E14" s="171"/>
    </row>
    <row r="15" spans="1:5" x14ac:dyDescent="0.2">
      <c r="A15" s="172"/>
      <c r="B15" s="162" t="s">
        <v>1973</v>
      </c>
      <c r="C15" s="162" t="s">
        <v>1230</v>
      </c>
      <c r="D15" s="169" t="s">
        <v>17</v>
      </c>
      <c r="E15" s="170" t="s">
        <v>656</v>
      </c>
    </row>
    <row r="16" spans="1:5" x14ac:dyDescent="0.2">
      <c r="A16" s="172"/>
      <c r="B16" s="162" t="s">
        <v>1974</v>
      </c>
      <c r="C16" s="162" t="s">
        <v>1230</v>
      </c>
      <c r="D16" s="169" t="s">
        <v>701</v>
      </c>
      <c r="E16" s="170" t="s">
        <v>1099</v>
      </c>
    </row>
    <row r="17" spans="1:5" x14ac:dyDescent="0.2">
      <c r="B17" s="167" t="s">
        <v>1044</v>
      </c>
      <c r="C17" s="162" t="s">
        <v>1230</v>
      </c>
    </row>
    <row r="18" spans="1:5" x14ac:dyDescent="0.2">
      <c r="B18" s="167" t="s">
        <v>1980</v>
      </c>
      <c r="D18" s="169" t="s">
        <v>18</v>
      </c>
      <c r="E18" s="170" t="s">
        <v>1100</v>
      </c>
    </row>
    <row r="19" spans="1:5" x14ac:dyDescent="0.2">
      <c r="A19" s="168" t="s">
        <v>1160</v>
      </c>
      <c r="C19" s="162" t="s">
        <v>1230</v>
      </c>
      <c r="D19" s="169"/>
      <c r="E19" s="171"/>
    </row>
    <row r="20" spans="1:5" x14ac:dyDescent="0.2">
      <c r="B20" s="167" t="s">
        <v>1975</v>
      </c>
      <c r="C20" s="162" t="s">
        <v>1230</v>
      </c>
      <c r="D20" s="169" t="s">
        <v>19</v>
      </c>
      <c r="E20" s="170" t="s">
        <v>53</v>
      </c>
    </row>
    <row r="21" spans="1:5" x14ac:dyDescent="0.2">
      <c r="B21" s="167" t="s">
        <v>1976</v>
      </c>
      <c r="C21" s="162" t="s">
        <v>1230</v>
      </c>
      <c r="D21" s="169" t="s">
        <v>20</v>
      </c>
      <c r="E21" s="170" t="s">
        <v>1707</v>
      </c>
    </row>
    <row r="22" spans="1:5" x14ac:dyDescent="0.2">
      <c r="A22" s="168"/>
      <c r="B22" s="162" t="s">
        <v>1964</v>
      </c>
      <c r="C22" s="162" t="s">
        <v>1230</v>
      </c>
      <c r="D22" s="167" t="s">
        <v>1966</v>
      </c>
      <c r="E22" s="1848" t="s">
        <v>1708</v>
      </c>
    </row>
    <row r="23" spans="1:5" x14ac:dyDescent="0.2">
      <c r="A23" s="168"/>
      <c r="B23" s="162" t="s">
        <v>1965</v>
      </c>
      <c r="D23" s="167" t="s">
        <v>657</v>
      </c>
      <c r="E23" s="1848" t="s">
        <v>1015</v>
      </c>
    </row>
    <row r="24" spans="1:5" x14ac:dyDescent="0.2">
      <c r="A24" s="168" t="s">
        <v>1706</v>
      </c>
      <c r="C24" s="162" t="s">
        <v>1230</v>
      </c>
      <c r="D24" s="167" t="s">
        <v>1459</v>
      </c>
      <c r="E24" s="170" t="s">
        <v>1016</v>
      </c>
    </row>
    <row r="25" spans="1:5" x14ac:dyDescent="0.2">
      <c r="A25" s="168" t="s">
        <v>1977</v>
      </c>
      <c r="C25" s="162" t="s">
        <v>1230</v>
      </c>
      <c r="D25" s="169" t="s">
        <v>21</v>
      </c>
      <c r="E25" s="170" t="s">
        <v>1101</v>
      </c>
    </row>
    <row r="26" spans="1:5" x14ac:dyDescent="0.2">
      <c r="A26" s="168" t="s">
        <v>1978</v>
      </c>
      <c r="C26" s="162" t="s">
        <v>1230</v>
      </c>
      <c r="D26" s="169" t="s">
        <v>583</v>
      </c>
      <c r="E26" s="170" t="s">
        <v>1102</v>
      </c>
    </row>
    <row r="27" spans="1:5" x14ac:dyDescent="0.2">
      <c r="A27" s="168" t="s">
        <v>1979</v>
      </c>
      <c r="C27" s="162" t="s">
        <v>1230</v>
      </c>
      <c r="D27" s="169" t="s">
        <v>577</v>
      </c>
      <c r="E27" s="170" t="s">
        <v>703</v>
      </c>
    </row>
    <row r="28" spans="1:5" x14ac:dyDescent="0.2">
      <c r="A28" s="168" t="s">
        <v>1981</v>
      </c>
      <c r="D28" s="169" t="s">
        <v>704</v>
      </c>
      <c r="E28" s="170" t="s">
        <v>1432</v>
      </c>
    </row>
    <row r="29" spans="1:5" x14ac:dyDescent="0.2">
      <c r="A29" s="168" t="s">
        <v>1982</v>
      </c>
      <c r="D29" s="169" t="s">
        <v>1460</v>
      </c>
      <c r="E29" s="170" t="s">
        <v>1441</v>
      </c>
    </row>
    <row r="30" spans="1:5" x14ac:dyDescent="0.2">
      <c r="A30" s="173" t="s">
        <v>1983</v>
      </c>
      <c r="C30" s="162" t="s">
        <v>1230</v>
      </c>
      <c r="D30" s="169" t="s">
        <v>42</v>
      </c>
      <c r="E30" s="170" t="s">
        <v>1038</v>
      </c>
    </row>
    <row r="31" spans="1:5" x14ac:dyDescent="0.2">
      <c r="A31" s="168" t="s">
        <v>1601</v>
      </c>
      <c r="C31" s="162" t="s">
        <v>1230</v>
      </c>
      <c r="D31" s="167"/>
      <c r="E31" s="171"/>
    </row>
    <row r="32" spans="1:5" x14ac:dyDescent="0.2">
      <c r="B32" s="167" t="s">
        <v>1984</v>
      </c>
      <c r="C32" s="162" t="s">
        <v>1230</v>
      </c>
      <c r="D32" s="169" t="s">
        <v>1602</v>
      </c>
      <c r="E32" s="170" t="s">
        <v>1461</v>
      </c>
    </row>
    <row r="33" spans="1:5" x14ac:dyDescent="0.2">
      <c r="A33" s="172"/>
      <c r="D33" s="169"/>
      <c r="E33" s="171"/>
    </row>
    <row r="34" spans="1:5" x14ac:dyDescent="0.2">
      <c r="A34" s="172"/>
      <c r="D34" s="169"/>
      <c r="E34" s="171"/>
    </row>
    <row r="35" spans="1:5" ht="15.75" customHeight="1" thickBot="1" x14ac:dyDescent="0.25">
      <c r="A35" s="2078" t="s">
        <v>1124</v>
      </c>
      <c r="B35" s="2078"/>
      <c r="C35" s="2078"/>
      <c r="D35" s="2078"/>
      <c r="E35" s="2078"/>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75" t="s">
        <v>714</v>
      </c>
      <c r="B40" s="2075"/>
      <c r="C40" s="2075"/>
      <c r="D40" s="2075"/>
      <c r="E40" s="2075"/>
    </row>
    <row r="41" spans="1:5" x14ac:dyDescent="0.2">
      <c r="A41" s="2076" t="s">
        <v>1705</v>
      </c>
      <c r="B41" s="2076"/>
      <c r="C41" s="2076"/>
      <c r="D41" s="2076"/>
      <c r="E41" s="2076"/>
    </row>
    <row r="42" spans="1:5" ht="12.75" customHeight="1" x14ac:dyDescent="0.2">
      <c r="A42" s="2077" t="s">
        <v>1079</v>
      </c>
      <c r="B42" s="2077"/>
      <c r="C42" s="2077"/>
      <c r="D42" s="2077"/>
      <c r="E42" s="2077"/>
    </row>
    <row r="43" spans="1:5" ht="6.75" customHeight="1" x14ac:dyDescent="0.2">
      <c r="A43" s="167"/>
      <c r="B43" s="176"/>
    </row>
    <row r="44" spans="1:5" x14ac:dyDescent="0.2">
      <c r="A44" s="185" t="s">
        <v>1039</v>
      </c>
      <c r="B44" s="186" t="s">
        <v>2014</v>
      </c>
    </row>
    <row r="45" spans="1:5" ht="6.75" customHeight="1" x14ac:dyDescent="0.2">
      <c r="A45" s="187"/>
      <c r="B45" s="186"/>
    </row>
    <row r="46" spans="1:5" x14ac:dyDescent="0.2">
      <c r="A46" s="185" t="s">
        <v>1040</v>
      </c>
      <c r="B46" s="169" t="s">
        <v>1710</v>
      </c>
    </row>
    <row r="47" spans="1:5" ht="9.75" customHeight="1" x14ac:dyDescent="0.2">
      <c r="A47" s="189"/>
      <c r="B47" s="188"/>
    </row>
    <row r="48" spans="1:5" x14ac:dyDescent="0.2">
      <c r="A48" s="169" t="s">
        <v>1709</v>
      </c>
      <c r="B48" s="169" t="s">
        <v>1714</v>
      </c>
      <c r="C48" s="177"/>
    </row>
    <row r="49" spans="1:3" ht="9.75" customHeight="1" x14ac:dyDescent="0.2">
      <c r="A49" s="188"/>
      <c r="B49" s="188"/>
      <c r="C49" s="177"/>
    </row>
    <row r="50" spans="1:3" x14ac:dyDescent="0.2">
      <c r="A50" s="200" t="s">
        <v>1711</v>
      </c>
      <c r="B50" s="198" t="s">
        <v>1715</v>
      </c>
    </row>
    <row r="51" spans="1:3" x14ac:dyDescent="0.2">
      <c r="B51" s="169" t="s">
        <v>1870</v>
      </c>
    </row>
    <row r="52" spans="1:3" x14ac:dyDescent="0.2">
      <c r="A52" s="190"/>
      <c r="B52" s="188" t="s">
        <v>1890</v>
      </c>
    </row>
    <row r="53" spans="1:3" ht="4.5" customHeight="1" x14ac:dyDescent="0.2">
      <c r="A53" s="190"/>
      <c r="B53" s="190"/>
    </row>
    <row r="54" spans="1:3" x14ac:dyDescent="0.2">
      <c r="A54" s="190"/>
      <c r="B54" s="201" t="s">
        <v>1712</v>
      </c>
    </row>
    <row r="55" spans="1:3" ht="8.25" customHeight="1" x14ac:dyDescent="0.2">
      <c r="A55" s="190"/>
      <c r="B55" s="191"/>
    </row>
    <row r="56" spans="1:3" x14ac:dyDescent="0.2">
      <c r="A56" s="192"/>
      <c r="B56" s="169" t="s">
        <v>1871</v>
      </c>
    </row>
    <row r="57" spans="1:3" x14ac:dyDescent="0.2">
      <c r="A57" s="193"/>
      <c r="B57" s="190" t="s">
        <v>1873</v>
      </c>
    </row>
    <row r="58" spans="1:3" x14ac:dyDescent="0.2">
      <c r="A58" s="194"/>
      <c r="B58" s="190" t="s">
        <v>1874</v>
      </c>
    </row>
    <row r="59" spans="1:3" x14ac:dyDescent="0.2">
      <c r="A59" s="195"/>
      <c r="B59" s="1498" t="s">
        <v>1875</v>
      </c>
    </row>
    <row r="60" spans="1:3" x14ac:dyDescent="0.2">
      <c r="A60" s="196"/>
      <c r="B60" s="1498" t="s">
        <v>1876</v>
      </c>
    </row>
    <row r="61" spans="1:3" ht="6" customHeight="1" x14ac:dyDescent="0.2">
      <c r="A61" s="197"/>
      <c r="B61" s="189"/>
    </row>
    <row r="62" spans="1:3" x14ac:dyDescent="0.2">
      <c r="A62" s="169" t="s">
        <v>1713</v>
      </c>
      <c r="B62" s="198" t="s">
        <v>1872</v>
      </c>
    </row>
    <row r="63" spans="1:3" x14ac:dyDescent="0.2">
      <c r="A63" s="188"/>
      <c r="B63" s="169" t="s">
        <v>1887</v>
      </c>
    </row>
    <row r="64" spans="1:3" x14ac:dyDescent="0.2">
      <c r="A64" s="195"/>
      <c r="B64" s="1500" t="s">
        <v>1877</v>
      </c>
    </row>
    <row r="65" spans="1:9" x14ac:dyDescent="0.2">
      <c r="A65" s="188"/>
      <c r="B65" s="169" t="s">
        <v>1888</v>
      </c>
    </row>
    <row r="66" spans="1:9" x14ac:dyDescent="0.2">
      <c r="A66" s="190"/>
      <c r="B66" s="190" t="s">
        <v>1878</v>
      </c>
    </row>
    <row r="67" spans="1:9" ht="12" customHeight="1" x14ac:dyDescent="0.2">
      <c r="A67" s="188"/>
      <c r="B67" s="169" t="s">
        <v>1889</v>
      </c>
    </row>
    <row r="68" spans="1:9" x14ac:dyDescent="0.2">
      <c r="A68" s="189"/>
      <c r="B68" s="190" t="s">
        <v>1879</v>
      </c>
    </row>
    <row r="69" spans="1:9" x14ac:dyDescent="0.2">
      <c r="A69" s="190"/>
      <c r="B69" s="188" t="s">
        <v>1880</v>
      </c>
    </row>
    <row r="70" spans="1:9" ht="13.5" customHeight="1" x14ac:dyDescent="0.2">
      <c r="A70" s="190"/>
      <c r="B70" s="188" t="s">
        <v>1881</v>
      </c>
    </row>
    <row r="71" spans="1:9" ht="12" customHeight="1" x14ac:dyDescent="0.2">
      <c r="A71" s="192"/>
      <c r="B71" s="1499" t="s">
        <v>1716</v>
      </c>
    </row>
    <row r="72" spans="1:9" ht="9" customHeight="1" x14ac:dyDescent="0.2">
      <c r="A72" s="192"/>
      <c r="B72" s="199"/>
    </row>
    <row r="73" spans="1:9" x14ac:dyDescent="0.2">
      <c r="A73" s="189" t="s">
        <v>1717</v>
      </c>
      <c r="B73" s="169" t="s">
        <v>1883</v>
      </c>
    </row>
    <row r="74" spans="1:9" x14ac:dyDescent="0.2">
      <c r="A74" s="189"/>
      <c r="B74" s="169" t="s">
        <v>1882</v>
      </c>
    </row>
    <row r="75" spans="1:9" ht="8.25" customHeight="1" x14ac:dyDescent="0.2">
      <c r="A75" s="189"/>
      <c r="B75" s="189"/>
    </row>
    <row r="76" spans="1:9" ht="12.2" customHeight="1" x14ac:dyDescent="0.2">
      <c r="A76" s="189" t="s">
        <v>1718</v>
      </c>
      <c r="B76" s="198" t="s">
        <v>1884</v>
      </c>
    </row>
    <row r="77" spans="1:9" ht="12.2" customHeight="1" x14ac:dyDescent="0.2">
      <c r="A77" s="190"/>
      <c r="B77" s="169" t="s">
        <v>1719</v>
      </c>
      <c r="C77" s="179"/>
      <c r="D77" s="180"/>
      <c r="E77" s="181"/>
      <c r="F77" s="181"/>
      <c r="G77" s="181"/>
      <c r="H77" s="181"/>
      <c r="I77" s="181"/>
    </row>
    <row r="78" spans="1:9" ht="11.25" customHeight="1" x14ac:dyDescent="0.2">
      <c r="A78" s="190"/>
      <c r="B78" s="190" t="s">
        <v>1886</v>
      </c>
      <c r="C78" s="179"/>
      <c r="D78" s="182"/>
      <c r="E78" s="182"/>
      <c r="F78" s="182"/>
      <c r="G78" s="182"/>
      <c r="H78" s="182"/>
      <c r="I78" s="181"/>
    </row>
    <row r="79" spans="1:9" ht="12.2" customHeight="1" x14ac:dyDescent="0.2">
      <c r="A79" s="190"/>
      <c r="B79" s="169" t="s">
        <v>1720</v>
      </c>
      <c r="C79" s="179"/>
      <c r="D79" s="182"/>
      <c r="E79" s="182"/>
      <c r="F79" s="182"/>
      <c r="G79" s="182"/>
      <c r="H79" s="182"/>
      <c r="I79" s="181"/>
    </row>
    <row r="80" spans="1:9" ht="11.25" customHeight="1" x14ac:dyDescent="0.2">
      <c r="A80" s="189"/>
      <c r="B80" s="190" t="s">
        <v>1885</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546</v>
      </c>
      <c r="B1" s="22"/>
      <c r="C1" s="21"/>
    </row>
    <row r="3" spans="1:4" x14ac:dyDescent="0.2">
      <c r="B3" s="18">
        <v>1</v>
      </c>
      <c r="C3" s="20" t="s">
        <v>972</v>
      </c>
    </row>
    <row r="4" spans="1:4" ht="22.5" x14ac:dyDescent="0.2">
      <c r="B4" s="18" t="s">
        <v>22</v>
      </c>
      <c r="C4" s="16" t="s">
        <v>292</v>
      </c>
    </row>
    <row r="5" spans="1:4" ht="13.5" customHeight="1" x14ac:dyDescent="0.2">
      <c r="B5" s="18" t="s">
        <v>997</v>
      </c>
      <c r="C5" s="16" t="s">
        <v>949</v>
      </c>
    </row>
    <row r="6" spans="1:4" ht="13.5" customHeight="1" x14ac:dyDescent="0.2">
      <c r="A6" s="23"/>
      <c r="B6" s="25" t="s">
        <v>998</v>
      </c>
      <c r="C6" s="65" t="s">
        <v>1480</v>
      </c>
      <c r="D6" s="24"/>
    </row>
    <row r="7" spans="1:4" ht="13.5" customHeight="1" x14ac:dyDescent="0.2">
      <c r="A7" s="23"/>
      <c r="B7" s="25"/>
      <c r="C7" s="65" t="s">
        <v>1481</v>
      </c>
      <c r="D7" s="24"/>
    </row>
    <row r="8" spans="1:4" ht="13.5" customHeight="1" x14ac:dyDescent="0.2">
      <c r="A8" s="23"/>
      <c r="B8" s="146" t="s">
        <v>999</v>
      </c>
      <c r="C8" s="65" t="s">
        <v>1466</v>
      </c>
      <c r="D8" s="24"/>
    </row>
    <row r="9" spans="1:4" ht="13.5" customHeight="1" x14ac:dyDescent="0.2">
      <c r="A9" s="14"/>
      <c r="B9" s="144" t="s">
        <v>1000</v>
      </c>
      <c r="C9" s="142" t="s">
        <v>1385</v>
      </c>
    </row>
    <row r="10" spans="1:4" ht="13.5" customHeight="1" x14ac:dyDescent="0.2">
      <c r="B10" s="18" t="s">
        <v>1001</v>
      </c>
      <c r="C10" s="15" t="s">
        <v>964</v>
      </c>
    </row>
    <row r="11" spans="1:4" ht="12.75" customHeight="1" x14ac:dyDescent="0.2">
      <c r="B11" s="18" t="s">
        <v>1002</v>
      </c>
      <c r="C11" s="16" t="s">
        <v>913</v>
      </c>
    </row>
    <row r="12" spans="1:4" ht="21.75" customHeight="1" x14ac:dyDescent="0.2">
      <c r="B12" s="18" t="s">
        <v>1003</v>
      </c>
      <c r="C12" s="145" t="s">
        <v>1465</v>
      </c>
    </row>
    <row r="13" spans="1:4" s="19" customFormat="1" ht="12.75" customHeight="1" x14ac:dyDescent="0.2">
      <c r="B13" s="18" t="s">
        <v>970</v>
      </c>
      <c r="C13" s="16" t="s">
        <v>1188</v>
      </c>
    </row>
    <row r="14" spans="1:4" ht="21.75" customHeight="1" x14ac:dyDescent="0.2">
      <c r="B14" s="18" t="s">
        <v>971</v>
      </c>
      <c r="C14" s="16" t="s">
        <v>897</v>
      </c>
    </row>
    <row r="15" spans="1:4" ht="12.75" customHeight="1" x14ac:dyDescent="0.2">
      <c r="B15" s="143" t="s">
        <v>1391</v>
      </c>
      <c r="C15" s="142" t="s">
        <v>1392</v>
      </c>
    </row>
    <row r="16" spans="1:4" ht="12.75" customHeight="1" x14ac:dyDescent="0.2">
      <c r="C16" s="142" t="s">
        <v>1393</v>
      </c>
    </row>
    <row r="17" spans="3:3" ht="12.75" customHeight="1" x14ac:dyDescent="0.2">
      <c r="C17" s="66" t="s">
        <v>1394</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4"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71"/>
      <c r="C11" s="1071"/>
      <c r="D11" s="1071"/>
      <c r="E11" s="1071"/>
      <c r="F11" s="1071"/>
    </row>
    <row r="13" spans="1:6" x14ac:dyDescent="0.2">
      <c r="A13" s="1072" t="s">
        <v>1572</v>
      </c>
    </row>
    <row r="15" spans="1:6" x14ac:dyDescent="0.2">
      <c r="A15" s="389" t="s">
        <v>911</v>
      </c>
    </row>
    <row r="16" spans="1:6" s="1071" customFormat="1" ht="45" customHeight="1" x14ac:dyDescent="0.2">
      <c r="A16" s="1073"/>
      <c r="B16" s="1073" t="s">
        <v>1782</v>
      </c>
    </row>
    <row r="17" spans="1:2" ht="6" customHeight="1" x14ac:dyDescent="0.2"/>
    <row r="18" spans="1:2" ht="24.75" customHeight="1" x14ac:dyDescent="0.2">
      <c r="A18" s="2362" t="s">
        <v>1783</v>
      </c>
      <c r="B18" s="2362"/>
    </row>
  </sheetData>
  <sheetProtection selectLockedCells="1"/>
  <mergeCells count="1">
    <mergeCell ref="A18:B18"/>
  </mergeCells>
  <phoneticPr fontId="14"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Document.2015" dvAspect="DVASPECT_ICON" shapeId="68610" r:id="rId4">
          <objectPr defaultSize="0" r:id="rId5">
            <anchor moveWithCells="1">
              <from>
                <xdr:col>1</xdr:col>
                <xdr:colOff>1466850</xdr:colOff>
                <xdr:row>0</xdr:row>
                <xdr:rowOff>19050</xdr:rowOff>
              </from>
              <to>
                <xdr:col>1</xdr:col>
                <xdr:colOff>2381250</xdr:colOff>
                <xdr:row>4</xdr:row>
                <xdr:rowOff>0</xdr:rowOff>
              </to>
            </anchor>
          </objectPr>
        </oleObject>
      </mc:Choice>
      <mc:Fallback>
        <oleObject progId="Acrobat.Document.2015" dvAspect="DVASPECT_ICON" shapeId="68610" r:id="rId4"/>
      </mc:Fallback>
    </mc:AlternateContent>
    <mc:AlternateContent xmlns:mc="http://schemas.openxmlformats.org/markup-compatibility/2006">
      <mc:Choice Requires="x14">
        <oleObject progId="Acrobat.Document.2015" dvAspect="DVASPECT_ICON" shapeId="68611" r:id="rId6">
          <objectPr defaultSize="0" r:id="rId7">
            <anchor moveWithCells="1">
              <from>
                <xdr:col>1</xdr:col>
                <xdr:colOff>0</xdr:colOff>
                <xdr:row>5</xdr:row>
                <xdr:rowOff>0</xdr:rowOff>
              </from>
              <to>
                <xdr:col>1</xdr:col>
                <xdr:colOff>914400</xdr:colOff>
                <xdr:row>8</xdr:row>
                <xdr:rowOff>161925</xdr:rowOff>
              </to>
            </anchor>
          </objectPr>
        </oleObject>
      </mc:Choice>
      <mc:Fallback>
        <oleObject progId="Acrobat.Document.2015" dvAspect="DVASPECT_ICON" shapeId="68611" r:id="rId6"/>
      </mc:Fallback>
    </mc:AlternateContent>
    <mc:AlternateContent xmlns:mc="http://schemas.openxmlformats.org/markup-compatibility/2006">
      <mc:Choice Requires="x14">
        <oleObject progId="Acrobat.Document.2015" dvAspect="DVASPECT_ICON" shapeId="68614" r:id="rId8">
          <objectPr defaultSize="0" r:id="rId9">
            <anchor moveWithCells="1">
              <from>
                <xdr:col>1</xdr:col>
                <xdr:colOff>2847975</xdr:colOff>
                <xdr:row>0</xdr:row>
                <xdr:rowOff>47625</xdr:rowOff>
              </from>
              <to>
                <xdr:col>1</xdr:col>
                <xdr:colOff>3762375</xdr:colOff>
                <xdr:row>4</xdr:row>
                <xdr:rowOff>85725</xdr:rowOff>
              </to>
            </anchor>
          </objectPr>
        </oleObject>
      </mc:Choice>
      <mc:Fallback>
        <oleObject progId="Acrobat.Document.2015" dvAspect="DVASPECT_ICON" shapeId="68614" r:id="rId8"/>
      </mc:Fallback>
    </mc:AlternateContent>
    <mc:AlternateContent xmlns:mc="http://schemas.openxmlformats.org/markup-compatibility/2006">
      <mc:Choice Requires="x14">
        <oleObject progId="Acrobat.Document.2015" dvAspect="DVASPECT_ICON" shapeId="68616" r:id="rId10">
          <objectPr defaultSize="0" r:id="rId11">
            <anchor moveWithCells="1">
              <from>
                <xdr:col>1</xdr:col>
                <xdr:colOff>0</xdr:colOff>
                <xdr:row>0</xdr:row>
                <xdr:rowOff>0</xdr:rowOff>
              </from>
              <to>
                <xdr:col>1</xdr:col>
                <xdr:colOff>914400</xdr:colOff>
                <xdr:row>3</xdr:row>
                <xdr:rowOff>161925</xdr:rowOff>
              </to>
            </anchor>
          </objectPr>
        </oleObject>
      </mc:Choice>
      <mc:Fallback>
        <oleObject progId="Acrobat.Document.2015" dvAspect="DVASPECT_ICON" shapeId="68616" r:id="rId10"/>
      </mc:Fallback>
    </mc:AlternateContent>
    <mc:AlternateContent xmlns:mc="http://schemas.openxmlformats.org/markup-compatibility/2006">
      <mc:Choice Requires="x14">
        <oleObject progId="Acrobat.Document.2015" dvAspect="DVASPECT_ICON" shapeId="68617" r:id="rId12">
          <objectPr defaultSize="0" r:id="rId13">
            <anchor moveWithCells="1">
              <from>
                <xdr:col>1</xdr:col>
                <xdr:colOff>1438275</xdr:colOff>
                <xdr:row>5</xdr:row>
                <xdr:rowOff>0</xdr:rowOff>
              </from>
              <to>
                <xdr:col>1</xdr:col>
                <xdr:colOff>2352675</xdr:colOff>
                <xdr:row>8</xdr:row>
                <xdr:rowOff>161925</xdr:rowOff>
              </to>
            </anchor>
          </objectPr>
        </oleObject>
      </mc:Choice>
      <mc:Fallback>
        <oleObject progId="Acrobat.Document.2015" dvAspect="DVASPECT_ICON" shapeId="68617" r:id="rId12"/>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activeCell="I7" sqref="I7"/>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63" t="s">
        <v>1789</v>
      </c>
      <c r="B1" s="2364"/>
      <c r="C1" s="2364"/>
      <c r="D1" s="2364"/>
      <c r="E1" s="2364"/>
      <c r="F1" s="2365"/>
    </row>
    <row r="2" spans="1:8" ht="45" customHeight="1" x14ac:dyDescent="0.2">
      <c r="A2" s="2373" t="s">
        <v>1790</v>
      </c>
      <c r="B2" s="2374"/>
      <c r="C2" s="2374"/>
      <c r="D2" s="2374"/>
      <c r="E2" s="2374"/>
      <c r="F2" s="2375"/>
      <c r="G2" s="1074"/>
      <c r="H2" s="1074"/>
    </row>
    <row r="3" spans="1:8" ht="57" customHeight="1" x14ac:dyDescent="0.2">
      <c r="A3" s="2376" t="s">
        <v>1785</v>
      </c>
      <c r="B3" s="2377"/>
      <c r="C3" s="2377"/>
      <c r="D3" s="2377"/>
      <c r="E3" s="2377"/>
      <c r="F3" s="2378"/>
      <c r="G3" s="1074"/>
      <c r="H3" s="1074"/>
    </row>
    <row r="4" spans="1:8" ht="14.25" customHeight="1" x14ac:dyDescent="0.2">
      <c r="A4" s="2382" t="s">
        <v>2052</v>
      </c>
      <c r="B4" s="2383"/>
      <c r="C4" s="2383"/>
      <c r="D4" s="2383"/>
      <c r="E4" s="2383"/>
      <c r="F4" s="2384"/>
      <c r="G4" s="1074"/>
      <c r="H4" s="1074"/>
    </row>
    <row r="5" spans="1:8" ht="14.25" customHeight="1" x14ac:dyDescent="0.2">
      <c r="A5" s="2385" t="s">
        <v>2053</v>
      </c>
      <c r="B5" s="2386"/>
      <c r="C5" s="2386"/>
      <c r="D5" s="2386"/>
      <c r="E5" s="2386"/>
      <c r="F5" s="2387"/>
      <c r="G5" s="1074"/>
      <c r="H5" s="1074"/>
    </row>
    <row r="6" spans="1:8" s="1075" customFormat="1" ht="41.25" customHeight="1" x14ac:dyDescent="0.2">
      <c r="A6" s="2379" t="s">
        <v>1791</v>
      </c>
      <c r="B6" s="2380"/>
      <c r="C6" s="2380"/>
      <c r="D6" s="2380"/>
      <c r="E6" s="2380"/>
      <c r="F6" s="2381"/>
    </row>
    <row r="7" spans="1:8" ht="42" customHeight="1" x14ac:dyDescent="0.2">
      <c r="A7" s="1076" t="s">
        <v>501</v>
      </c>
      <c r="B7" s="1077" t="s">
        <v>1575</v>
      </c>
      <c r="C7" s="1077" t="s">
        <v>1576</v>
      </c>
      <c r="D7" s="1077" t="s">
        <v>1574</v>
      </c>
      <c r="E7" s="1077" t="s">
        <v>1577</v>
      </c>
      <c r="F7" s="1077" t="s">
        <v>1433</v>
      </c>
    </row>
    <row r="8" spans="1:8" s="1079" customFormat="1" ht="14.25" customHeight="1" x14ac:dyDescent="0.2">
      <c r="A8" s="1078" t="s">
        <v>1434</v>
      </c>
      <c r="B8" s="1827">
        <f>'Acct Summary 7-8'!C8</f>
        <v>17296624</v>
      </c>
      <c r="C8" s="1827">
        <f>'Acct Summary 7-8'!D8</f>
        <v>1663639</v>
      </c>
      <c r="D8" s="1827">
        <f>'Acct Summary 7-8'!F8</f>
        <v>2436852</v>
      </c>
      <c r="E8" s="1827">
        <f>'Acct Summary 7-8'!I8</f>
        <v>152462</v>
      </c>
      <c r="F8" s="1827">
        <f>SUM(B8:E8)</f>
        <v>21549577</v>
      </c>
    </row>
    <row r="9" spans="1:8" s="1079" customFormat="1" ht="14.25" customHeight="1" thickBot="1" x14ac:dyDescent="0.25">
      <c r="A9" s="1078" t="s">
        <v>1435</v>
      </c>
      <c r="B9" s="1828">
        <f>'Acct Summary 7-8'!C17</f>
        <v>16638985</v>
      </c>
      <c r="C9" s="1828">
        <f>'Acct Summary 7-8'!D17</f>
        <v>1877821</v>
      </c>
      <c r="D9" s="1828">
        <f>'Acct Summary 7-8'!F17</f>
        <v>2003221</v>
      </c>
      <c r="E9" s="1827"/>
      <c r="F9" s="1827">
        <f>SUM(B9:E9)</f>
        <v>20520027</v>
      </c>
    </row>
    <row r="10" spans="1:8" s="1079" customFormat="1" ht="14.25" thickTop="1" thickBot="1" x14ac:dyDescent="0.25">
      <c r="A10" s="1080" t="s">
        <v>1436</v>
      </c>
      <c r="B10" s="1829">
        <f>(B8-B9)</f>
        <v>657639</v>
      </c>
      <c r="C10" s="1829">
        <f>(C8-C9)</f>
        <v>-214182</v>
      </c>
      <c r="D10" s="1829">
        <f>(D8-D9)</f>
        <v>433631</v>
      </c>
      <c r="E10" s="1828">
        <f>(E8-E9)</f>
        <v>152462</v>
      </c>
      <c r="F10" s="1830">
        <f>SUM(F8-F9)</f>
        <v>1029550</v>
      </c>
    </row>
    <row r="11" spans="1:8" s="1079" customFormat="1" ht="14.25" thickTop="1" thickBot="1" x14ac:dyDescent="0.25">
      <c r="A11" s="1081" t="s">
        <v>1784</v>
      </c>
      <c r="B11" s="1831">
        <f>'Acct Summary 7-8'!C81</f>
        <v>3651248</v>
      </c>
      <c r="C11" s="1831">
        <f>'Acct Summary 7-8'!D81</f>
        <v>303624</v>
      </c>
      <c r="D11" s="1831">
        <f>'Acct Summary 7-8'!F81</f>
        <v>1293431</v>
      </c>
      <c r="E11" s="1831">
        <f>'Acct Summary 7-8'!I81</f>
        <v>604438</v>
      </c>
      <c r="F11" s="1832">
        <f>SUM(B11:E11)</f>
        <v>5852741</v>
      </c>
    </row>
    <row r="12" spans="1:8" ht="16.5" customHeight="1" thickTop="1" x14ac:dyDescent="0.2">
      <c r="A12" s="1082"/>
      <c r="B12" s="1083"/>
      <c r="C12" s="2367" t="str">
        <f>IF(AND(F10&lt;0,F11&gt;=0,ABS(F10*3)&gt;ABS(F11)),A16,IF(AND(F10&lt;0,F11&gt;0,ABS(F10*3)&lt;=ABS(F11)),A17,IF(AND(F10&lt;0,F11&lt;0),A16,IF(F11=0,A19,A18))))</f>
        <v>Balanced - no deficit reduction plan is required.</v>
      </c>
      <c r="D12" s="2368"/>
      <c r="E12" s="2368"/>
      <c r="F12" s="2369"/>
    </row>
    <row r="13" spans="1:8" ht="19.5" customHeight="1" x14ac:dyDescent="0.2">
      <c r="A13" s="1084"/>
      <c r="B13" s="1085"/>
      <c r="C13" s="2367"/>
      <c r="D13" s="2368"/>
      <c r="E13" s="2368"/>
      <c r="F13" s="2369"/>
      <c r="H13" s="1074"/>
    </row>
    <row r="14" spans="1:8" ht="19.5" customHeight="1" x14ac:dyDescent="0.2">
      <c r="A14" s="1084"/>
      <c r="B14" s="1085"/>
      <c r="C14" s="2367"/>
      <c r="D14" s="2368"/>
      <c r="E14" s="2368"/>
      <c r="F14" s="2369"/>
      <c r="H14" s="1074"/>
    </row>
    <row r="15" spans="1:8" ht="17.25" customHeight="1" x14ac:dyDescent="0.2">
      <c r="A15" s="1084"/>
      <c r="B15" s="1085"/>
      <c r="C15" s="2370"/>
      <c r="D15" s="2371"/>
      <c r="E15" s="2371"/>
      <c r="F15" s="2372"/>
      <c r="H15" s="1074"/>
    </row>
    <row r="16" spans="1:8" s="310" customFormat="1" ht="51.75" hidden="1" customHeight="1" x14ac:dyDescent="0.2">
      <c r="A16" s="2366" t="s">
        <v>1786</v>
      </c>
      <c r="B16" s="2366"/>
      <c r="C16" s="2366"/>
      <c r="D16" s="2366"/>
      <c r="E16" s="2366"/>
      <c r="F16" s="310" t="s">
        <v>1437</v>
      </c>
    </row>
    <row r="17" spans="1:6" hidden="1" x14ac:dyDescent="0.2">
      <c r="A17" s="316" t="s">
        <v>1787</v>
      </c>
      <c r="F17" s="1086" t="s">
        <v>1438</v>
      </c>
    </row>
    <row r="18" spans="1:6" hidden="1" x14ac:dyDescent="0.2">
      <c r="A18" s="316" t="s">
        <v>1788</v>
      </c>
      <c r="F18" s="316" t="s">
        <v>1476</v>
      </c>
    </row>
    <row r="19" spans="1:6" hidden="1" x14ac:dyDescent="0.2">
      <c r="A19" s="316" t="s">
        <v>1475</v>
      </c>
      <c r="F19" s="316" t="s">
        <v>1440</v>
      </c>
    </row>
    <row r="20" spans="1:6" ht="14.25" customHeight="1" x14ac:dyDescent="0.2"/>
    <row r="21" spans="1:6" x14ac:dyDescent="0.2">
      <c r="B21" s="1087"/>
    </row>
    <row r="48" spans="3:3" x14ac:dyDescent="0.2">
      <c r="C48" s="1086"/>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oddHeader xml:space="preserve">&amp;L&amp;8Page 36&amp;R&amp;8Page 36
</oddHeader>
    <oddFooter>&amp;LSee Notes to Financial Statements</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colorId="8" zoomScale="110" zoomScaleNormal="110" workbookViewId="0"/>
  </sheetViews>
  <sheetFormatPr defaultColWidth="9.140625" defaultRowHeight="12" x14ac:dyDescent="0.2"/>
  <cols>
    <col min="1" max="1" width="2.7109375" style="1133" customWidth="1"/>
    <col min="2" max="2" width="3.140625" style="1133" customWidth="1"/>
    <col min="3" max="3" width="96.140625" style="1073" customWidth="1"/>
    <col min="4" max="4" width="42.140625" style="242" customWidth="1"/>
    <col min="5" max="5" width="2.7109375" style="1092" customWidth="1"/>
    <col min="6" max="6" width="1" style="1092" customWidth="1"/>
    <col min="7" max="16384" width="9.140625" style="1092"/>
  </cols>
  <sheetData>
    <row r="1" spans="1:4" ht="4.5" customHeight="1" thickBot="1" x14ac:dyDescent="0.25">
      <c r="A1" s="1088"/>
      <c r="B1" s="1089"/>
      <c r="C1" s="1090"/>
      <c r="D1" s="1091"/>
    </row>
    <row r="2" spans="1:4" ht="7.5" customHeight="1" thickTop="1" x14ac:dyDescent="0.2">
      <c r="A2" s="1910"/>
      <c r="B2" s="1911"/>
      <c r="C2" s="1912"/>
      <c r="D2" s="1913"/>
    </row>
    <row r="3" spans="1:4" ht="36" customHeight="1" x14ac:dyDescent="0.2">
      <c r="A3" s="2388" t="s">
        <v>685</v>
      </c>
      <c r="B3" s="2389"/>
      <c r="C3" s="2389"/>
      <c r="D3" s="2390"/>
    </row>
    <row r="4" spans="1:4" x14ac:dyDescent="0.2">
      <c r="A4" s="1152" t="s">
        <v>1792</v>
      </c>
      <c r="B4" s="1153"/>
      <c r="C4" s="1154"/>
      <c r="D4" s="1155"/>
    </row>
    <row r="5" spans="1:4" ht="21" customHeight="1" x14ac:dyDescent="0.2">
      <c r="A5" s="1148"/>
      <c r="B5" s="1149">
        <v>1</v>
      </c>
      <c r="C5" s="1150" t="s">
        <v>1942</v>
      </c>
      <c r="D5" s="1151"/>
    </row>
    <row r="6" spans="1:4" s="669" customFormat="1" ht="14.25" customHeight="1" x14ac:dyDescent="0.2">
      <c r="A6" s="1138"/>
      <c r="B6" s="1093">
        <f t="shared" ref="B6:B13" si="0">B5+1</f>
        <v>2</v>
      </c>
      <c r="C6" s="1094" t="s">
        <v>918</v>
      </c>
      <c r="D6" s="1095"/>
    </row>
    <row r="7" spans="1:4" s="669" customFormat="1" ht="12.75" x14ac:dyDescent="0.2">
      <c r="A7" s="1138"/>
      <c r="B7" s="1093">
        <f t="shared" si="0"/>
        <v>3</v>
      </c>
      <c r="C7" s="2399" t="s">
        <v>1583</v>
      </c>
      <c r="D7" s="2400"/>
    </row>
    <row r="8" spans="1:4" s="669" customFormat="1" ht="12.75" x14ac:dyDescent="0.2">
      <c r="A8" s="1138"/>
      <c r="B8" s="1093"/>
      <c r="C8" s="1096" t="s">
        <v>1582</v>
      </c>
      <c r="D8" s="1097"/>
    </row>
    <row r="9" spans="1:4" s="669" customFormat="1" ht="14.25" customHeight="1" x14ac:dyDescent="0.2">
      <c r="A9" s="1138"/>
      <c r="B9" s="1093">
        <f>B7+1</f>
        <v>4</v>
      </c>
      <c r="C9" s="1094" t="s">
        <v>2045</v>
      </c>
      <c r="D9" s="1095"/>
    </row>
    <row r="10" spans="1:4" s="669" customFormat="1" ht="14.25" customHeight="1" x14ac:dyDescent="0.2">
      <c r="A10" s="1138"/>
      <c r="B10" s="1093">
        <f t="shared" si="0"/>
        <v>5</v>
      </c>
      <c r="C10" s="1094" t="s">
        <v>659</v>
      </c>
      <c r="D10" s="1095"/>
    </row>
    <row r="11" spans="1:4" s="669" customFormat="1" ht="14.25" customHeight="1" x14ac:dyDescent="0.2">
      <c r="A11" s="1138"/>
      <c r="B11" s="1093">
        <f t="shared" si="0"/>
        <v>6</v>
      </c>
      <c r="C11" s="1094" t="s">
        <v>810</v>
      </c>
      <c r="D11" s="1095"/>
    </row>
    <row r="12" spans="1:4" s="669" customFormat="1" ht="14.25" customHeight="1" x14ac:dyDescent="0.2">
      <c r="A12" s="1138"/>
      <c r="B12" s="1093">
        <f t="shared" si="0"/>
        <v>7</v>
      </c>
      <c r="C12" s="1094" t="s">
        <v>1121</v>
      </c>
      <c r="D12" s="1095"/>
    </row>
    <row r="13" spans="1:4" s="669" customFormat="1" ht="14.25" customHeight="1" x14ac:dyDescent="0.2">
      <c r="A13" s="1138"/>
      <c r="B13" s="1093">
        <f t="shared" si="0"/>
        <v>8</v>
      </c>
      <c r="C13" s="1134" t="s">
        <v>811</v>
      </c>
      <c r="D13" s="1095"/>
    </row>
    <row r="14" spans="1:4" s="669" customFormat="1" ht="14.25" customHeight="1" x14ac:dyDescent="0.2">
      <c r="A14" s="1138"/>
      <c r="B14" s="1135">
        <v>9</v>
      </c>
      <c r="C14" s="1136" t="s">
        <v>1584</v>
      </c>
      <c r="D14" s="1137"/>
    </row>
    <row r="15" spans="1:4" s="669" customFormat="1" ht="21.75" customHeight="1" x14ac:dyDescent="0.2">
      <c r="A15" s="2391" t="s">
        <v>1064</v>
      </c>
      <c r="B15" s="2392"/>
      <c r="C15" s="2392"/>
      <c r="D15" s="2393"/>
    </row>
    <row r="16" spans="1:4" s="669" customFormat="1" ht="24" customHeight="1" x14ac:dyDescent="0.2">
      <c r="A16" s="2394" t="s">
        <v>683</v>
      </c>
      <c r="B16" s="2395"/>
      <c r="C16" s="2395"/>
      <c r="D16" s="2396"/>
    </row>
    <row r="17" spans="1:10" s="669" customFormat="1" ht="12.75" customHeight="1" x14ac:dyDescent="0.2">
      <c r="A17" s="1156" t="s">
        <v>1793</v>
      </c>
      <c r="B17" s="1157"/>
      <c r="C17" s="1158"/>
      <c r="D17" s="1159"/>
    </row>
    <row r="18" spans="1:10" s="669" customFormat="1" ht="12.75" customHeight="1" x14ac:dyDescent="0.2">
      <c r="A18" s="1160" t="s">
        <v>1794</v>
      </c>
      <c r="B18" s="1161"/>
      <c r="C18" s="1162"/>
      <c r="D18" s="1163"/>
    </row>
    <row r="19" spans="1:10" ht="6.75" customHeight="1" thickBot="1" x14ac:dyDescent="0.25">
      <c r="A19" s="1164"/>
      <c r="B19" s="1165"/>
      <c r="C19" s="1166"/>
      <c r="D19" s="1167"/>
    </row>
    <row r="20" spans="1:10" s="1171" customFormat="1" ht="12.75" thickTop="1" x14ac:dyDescent="0.2">
      <c r="A20" s="1168"/>
      <c r="B20" s="1169" t="s">
        <v>1795</v>
      </c>
      <c r="C20" s="1170"/>
      <c r="D20" s="1173" t="s">
        <v>733</v>
      </c>
    </row>
    <row r="21" spans="1:10" x14ac:dyDescent="0.2">
      <c r="A21" s="1098"/>
      <c r="B21" s="1099">
        <v>1</v>
      </c>
      <c r="C21" s="2403" t="s">
        <v>331</v>
      </c>
      <c r="D21" s="2404"/>
    </row>
    <row r="22" spans="1:10" ht="12.75" x14ac:dyDescent="0.2">
      <c r="A22" s="1139"/>
      <c r="B22" s="1140">
        <v>2</v>
      </c>
      <c r="C22" s="2401" t="s">
        <v>1604</v>
      </c>
      <c r="D22" s="2402"/>
    </row>
    <row r="23" spans="1:10" ht="12.2" customHeight="1" x14ac:dyDescent="0.2">
      <c r="A23" s="1139"/>
      <c r="B23" s="1140"/>
      <c r="C23" s="1141" t="s">
        <v>1010</v>
      </c>
      <c r="D23" s="1142" t="str">
        <f>IF(COVER!O11="X","CASH",IF(COVER!O12="X","ACCRUAL ","PLEASE CHECK AN ACCOUNTING BASIS."))</f>
        <v>CASH</v>
      </c>
    </row>
    <row r="24" spans="1:10" ht="12.2" customHeight="1" x14ac:dyDescent="0.2">
      <c r="A24" s="1139"/>
      <c r="B24" s="1140"/>
      <c r="C24" s="1141" t="s">
        <v>1398</v>
      </c>
      <c r="D24" s="1142" t="str">
        <f>IF(COVER!O11="X","OK",IF(AND('Aud Quest 2'!J90=0,'Aud Quest 2'!I77&lt;DATE(2017,12,31)),"ENTER ACCOUNTING INFO",IF(AND('Aud Quest 2'!J90&gt;0,'Aud Quest 2'!I77&lt;DATE(2017,12,31)),"OK")))</f>
        <v>OK</v>
      </c>
    </row>
    <row r="25" spans="1:10" x14ac:dyDescent="0.2">
      <c r="A25" s="1100"/>
      <c r="B25" s="1101"/>
      <c r="C25" s="1102" t="s">
        <v>1606</v>
      </c>
      <c r="D25" s="1103" t="str">
        <f>IF(AND(COVER!J29="X",COVER!J30="X",COVER!L30&lt;&gt;"X"),"OK",IF(AND(COVER!J29="X",COVER!J30&lt;&gt;"X",COVER!L30="X"),"OK",IF(AND(COVER!L29="X",COVER!J30&lt;&gt;"X"),"OK","PLEASE CHECK YES or NO.")))</f>
        <v>OK</v>
      </c>
    </row>
    <row r="26" spans="1:10" x14ac:dyDescent="0.2">
      <c r="A26" s="1100"/>
      <c r="B26" s="1143"/>
      <c r="C26" s="1104" t="s">
        <v>1605</v>
      </c>
      <c r="D26" s="1105" t="str">
        <f>IF(AND(COVER!J29="X",COVER!J30="X",COVER!L29&lt;&gt;"X"),"OK",IF(AND(COVER!J29="X",COVER!J30&lt;&gt;"X",COVER!L30="X"),"SENDING AN A-133 SEPERATELY!",IF(AND(COVER!L29="X",COVER!J30&lt;&gt;"X"),"OK","PLEASE CHECK YES or NO.")))</f>
        <v>OK</v>
      </c>
    </row>
    <row r="27" spans="1:10" ht="12" hidden="1" customHeight="1" x14ac:dyDescent="0.2">
      <c r="A27" s="1106"/>
      <c r="B27" s="1143"/>
      <c r="C27" s="1102" t="s">
        <v>1031</v>
      </c>
      <c r="D27" s="1105" t="str">
        <f>IF(AND(COVER!J29="X",COVER!J31="X",COVER!L29&lt;&gt;"X"),"OK",IF(AND(COVER!J29="X",COVER!J31&lt;&gt;"X",COVER!L31="X"),"NO FINDINGS WERE ISSUED",IF(AND(COVER!L29="X",COVER!J31&lt;&gt;"X"),"OK","PLEASE CHECK YES or NO.")))</f>
        <v>OK</v>
      </c>
    </row>
    <row r="28" spans="1:10" ht="24" hidden="1" customHeight="1" x14ac:dyDescent="0.2">
      <c r="A28" s="1106"/>
      <c r="B28" s="1143"/>
      <c r="C28" s="1102" t="s">
        <v>896</v>
      </c>
      <c r="D28" s="1107" t="b">
        <f>IF('Aud Quest 2'!B53="X",IF('Aud Quest 2'!F53&gt;"00/00/00 ","Enter Effective Date","ok"))</f>
        <v>0</v>
      </c>
    </row>
    <row r="29" spans="1:10" x14ac:dyDescent="0.2">
      <c r="A29" s="1100"/>
      <c r="B29" s="1143"/>
      <c r="C29" s="1104" t="s">
        <v>1439</v>
      </c>
      <c r="D29" s="1105"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8"/>
      <c r="B30" s="1140">
        <f>B22+1</f>
        <v>3</v>
      </c>
      <c r="C30" s="1108" t="s">
        <v>878</v>
      </c>
      <c r="D30" s="1109"/>
    </row>
    <row r="31" spans="1:10" x14ac:dyDescent="0.2">
      <c r="A31" s="1100"/>
      <c r="B31" s="1110"/>
      <c r="C31" s="1144" t="s">
        <v>271</v>
      </c>
      <c r="D31" s="1111" t="str">
        <f>IF(SUM('FP Info 3'!J10:L10)&lt;=0.0999999,"OK","CORRECT THE TAX RATES BY MOVING THE DECIMAL TWO PLACES TO THE LEFT.")</f>
        <v>OK</v>
      </c>
      <c r="E31" s="359"/>
      <c r="F31" s="359"/>
      <c r="G31" s="359"/>
      <c r="H31" s="359"/>
      <c r="I31" s="359"/>
      <c r="J31" s="359"/>
    </row>
    <row r="32" spans="1:10" x14ac:dyDescent="0.2">
      <c r="A32" s="1100"/>
      <c r="B32" s="1145"/>
      <c r="C32" s="1112" t="s">
        <v>1034</v>
      </c>
      <c r="D32" s="1103" t="str">
        <f>IF(OR(COVER!B6="x",'FP Info 3'!B31="X",'FP Info 3'!B32="X"),"OK","ENTRY IS REQUIRED!")</f>
        <v>OK</v>
      </c>
    </row>
    <row r="33" spans="1:12" s="1116" customFormat="1" ht="12.75" customHeight="1" x14ac:dyDescent="0.2">
      <c r="A33" s="1113"/>
      <c r="B33" s="1140">
        <f>B30+1</f>
        <v>4</v>
      </c>
      <c r="C33" s="1114" t="s">
        <v>812</v>
      </c>
      <c r="D33" s="1115"/>
    </row>
    <row r="34" spans="1:12" s="1116" customFormat="1" x14ac:dyDescent="0.2">
      <c r="A34" s="1117"/>
      <c r="B34" s="1140"/>
      <c r="C34" s="1118" t="s">
        <v>879</v>
      </c>
      <c r="D34" s="1103" t="str">
        <f>IF('Assets-Liab 5-6'!C4&lt;-0.49, "ERROR!","OK")</f>
        <v>OK</v>
      </c>
    </row>
    <row r="35" spans="1:12" x14ac:dyDescent="0.2">
      <c r="A35" s="1117"/>
      <c r="B35" s="1140"/>
      <c r="C35" s="1118" t="s">
        <v>323</v>
      </c>
      <c r="D35" s="1103" t="str">
        <f>IF('Assets-Liab 5-6'!D4&lt;-0.49, "ERROR!","OK")</f>
        <v>OK</v>
      </c>
      <c r="L35" s="1172"/>
    </row>
    <row r="36" spans="1:12" x14ac:dyDescent="0.2">
      <c r="A36" s="1117"/>
      <c r="B36" s="1140"/>
      <c r="C36" s="1118" t="s">
        <v>813</v>
      </c>
      <c r="D36" s="1103" t="str">
        <f>IF('Assets-Liab 5-6'!E4&lt;-0.49, "ERROR!","OK")</f>
        <v>OK</v>
      </c>
    </row>
    <row r="37" spans="1:12" x14ac:dyDescent="0.2">
      <c r="A37" s="1117"/>
      <c r="B37" s="1140"/>
      <c r="C37" s="1118" t="s">
        <v>324</v>
      </c>
      <c r="D37" s="1103" t="str">
        <f>IF('Assets-Liab 5-6'!F4&lt;-0.49, "ERROR!","OK")</f>
        <v>OK</v>
      </c>
    </row>
    <row r="38" spans="1:12" x14ac:dyDescent="0.2">
      <c r="A38" s="1117"/>
      <c r="B38" s="1140"/>
      <c r="C38" s="1118" t="s">
        <v>325</v>
      </c>
      <c r="D38" s="1103" t="str">
        <f>IF('Assets-Liab 5-6'!G4&lt;-0.49, "ERROR!","OK")</f>
        <v>OK</v>
      </c>
    </row>
    <row r="39" spans="1:12" x14ac:dyDescent="0.2">
      <c r="A39" s="1117"/>
      <c r="B39" s="1140"/>
      <c r="C39" s="1118" t="s">
        <v>814</v>
      </c>
      <c r="D39" s="1103" t="str">
        <f>IF('Assets-Liab 5-6'!H4&lt;-0.49, "ERROR!","OK")</f>
        <v>OK</v>
      </c>
    </row>
    <row r="40" spans="1:12" x14ac:dyDescent="0.2">
      <c r="A40" s="1117"/>
      <c r="B40" s="1140"/>
      <c r="C40" s="1118" t="s">
        <v>326</v>
      </c>
      <c r="D40" s="1103" t="str">
        <f>IF('Assets-Liab 5-6'!I4&lt;-0.49, "ERROR!","OK")</f>
        <v>OK</v>
      </c>
    </row>
    <row r="41" spans="1:12" x14ac:dyDescent="0.2">
      <c r="A41" s="1117"/>
      <c r="B41" s="1140"/>
      <c r="C41" s="1118" t="s">
        <v>815</v>
      </c>
      <c r="D41" s="1103" t="str">
        <f>IF('Assets-Liab 5-6'!J4&lt;-0.49, "ERROR!","OK")</f>
        <v>OK</v>
      </c>
    </row>
    <row r="42" spans="1:12" x14ac:dyDescent="0.2">
      <c r="A42" s="1117"/>
      <c r="B42" s="1140"/>
      <c r="C42" s="1118" t="s">
        <v>327</v>
      </c>
      <c r="D42" s="1103" t="str">
        <f>IF('Assets-Liab 5-6'!K4&lt;-0.49, "ERROR!","OK")</f>
        <v>OK</v>
      </c>
    </row>
    <row r="43" spans="1:12" x14ac:dyDescent="0.2">
      <c r="A43" s="1119"/>
      <c r="B43" s="1120">
        <f>B33+1</f>
        <v>5</v>
      </c>
      <c r="C43" s="2405" t="s">
        <v>556</v>
      </c>
      <c r="D43" s="2406"/>
    </row>
    <row r="44" spans="1:12" x14ac:dyDescent="0.2">
      <c r="A44" s="1119"/>
      <c r="B44" s="1121"/>
      <c r="C44" s="1122" t="s">
        <v>1401</v>
      </c>
      <c r="D44" s="1123" t="str">
        <f>IF(SUM('Assets-Liab 5-6'!C13)&lt;&gt;SUM('Assets-Liab 5-6'!C41),"ERROR!","OK")</f>
        <v>OK</v>
      </c>
    </row>
    <row r="45" spans="1:12" x14ac:dyDescent="0.2">
      <c r="A45" s="1119"/>
      <c r="B45" s="1121"/>
      <c r="C45" s="1122" t="s">
        <v>1402</v>
      </c>
      <c r="D45" s="1123" t="str">
        <f>IF(SUM('Assets-Liab 5-6'!D13)&lt;&gt;SUM('Assets-Liab 5-6'!D41),"ERROR!","OK")</f>
        <v>OK</v>
      </c>
    </row>
    <row r="46" spans="1:12" x14ac:dyDescent="0.2">
      <c r="A46" s="1119"/>
      <c r="B46" s="1121"/>
      <c r="C46" s="1122" t="s">
        <v>1403</v>
      </c>
      <c r="D46" s="1123" t="str">
        <f>IF(SUM('Assets-Liab 5-6'!E13)&lt;&gt;SUM('Assets-Liab 5-6'!E41),"ERROR!","OK")</f>
        <v>OK</v>
      </c>
    </row>
    <row r="47" spans="1:12" x14ac:dyDescent="0.2">
      <c r="A47" s="1119"/>
      <c r="B47" s="1121"/>
      <c r="C47" s="1122" t="s">
        <v>1404</v>
      </c>
      <c r="D47" s="1123" t="str">
        <f>IF(SUM('Assets-Liab 5-6'!F13)&lt;&gt;SUM('Assets-Liab 5-6'!F41),"ERROR!","OK")</f>
        <v>OK</v>
      </c>
    </row>
    <row r="48" spans="1:12" x14ac:dyDescent="0.2">
      <c r="A48" s="1119"/>
      <c r="B48" s="1121"/>
      <c r="C48" s="1122" t="s">
        <v>1405</v>
      </c>
      <c r="D48" s="1123" t="str">
        <f>IF(SUM('Assets-Liab 5-6'!G13)&lt;&gt;SUM('Assets-Liab 5-6'!G41),"ERROR!","OK")</f>
        <v>OK</v>
      </c>
    </row>
    <row r="49" spans="1:4" x14ac:dyDescent="0.2">
      <c r="A49" s="1119"/>
      <c r="B49" s="1121"/>
      <c r="C49" s="1122" t="s">
        <v>1406</v>
      </c>
      <c r="D49" s="1123" t="str">
        <f>IF(SUM('Assets-Liab 5-6'!H13)&lt;&gt;SUM('Assets-Liab 5-6'!H41),"ERROR!","OK")</f>
        <v>OK</v>
      </c>
    </row>
    <row r="50" spans="1:4" x14ac:dyDescent="0.2">
      <c r="A50" s="1119"/>
      <c r="B50" s="1121"/>
      <c r="C50" s="1122" t="s">
        <v>1407</v>
      </c>
      <c r="D50" s="1123" t="str">
        <f>IF(SUM('Assets-Liab 5-6'!I13)&lt;&gt;SUM('Assets-Liab 5-6'!I41),"ERROR!","OK")</f>
        <v>OK</v>
      </c>
    </row>
    <row r="51" spans="1:4" x14ac:dyDescent="0.2">
      <c r="A51" s="1119"/>
      <c r="B51" s="1121"/>
      <c r="C51" s="1122" t="s">
        <v>1408</v>
      </c>
      <c r="D51" s="1123" t="str">
        <f>IF(SUM('Assets-Liab 5-6'!J13)&lt;&gt;SUM('Assets-Liab 5-6'!J41),"ERROR!","OK")</f>
        <v>OK</v>
      </c>
    </row>
    <row r="52" spans="1:4" x14ac:dyDescent="0.2">
      <c r="A52" s="1119"/>
      <c r="B52" s="1121"/>
      <c r="C52" s="1122" t="s">
        <v>1409</v>
      </c>
      <c r="D52" s="1123" t="str">
        <f>IF(SUM('Assets-Liab 5-6'!K13)&lt;&gt;SUM('Assets-Liab 5-6'!K41),"ERROR!","OK")</f>
        <v>OK</v>
      </c>
    </row>
    <row r="53" spans="1:4" x14ac:dyDescent="0.2">
      <c r="A53" s="1119"/>
      <c r="B53" s="1121"/>
      <c r="C53" s="1122" t="s">
        <v>1410</v>
      </c>
      <c r="D53" s="1123" t="str">
        <f>IF(SUM('Assets-Liab 5-6'!L13)&lt;&gt;('Assets-Liab 5-6'!L41),"ERROR!","OK")</f>
        <v>OK</v>
      </c>
    </row>
    <row r="54" spans="1:4" x14ac:dyDescent="0.2">
      <c r="A54" s="1119"/>
      <c r="B54" s="1121"/>
      <c r="C54" s="1122" t="s">
        <v>1411</v>
      </c>
      <c r="D54" s="1123" t="str">
        <f>IF(SUM('Assets-Liab 5-6'!M23)&lt;&gt;('Assets-Liab 5-6'!M41),"ERROR!","OK")</f>
        <v>OK</v>
      </c>
    </row>
    <row r="55" spans="1:4" x14ac:dyDescent="0.2">
      <c r="A55" s="1119"/>
      <c r="B55" s="1121"/>
      <c r="C55" s="1122" t="s">
        <v>1412</v>
      </c>
      <c r="D55" s="1123" t="str">
        <f>IF(SUM('Assets-Liab 5-6'!N23)&lt;&gt;('Assets-Liab 5-6'!N41),"ERROR!","OK")</f>
        <v>OK</v>
      </c>
    </row>
    <row r="56" spans="1:4" x14ac:dyDescent="0.2">
      <c r="A56" s="1100"/>
      <c r="B56" s="1120">
        <f>B43+1</f>
        <v>6</v>
      </c>
      <c r="C56" s="2397" t="s">
        <v>816</v>
      </c>
      <c r="D56" s="2398"/>
    </row>
    <row r="57" spans="1:4" s="1116" customFormat="1" x14ac:dyDescent="0.2">
      <c r="A57" s="1100"/>
      <c r="B57" s="1110"/>
      <c r="C57" s="1118" t="s">
        <v>1413</v>
      </c>
      <c r="D57" s="1124" t="str">
        <f>IF('Assets-Liab 5-6'!C38+'Assets-Liab 5-6'!C39='Acct Summary 7-8'!C81,"OK","ERROR!")</f>
        <v>OK</v>
      </c>
    </row>
    <row r="58" spans="1:4" x14ac:dyDescent="0.2">
      <c r="A58" s="1100"/>
      <c r="B58" s="1110"/>
      <c r="C58" s="1118" t="s">
        <v>1414</v>
      </c>
      <c r="D58" s="1124" t="str">
        <f>IF((('Assets-Liab 5-6'!D38+'Assets-Liab 5-6'!D39) ='Acct Summary 7-8'!D81), "OK", "ERROR!" )</f>
        <v>OK</v>
      </c>
    </row>
    <row r="59" spans="1:4" s="1116" customFormat="1" x14ac:dyDescent="0.2">
      <c r="A59" s="1100"/>
      <c r="B59" s="1110"/>
      <c r="C59" s="1118" t="s">
        <v>1415</v>
      </c>
      <c r="D59" s="1124" t="str">
        <f>IF((('Assets-Liab 5-6'!E38 + 'Assets-Liab 5-6'!E39) ='Acct Summary 7-8'!E81), "OK", "ERROR!" )</f>
        <v>OK</v>
      </c>
    </row>
    <row r="60" spans="1:4" x14ac:dyDescent="0.2">
      <c r="A60" s="1100"/>
      <c r="B60" s="1110"/>
      <c r="C60" s="1118" t="s">
        <v>1416</v>
      </c>
      <c r="D60" s="1124" t="str">
        <f>IF((('Assets-Liab 5-6'!F38 + 'Assets-Liab 5-6'!F39) ='Acct Summary 7-8'!F81), "OK", "ERROR!" )</f>
        <v>OK</v>
      </c>
    </row>
    <row r="61" spans="1:4" ht="12.75" customHeight="1" x14ac:dyDescent="0.2">
      <c r="A61" s="1100"/>
      <c r="B61" s="1110"/>
      <c r="C61" s="1118" t="s">
        <v>1429</v>
      </c>
      <c r="D61" s="1124" t="str">
        <f>IF((('Assets-Liab 5-6'!G38 + 'Assets-Liab 5-6'!G39) ='Acct Summary 7-8'!G81), "OK", "ERROR!" )</f>
        <v>OK</v>
      </c>
    </row>
    <row r="62" spans="1:4" x14ac:dyDescent="0.2">
      <c r="A62" s="1100"/>
      <c r="B62" s="1110"/>
      <c r="C62" s="1118" t="s">
        <v>1417</v>
      </c>
      <c r="D62" s="1124" t="str">
        <f>IF((('Assets-Liab 5-6'!H38 + 'Assets-Liab 5-6'!H39) ='Acct Summary 7-8'!H81), "OK", "ERROR!" )</f>
        <v>OK</v>
      </c>
    </row>
    <row r="63" spans="1:4" ht="12.75" customHeight="1" x14ac:dyDescent="0.2">
      <c r="A63" s="1100"/>
      <c r="B63" s="1110"/>
      <c r="C63" s="1118" t="s">
        <v>1418</v>
      </c>
      <c r="D63" s="1124" t="str">
        <f>IF((('Assets-Liab 5-6'!I38 + 'Assets-Liab 5-6'!I39) ='Acct Summary 7-8'!I81), "OK", "ERROR!" )</f>
        <v>OK</v>
      </c>
    </row>
    <row r="64" spans="1:4" x14ac:dyDescent="0.2">
      <c r="A64" s="1100"/>
      <c r="B64" s="1110"/>
      <c r="C64" s="1118" t="s">
        <v>1419</v>
      </c>
      <c r="D64" s="1124" t="str">
        <f>IF((('Assets-Liab 5-6'!J38 + 'Assets-Liab 5-6'!J39) ='Acct Summary 7-8'!J81), "OK", "ERROR!" )</f>
        <v>OK</v>
      </c>
    </row>
    <row r="65" spans="1:4" x14ac:dyDescent="0.2">
      <c r="A65" s="1117"/>
      <c r="B65" s="1110"/>
      <c r="C65" s="1118" t="s">
        <v>1430</v>
      </c>
      <c r="D65" s="1124" t="str">
        <f>IF((('Assets-Liab 5-6'!K38 + 'Assets-Liab 5-6'!K39) ='Acct Summary 7-8'!K81), "OK", "ERROR!" )</f>
        <v>OK</v>
      </c>
    </row>
    <row r="66" spans="1:4" x14ac:dyDescent="0.2">
      <c r="A66" s="1098"/>
      <c r="B66" s="1140">
        <f>B56+1+1</f>
        <v>8</v>
      </c>
      <c r="C66" s="1146" t="s">
        <v>2046</v>
      </c>
      <c r="D66" s="1125"/>
    </row>
    <row r="67" spans="1:4" x14ac:dyDescent="0.2">
      <c r="A67" s="1119"/>
      <c r="B67" s="1140"/>
      <c r="C67" s="1147" t="s">
        <v>1078</v>
      </c>
      <c r="D67" s="1125"/>
    </row>
    <row r="68" spans="1:4" x14ac:dyDescent="0.2">
      <c r="A68" s="1100"/>
      <c r="B68" s="1110"/>
      <c r="C68" s="1102" t="s">
        <v>2047</v>
      </c>
      <c r="D68" s="1124" t="str">
        <f>IF('Short-Term Long-Term Debt 24'!F49=SUM(,'Acct Summary 7-8'!C33:K33),"OK","ERROR!")</f>
        <v>ERROR!</v>
      </c>
    </row>
    <row r="69" spans="1:4" x14ac:dyDescent="0.2">
      <c r="A69" s="1100"/>
      <c r="B69" s="1110"/>
      <c r="C69" s="1102" t="s">
        <v>2048</v>
      </c>
      <c r="D69" s="1124" t="str">
        <f>IF('Expenditures 15-22'!H170&lt;&gt;'Short-Term Long-Term Debt 24'!H49,"ERROR!","OK")</f>
        <v>ERROR!</v>
      </c>
    </row>
    <row r="70" spans="1:4" x14ac:dyDescent="0.2">
      <c r="A70" s="1098"/>
      <c r="B70" s="1120">
        <f>B66+1</f>
        <v>9</v>
      </c>
      <c r="C70" s="2397" t="s">
        <v>1796</v>
      </c>
      <c r="D70" s="2398"/>
    </row>
    <row r="71" spans="1:4" x14ac:dyDescent="0.2">
      <c r="A71" s="1098"/>
      <c r="B71" s="1120"/>
      <c r="C71" s="1102" t="s">
        <v>1420</v>
      </c>
      <c r="D71" s="1126" t="str">
        <f>IF(SUM('Acct Summary 7-8'!C27:K27) =SUM( 'Acct Summary 7-8'!C49:K49),"OK", "ERROR")</f>
        <v>OK</v>
      </c>
    </row>
    <row r="72" spans="1:4" x14ac:dyDescent="0.2">
      <c r="A72" s="1100"/>
      <c r="B72" s="1110"/>
      <c r="C72" s="1118" t="s">
        <v>1421</v>
      </c>
      <c r="D72" s="1124" t="str">
        <f>IF(SUM('Acct Summary 7-8'!C28:K28)=SUM('Acct Summary 7-8'!C50:K50),"OK","ERROR!")</f>
        <v>OK</v>
      </c>
    </row>
    <row r="73" spans="1:4" ht="24" x14ac:dyDescent="0.2">
      <c r="A73" s="1127"/>
      <c r="B73" s="1110"/>
      <c r="C73" s="1118" t="s">
        <v>1797</v>
      </c>
      <c r="D73" s="1126" t="str">
        <f>IF(SUM('Acct Summary 7-8'!C42:K42)&gt;=SUM( 'Acct Summary 7-8'!C74:K74),"OK", "ERROR")</f>
        <v>OK</v>
      </c>
    </row>
    <row r="74" spans="1:4" x14ac:dyDescent="0.2">
      <c r="A74" s="1098"/>
      <c r="B74" s="1120">
        <f>B70+1</f>
        <v>10</v>
      </c>
      <c r="C74" s="1114" t="s">
        <v>2049</v>
      </c>
      <c r="D74" s="1128"/>
    </row>
    <row r="75" spans="1:4" x14ac:dyDescent="0.2">
      <c r="A75" s="1100"/>
      <c r="B75" s="1110"/>
      <c r="C75" s="1118" t="s">
        <v>1443</v>
      </c>
      <c r="D75" s="1124" t="str">
        <f>IF(SUM('Assets-Liab 5-6'!C38:H38)&gt;=SUM('Rest Tax Levies-Tort Im 25'!G25:K25),"OK","ERROR")</f>
        <v>OK</v>
      </c>
    </row>
    <row r="76" spans="1:4" x14ac:dyDescent="0.2">
      <c r="A76" s="1100"/>
      <c r="B76" s="1110"/>
      <c r="C76" s="1118" t="s">
        <v>1489</v>
      </c>
      <c r="D76" s="1124" t="str">
        <f>IF(SUM('Assets-Liab 5-6'!C39:K39)&gt;0,"OK","ENTRY IS REQUIRED!")</f>
        <v>OK</v>
      </c>
    </row>
    <row r="77" spans="1:4" x14ac:dyDescent="0.2">
      <c r="A77" s="1100"/>
      <c r="B77" s="1129">
        <f>B74+1</f>
        <v>11</v>
      </c>
      <c r="C77" s="1174" t="s">
        <v>1444</v>
      </c>
      <c r="D77" s="1124"/>
    </row>
    <row r="78" spans="1:4" x14ac:dyDescent="0.2">
      <c r="A78" s="1100"/>
      <c r="B78" s="1110"/>
      <c r="C78" s="1118" t="s">
        <v>2050</v>
      </c>
      <c r="D78" s="1124" t="str">
        <f>IF(ISNUMBER('Acct Summary 7-8'!C9),"OK","ENTRY IS REQUIRED!")</f>
        <v>OK</v>
      </c>
    </row>
    <row r="79" spans="1:4" x14ac:dyDescent="0.2">
      <c r="A79" s="1119"/>
      <c r="B79" s="1120">
        <f>B74+1+1</f>
        <v>12</v>
      </c>
      <c r="C79" s="1130" t="s">
        <v>2015</v>
      </c>
      <c r="D79" s="1131" t="str">
        <f>IF(OR(COVER!$B$6="X",'PCTC-OEPP 27-28'!F78&gt;0),"OK","PLEASE ENTER 9 MO ADA.")</f>
        <v>OK</v>
      </c>
    </row>
    <row r="80" spans="1:4" x14ac:dyDescent="0.2">
      <c r="A80" s="1098"/>
      <c r="B80" s="1120">
        <v>13</v>
      </c>
      <c r="C80" s="1130" t="s">
        <v>2051</v>
      </c>
      <c r="D80" s="1131" t="str">
        <f>IF('Contracts Paid in CY 29'!D39&gt;0,"OK","PLEASE ENTER CONTRACTS PAID IN CURRENT YEAR.")</f>
        <v>OK</v>
      </c>
    </row>
    <row r="81" spans="1:4" x14ac:dyDescent="0.2">
      <c r="A81" s="1098"/>
      <c r="B81" s="1120">
        <v>14</v>
      </c>
      <c r="C81" s="1130" t="s">
        <v>1495</v>
      </c>
      <c r="D81" s="1123" t="str">
        <f>IF('Shared Outsourced Services 31'!B8="X","OK",IF('Shared Outsourced Services 31'!K34&gt;0,"OK","ENTRY REQUIRED!"))</f>
        <v>OK</v>
      </c>
    </row>
    <row r="82" spans="1:4" x14ac:dyDescent="0.2">
      <c r="A82" s="1119"/>
      <c r="B82" s="1120">
        <v>15</v>
      </c>
      <c r="C82" s="1130" t="s">
        <v>1494</v>
      </c>
      <c r="D82" s="1132"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4"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575</v>
      </c>
      <c r="B1" s="138" t="s">
        <v>279</v>
      </c>
    </row>
    <row r="2" spans="1:2" x14ac:dyDescent="0.2">
      <c r="A2" t="s">
        <v>280</v>
      </c>
      <c r="B2" s="138">
        <f>COVER!A13</f>
        <v>40042100026</v>
      </c>
    </row>
    <row r="3" spans="1:2" x14ac:dyDescent="0.2">
      <c r="A3" t="s">
        <v>1012</v>
      </c>
      <c r="B3" s="138" t="str">
        <f>COVER!A15</f>
        <v>Jersey and Greene</v>
      </c>
    </row>
    <row r="4" spans="1:2" x14ac:dyDescent="0.2">
      <c r="A4" t="s">
        <v>1063</v>
      </c>
      <c r="B4" s="138" t="str">
        <f>COVER!A17</f>
        <v>Jersey CUSD 100</v>
      </c>
    </row>
    <row r="5" spans="1:2" x14ac:dyDescent="0.2">
      <c r="A5" t="s">
        <v>727</v>
      </c>
      <c r="B5" s="138" t="str">
        <f>COVER!A38</f>
        <v>Brad Tuttle</v>
      </c>
    </row>
    <row r="6" spans="1:2" x14ac:dyDescent="0.2">
      <c r="A6" t="s">
        <v>732</v>
      </c>
      <c r="B6" s="138">
        <f>COVER!P35</f>
        <v>0</v>
      </c>
    </row>
    <row r="7" spans="1:2" x14ac:dyDescent="0.2">
      <c r="A7" t="s">
        <v>728</v>
      </c>
      <c r="B7" s="138">
        <f>COVER!I38</f>
        <v>0</v>
      </c>
    </row>
    <row r="8" spans="1:2" x14ac:dyDescent="0.2">
      <c r="A8" t="s">
        <v>729</v>
      </c>
      <c r="B8" s="138">
        <f>COVER!T38</f>
        <v>0</v>
      </c>
    </row>
    <row r="9" spans="1:2" x14ac:dyDescent="0.2">
      <c r="A9" s="3" t="s">
        <v>1013</v>
      </c>
      <c r="B9" s="158" t="str">
        <f>AUDITCHECK!D23</f>
        <v>CASH</v>
      </c>
    </row>
    <row r="10" spans="1:2" x14ac:dyDescent="0.2">
      <c r="A10" t="s">
        <v>1032</v>
      </c>
      <c r="B10" s="138" t="str">
        <f>COVER!B5</f>
        <v>X</v>
      </c>
    </row>
    <row r="11" spans="1:2" x14ac:dyDescent="0.2">
      <c r="A11" t="s">
        <v>1033</v>
      </c>
      <c r="B11" s="138">
        <f>COVER!B6</f>
        <v>0</v>
      </c>
    </row>
    <row r="12" spans="1:2" x14ac:dyDescent="0.2">
      <c r="A12" s="1" t="s">
        <v>1623</v>
      </c>
      <c r="B12" s="138" t="str">
        <f>IF(COVER!J29="x","Yes",IF(COVER!L29="X","No",0))</f>
        <v>Yes</v>
      </c>
    </row>
    <row r="13" spans="1:2" x14ac:dyDescent="0.2">
      <c r="A13" s="1" t="s">
        <v>1624</v>
      </c>
      <c r="B13" s="138" t="str">
        <f>IF(COVER!J30="x","Yes",IF(COVER!L30="x","No",0))</f>
        <v>Yes</v>
      </c>
    </row>
    <row r="14" spans="1:2" x14ac:dyDescent="0.2">
      <c r="A14" t="s">
        <v>496</v>
      </c>
      <c r="B14" s="138" t="str">
        <f>IF(COVER!J31="x","Yes",IF(COVER!L31="x","No",0))</f>
        <v>Yes</v>
      </c>
    </row>
    <row r="15" spans="1:2" x14ac:dyDescent="0.2">
      <c r="A15" t="s">
        <v>597</v>
      </c>
      <c r="B15" s="138" t="str">
        <f>COVER!T23</f>
        <v>066-005101</v>
      </c>
    </row>
    <row r="16" spans="1:2" x14ac:dyDescent="0.2">
      <c r="A16" t="s">
        <v>441</v>
      </c>
      <c r="B16" s="138" t="str">
        <f>COVER!T13</f>
        <v>Scheffel Boyle</v>
      </c>
    </row>
    <row r="17" spans="1:2" x14ac:dyDescent="0.2">
      <c r="A17" t="s">
        <v>938</v>
      </c>
      <c r="B17" s="138" t="str">
        <f>COVER!T15</f>
        <v>Daniel E. Phipps</v>
      </c>
    </row>
    <row r="18" spans="1:2" x14ac:dyDescent="0.2">
      <c r="A18" t="s">
        <v>1211</v>
      </c>
      <c r="B18" s="138" t="str">
        <f>COVER!T17</f>
        <v>106 W. County Road</v>
      </c>
    </row>
    <row r="19" spans="1:2" x14ac:dyDescent="0.2">
      <c r="A19" t="s">
        <v>940</v>
      </c>
      <c r="B19" s="138" t="str">
        <f>COVER!T25</f>
        <v>danny.phipps@scheffelboyle.com</v>
      </c>
    </row>
    <row r="20" spans="1:2" x14ac:dyDescent="0.2">
      <c r="A20" t="s">
        <v>941</v>
      </c>
      <c r="B20" s="138" t="str">
        <f>COVER!T19</f>
        <v>Jerseyville</v>
      </c>
    </row>
    <row r="21" spans="1:2" x14ac:dyDescent="0.2">
      <c r="A21" t="s">
        <v>499</v>
      </c>
      <c r="B21" s="138" t="str">
        <f>COVER!X19</f>
        <v>IL</v>
      </c>
    </row>
    <row r="22" spans="1:2" x14ac:dyDescent="0.2">
      <c r="A22" t="s">
        <v>942</v>
      </c>
      <c r="B22" s="138">
        <f>COVER!Z19</f>
        <v>62052</v>
      </c>
    </row>
    <row r="23" spans="1:2" x14ac:dyDescent="0.2">
      <c r="A23" t="s">
        <v>1213</v>
      </c>
      <c r="B23" s="138" t="str">
        <f>COVER!T21</f>
        <v>618-498-6841</v>
      </c>
    </row>
    <row r="24" spans="1:2" x14ac:dyDescent="0.2">
      <c r="A24" t="s">
        <v>1212</v>
      </c>
      <c r="B24" s="138">
        <f>COVER!Y21</f>
        <v>0</v>
      </c>
    </row>
    <row r="25" spans="1:2" x14ac:dyDescent="0.2">
      <c r="A25" t="s">
        <v>784</v>
      </c>
      <c r="B25" s="138">
        <f>COVER!B34</f>
        <v>0</v>
      </c>
    </row>
    <row r="26" spans="1:2" x14ac:dyDescent="0.2">
      <c r="A26" t="s">
        <v>1214</v>
      </c>
      <c r="B26" s="138">
        <f>COVER!L34</f>
        <v>0</v>
      </c>
    </row>
    <row r="27" spans="1:2" x14ac:dyDescent="0.2">
      <c r="A27" t="s">
        <v>285</v>
      </c>
      <c r="B27" s="138">
        <f>COVER!U34</f>
        <v>0</v>
      </c>
    </row>
    <row r="28" spans="1:2" x14ac:dyDescent="0.2">
      <c r="A28" t="s">
        <v>333</v>
      </c>
      <c r="B28" s="138" t="str">
        <f>IF('Aud Quest 2'!B9="x","Yes",IF('Aud Quest 2'!B9&lt;&gt;"x","0"))</f>
        <v>0</v>
      </c>
    </row>
    <row r="29" spans="1:2" x14ac:dyDescent="0.2">
      <c r="A29" t="s">
        <v>334</v>
      </c>
      <c r="B29" s="138" t="str">
        <f>IF('Aud Quest 2'!B11="x","Yes",IF('Aud Quest 2'!B11&lt;&gt;"x","0"))</f>
        <v>0</v>
      </c>
    </row>
    <row r="30" spans="1:2" x14ac:dyDescent="0.2">
      <c r="A30" t="s">
        <v>335</v>
      </c>
      <c r="B30" s="138" t="str">
        <f>IF('Aud Quest 2'!B13="x","Yes",IF('Aud Quest 2'!B13&lt;&gt;"x","0"))</f>
        <v>0</v>
      </c>
    </row>
    <row r="31" spans="1:2" x14ac:dyDescent="0.2">
      <c r="A31" t="s">
        <v>679</v>
      </c>
      <c r="B31" s="138" t="str">
        <f>IF('Aud Quest 2'!B14="x","Yes",IF('Aud Quest 2'!B14&lt;&gt;"x","0"))</f>
        <v>0</v>
      </c>
    </row>
    <row r="32" spans="1:2" x14ac:dyDescent="0.2">
      <c r="A32" t="s">
        <v>678</v>
      </c>
      <c r="B32" s="138" t="str">
        <f>IF('Aud Quest 2'!B15="x","Yes",IF('Aud Quest 2'!B15&lt;&gt;"x","0"))</f>
        <v>0</v>
      </c>
    </row>
    <row r="33" spans="1:2" x14ac:dyDescent="0.2">
      <c r="A33" t="s">
        <v>680</v>
      </c>
      <c r="B33" s="138" t="str">
        <f>IF('Aud Quest 2'!B16="x","Yes",IF('Aud Quest 2'!B16&lt;&gt;"x","0"))</f>
        <v>0</v>
      </c>
    </row>
    <row r="34" spans="1:2" x14ac:dyDescent="0.2">
      <c r="A34" t="s">
        <v>681</v>
      </c>
      <c r="B34" s="138" t="str">
        <f>IF('Aud Quest 2'!B18="x","Yes",IF('Aud Quest 2'!B18&lt;&gt;"x","0"))</f>
        <v>0</v>
      </c>
    </row>
    <row r="35" spans="1:2" x14ac:dyDescent="0.2">
      <c r="A35" t="s">
        <v>682</v>
      </c>
      <c r="B35" s="138" t="str">
        <f>IF('Aud Quest 2'!B20="x","Yes",IF('Aud Quest 2'!B20&lt;&gt;"x","0"))</f>
        <v>0</v>
      </c>
    </row>
    <row r="36" spans="1:2" x14ac:dyDescent="0.2">
      <c r="A36" t="s">
        <v>676</v>
      </c>
      <c r="B36" s="138" t="str">
        <f>IF('Aud Quest 2'!B22="x","Yes",IF('Aud Quest 2'!B22&lt;&gt;"x","0"))</f>
        <v>0</v>
      </c>
    </row>
    <row r="37" spans="1:2" x14ac:dyDescent="0.2">
      <c r="A37" t="s">
        <v>783</v>
      </c>
      <c r="B37" s="138" t="str">
        <f>IF('Aud Quest 2'!B24="x","Yes",IF('Aud Quest 2'!B24&lt;&gt;"x","0"))</f>
        <v>0</v>
      </c>
    </row>
    <row r="38" spans="1:2" x14ac:dyDescent="0.2">
      <c r="A38" t="s">
        <v>344</v>
      </c>
      <c r="B38" s="138" t="str">
        <f>IF('Aud Quest 2'!B25="x","Yes",IF('Aud Quest 2'!B25&lt;&gt;"x","0"))</f>
        <v>0</v>
      </c>
    </row>
    <row r="39" spans="1:2" x14ac:dyDescent="0.2">
      <c r="A39" t="s">
        <v>345</v>
      </c>
      <c r="B39" s="138" t="str">
        <f>IF('Aud Quest 2'!B27="x","Yes",IF('Aud Quest 2'!B27&lt;&gt;"x","0"))</f>
        <v>0</v>
      </c>
    </row>
    <row r="40" spans="1:2" x14ac:dyDescent="0.2">
      <c r="A40" t="s">
        <v>336</v>
      </c>
      <c r="B40" s="138" t="str">
        <f>IF('Aud Quest 2'!B29="x","Yes",IF('Aud Quest 2'!B29&lt;&gt;"x","0"))</f>
        <v>0</v>
      </c>
    </row>
    <row r="41" spans="1:2" x14ac:dyDescent="0.2">
      <c r="A41" t="s">
        <v>337</v>
      </c>
      <c r="B41" s="138" t="str">
        <f>IF('Aud Quest 2'!B31="x","Yes",IF('Aud Quest 2'!B31&lt;&gt;"x","0"))</f>
        <v>0</v>
      </c>
    </row>
    <row r="42" spans="1:2" x14ac:dyDescent="0.2">
      <c r="A42" t="s">
        <v>338</v>
      </c>
      <c r="B42" s="138" t="str">
        <f>IF('Aud Quest 2'!B37="x","Yes",IF('Aud Quest 2'!B37&lt;&gt;"x","0"))</f>
        <v>0</v>
      </c>
    </row>
    <row r="43" spans="1:2" x14ac:dyDescent="0.2">
      <c r="A43" t="s">
        <v>339</v>
      </c>
      <c r="B43" s="138" t="str">
        <f>IF('Aud Quest 2'!B40="x","Yes",IF('Aud Quest 2'!B40&lt;&gt;"x","0"))</f>
        <v>0</v>
      </c>
    </row>
    <row r="44" spans="1:2" x14ac:dyDescent="0.2">
      <c r="A44" s="1" t="s">
        <v>340</v>
      </c>
      <c r="B44" s="138" t="str">
        <f>IF('Aud Quest 2'!B42="x","Yes",IF('Aud Quest 2'!B42&lt;&gt;"x","0"))</f>
        <v>0</v>
      </c>
    </row>
    <row r="45" spans="1:2" x14ac:dyDescent="0.2">
      <c r="A45" t="s">
        <v>341</v>
      </c>
      <c r="B45" s="138" t="str">
        <f>IF('Aud Quest 2'!B44="x","Yes",IF('Aud Quest 2'!B44&lt;&gt;"x","0"))</f>
        <v>0</v>
      </c>
    </row>
    <row r="46" spans="1:2" x14ac:dyDescent="0.2">
      <c r="A46" t="s">
        <v>342</v>
      </c>
      <c r="B46" s="138" t="str">
        <f>IF('Aud Quest 2'!B49="x","Yes",IF('Aud Quest 2'!B49&lt;&gt;"x","0"))</f>
        <v>0</v>
      </c>
    </row>
    <row r="47" spans="1:2" x14ac:dyDescent="0.2">
      <c r="A47" t="s">
        <v>343</v>
      </c>
      <c r="B47" s="138" t="str">
        <f>IF('Aud Quest 2'!B50="x","Yes",IF('Aud Quest 2'!B50&lt;&gt;"x","0"))</f>
        <v>0</v>
      </c>
    </row>
    <row r="48" spans="1:2" x14ac:dyDescent="0.2">
      <c r="A48" t="s">
        <v>503</v>
      </c>
      <c r="B48" s="138" t="str">
        <f>IF('Aud Quest 2'!B51="x","Yes",IF('Aud Quest 2'!B51&lt;&gt;"x","0"))</f>
        <v>0</v>
      </c>
    </row>
    <row r="49" spans="1:4" x14ac:dyDescent="0.2">
      <c r="A49" s="1" t="s">
        <v>1559</v>
      </c>
      <c r="B49" s="138" t="str">
        <f>IF('Aud Quest 2'!B53="x","Yes",IF('Aud Quest 2'!B53&lt;&gt;"x","0"))</f>
        <v>0</v>
      </c>
    </row>
    <row r="50" spans="1:4" x14ac:dyDescent="0.2">
      <c r="A50" s="1" t="s">
        <v>1558</v>
      </c>
      <c r="B50" s="150">
        <f>'Aud Quest 2'!H53</f>
        <v>0</v>
      </c>
    </row>
    <row r="51" spans="1:4" x14ac:dyDescent="0.2">
      <c r="A51" s="1" t="s">
        <v>1560</v>
      </c>
      <c r="B51" s="138" t="str">
        <f>IF('Aud Quest 2'!B54="x","Yes",IF('Aud Quest 2'!B54&lt;&gt;"x","0"))</f>
        <v>0</v>
      </c>
    </row>
    <row r="52" spans="1:4" x14ac:dyDescent="0.2">
      <c r="A52" t="s">
        <v>346</v>
      </c>
      <c r="B52" s="138">
        <f>('Aud Quest 2'!D56)</f>
        <v>0</v>
      </c>
    </row>
    <row r="53" spans="1:4" x14ac:dyDescent="0.2">
      <c r="A53" s="1" t="s">
        <v>347</v>
      </c>
      <c r="B53" s="138">
        <f>IF('FP Info 3'!B44="X","Yes",0)</f>
        <v>0</v>
      </c>
    </row>
    <row r="54" spans="1:4" x14ac:dyDescent="0.2">
      <c r="A54" t="s">
        <v>348</v>
      </c>
      <c r="B54" s="138">
        <f>IF('FP Info 3'!B45="X","Yes",0)</f>
        <v>0</v>
      </c>
    </row>
    <row r="55" spans="1:4" x14ac:dyDescent="0.2">
      <c r="A55" t="s">
        <v>349</v>
      </c>
      <c r="B55" s="138">
        <f>IF('FP Info 3'!B46="X","Yes",0)</f>
        <v>0</v>
      </c>
    </row>
    <row r="56" spans="1:4" x14ac:dyDescent="0.2">
      <c r="A56" t="s">
        <v>350</v>
      </c>
      <c r="B56" s="138">
        <f>IF('FP Info 3'!B47="X","Yes",0)</f>
        <v>0</v>
      </c>
    </row>
    <row r="57" spans="1:4" x14ac:dyDescent="0.2">
      <c r="A57" t="s">
        <v>351</v>
      </c>
      <c r="B57" s="138">
        <f>IF('FP Info 3'!B48="X","Yes",0)</f>
        <v>0</v>
      </c>
    </row>
    <row r="58" spans="1:4" x14ac:dyDescent="0.2">
      <c r="A58" t="s">
        <v>352</v>
      </c>
      <c r="B58" s="138">
        <f>IF('FP Info 3'!B49="X","Yes",0)</f>
        <v>0</v>
      </c>
    </row>
    <row r="59" spans="1:4" x14ac:dyDescent="0.2">
      <c r="A59" t="s">
        <v>353</v>
      </c>
      <c r="B59" s="138">
        <f>IF('FP Info 3'!B50="X","Yes",0)</f>
        <v>0</v>
      </c>
    </row>
    <row r="60" spans="1:4" x14ac:dyDescent="0.2">
      <c r="A60" t="s">
        <v>354</v>
      </c>
      <c r="B60" s="138">
        <f>IF('FP Info 3'!B51="X","Yes",0)</f>
        <v>0</v>
      </c>
    </row>
    <row r="61" spans="1:4" x14ac:dyDescent="0.2">
      <c r="A61" t="s">
        <v>355</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3904100</v>
      </c>
      <c r="C77" s="2" t="s">
        <v>593</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175070</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252852</v>
      </c>
      <c r="C91" s="2" t="s">
        <v>593</v>
      </c>
      <c r="D91" s="2" t="str">
        <f t="shared" si="0"/>
        <v>Error?</v>
      </c>
    </row>
    <row r="92" spans="1:4" x14ac:dyDescent="0.2">
      <c r="A92" s="5">
        <v>31</v>
      </c>
      <c r="B92" s="138">
        <f>'Assets-Liab 5-6'!C39</f>
        <v>3651248</v>
      </c>
      <c r="D92" s="2" t="str">
        <f t="shared" si="0"/>
        <v>Error?</v>
      </c>
    </row>
    <row r="93" spans="1:4" x14ac:dyDescent="0.2">
      <c r="A93" s="5">
        <v>32</v>
      </c>
      <c r="B93" s="138">
        <f>'Assets-Liab 5-6'!C41</f>
        <v>3904100</v>
      </c>
      <c r="C93" s="2" t="s">
        <v>593</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303624</v>
      </c>
      <c r="C109" s="2" t="s">
        <v>593</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593</v>
      </c>
      <c r="D122" s="2" t="str">
        <f t="shared" si="0"/>
        <v>Error?</v>
      </c>
    </row>
    <row r="123" spans="1:4" x14ac:dyDescent="0.2">
      <c r="A123" s="5">
        <v>62</v>
      </c>
      <c r="B123" s="138">
        <f>'Assets-Liab 5-6'!D39</f>
        <v>303624</v>
      </c>
      <c r="D123" s="2" t="str">
        <f t="shared" si="0"/>
        <v>Error?</v>
      </c>
    </row>
    <row r="124" spans="1:4" x14ac:dyDescent="0.2">
      <c r="A124" s="5">
        <v>63</v>
      </c>
      <c r="B124" s="138">
        <f>'Assets-Liab 5-6'!D41</f>
        <v>303624</v>
      </c>
      <c r="C124" s="2" t="s">
        <v>593</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595099</v>
      </c>
      <c r="D129" s="2" t="str">
        <f t="shared" si="1"/>
        <v>Error?</v>
      </c>
    </row>
    <row r="130" spans="1:4" x14ac:dyDescent="0.2">
      <c r="A130" s="5">
        <v>69</v>
      </c>
      <c r="B130" s="138">
        <f>'Assets-Liab 5-6'!E12</f>
        <v>0</v>
      </c>
      <c r="D130" s="2" t="str">
        <f t="shared" si="1"/>
        <v>Error?</v>
      </c>
    </row>
    <row r="131" spans="1:4" x14ac:dyDescent="0.2">
      <c r="A131" s="5">
        <v>70</v>
      </c>
      <c r="B131" s="138">
        <f>'Assets-Liab 5-6'!E13</f>
        <v>856948</v>
      </c>
      <c r="C131" s="2" t="s">
        <v>593</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593</v>
      </c>
      <c r="D139" s="2" t="str">
        <f t="shared" si="1"/>
        <v>Error?</v>
      </c>
    </row>
    <row r="140" spans="1:4" x14ac:dyDescent="0.2">
      <c r="A140" s="5">
        <v>79</v>
      </c>
      <c r="B140" s="138">
        <f>'Assets-Liab 5-6'!E39</f>
        <v>856948</v>
      </c>
      <c r="D140" s="2" t="str">
        <f t="shared" si="1"/>
        <v>Error?</v>
      </c>
    </row>
    <row r="141" spans="1:4" x14ac:dyDescent="0.2">
      <c r="A141" s="5">
        <v>80</v>
      </c>
      <c r="B141" s="138">
        <f>'Assets-Liab 5-6'!E41</f>
        <v>856948</v>
      </c>
      <c r="C141" s="2" t="s">
        <v>593</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1293431</v>
      </c>
      <c r="C157" s="2" t="s">
        <v>593</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593</v>
      </c>
      <c r="D169" s="2" t="str">
        <f t="shared" si="1"/>
        <v>Error?</v>
      </c>
    </row>
    <row r="170" spans="1:4" x14ac:dyDescent="0.2">
      <c r="A170" s="5">
        <v>109</v>
      </c>
      <c r="B170" s="138">
        <f>'Assets-Liab 5-6'!F39</f>
        <v>1293431</v>
      </c>
      <c r="D170" s="2" t="str">
        <f t="shared" si="1"/>
        <v>Error?</v>
      </c>
    </row>
    <row r="171" spans="1:4" x14ac:dyDescent="0.2">
      <c r="A171" s="5">
        <v>110</v>
      </c>
      <c r="B171" s="138">
        <f>'Assets-Liab 5-6'!F41</f>
        <v>1293431</v>
      </c>
      <c r="C171" s="2" t="s">
        <v>593</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1650344</v>
      </c>
      <c r="C180" s="2" t="s">
        <v>593</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593</v>
      </c>
      <c r="D188" s="2" t="str">
        <f t="shared" si="1"/>
        <v>Error?</v>
      </c>
    </row>
    <row r="189" spans="1:4" x14ac:dyDescent="0.2">
      <c r="A189" s="5">
        <v>128</v>
      </c>
      <c r="B189" s="138">
        <f>'Assets-Liab 5-6'!G39</f>
        <v>1650344</v>
      </c>
      <c r="D189" s="2" t="str">
        <f t="shared" si="1"/>
        <v>Error?</v>
      </c>
    </row>
    <row r="190" spans="1:4" x14ac:dyDescent="0.2">
      <c r="A190" s="5">
        <v>129</v>
      </c>
      <c r="B190" s="138">
        <f>'Assets-Liab 5-6'!G41</f>
        <v>1650344</v>
      </c>
      <c r="C190" s="2" t="s">
        <v>593</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6365950</v>
      </c>
      <c r="C203" s="2" t="s">
        <v>593</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593</v>
      </c>
      <c r="D211" s="2" t="str">
        <f t="shared" si="2"/>
        <v>Error?</v>
      </c>
    </row>
    <row r="212" spans="1:4" x14ac:dyDescent="0.2">
      <c r="A212" s="5">
        <v>151</v>
      </c>
      <c r="B212" s="138">
        <f>'Assets-Liab 5-6'!H39</f>
        <v>1264072</v>
      </c>
      <c r="D212" s="2" t="str">
        <f t="shared" si="2"/>
        <v>Error?</v>
      </c>
    </row>
    <row r="213" spans="1:4" x14ac:dyDescent="0.2">
      <c r="A213" s="12">
        <v>152</v>
      </c>
      <c r="B213" s="138">
        <f>'Assets-Liab 5-6'!H41</f>
        <v>6365950</v>
      </c>
      <c r="C213" s="2" t="s">
        <v>593</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593</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593</v>
      </c>
      <c r="D247" s="2" t="str">
        <f t="shared" si="2"/>
        <v>OK</v>
      </c>
    </row>
    <row r="248" spans="1:4" x14ac:dyDescent="0.2">
      <c r="A248" s="10">
        <v>187</v>
      </c>
      <c r="D248" s="2" t="str">
        <f t="shared" si="2"/>
        <v>OK</v>
      </c>
    </row>
    <row r="249" spans="1:4" x14ac:dyDescent="0.2">
      <c r="A249" s="10">
        <v>188</v>
      </c>
      <c r="C249" s="2" t="s">
        <v>593</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409131</v>
      </c>
      <c r="D273" s="2" t="str">
        <f t="shared" si="3"/>
        <v>Error?</v>
      </c>
    </row>
    <row r="274" spans="1:4" x14ac:dyDescent="0.2">
      <c r="A274" s="5">
        <v>213</v>
      </c>
      <c r="B274" s="138">
        <f>'Assets-Liab 5-6'!M17</f>
        <v>47369146</v>
      </c>
      <c r="D274" s="2" t="str">
        <f t="shared" si="3"/>
        <v>Error?</v>
      </c>
    </row>
    <row r="275" spans="1:4" x14ac:dyDescent="0.2">
      <c r="A275" s="5">
        <v>214</v>
      </c>
      <c r="B275" s="138">
        <f>'Assets-Liab 5-6'!M18</f>
        <v>1362339</v>
      </c>
      <c r="D275" s="2" t="str">
        <f t="shared" si="3"/>
        <v>Error?</v>
      </c>
    </row>
    <row r="276" spans="1:4" x14ac:dyDescent="0.2">
      <c r="A276" s="5">
        <v>215</v>
      </c>
      <c r="B276" s="138">
        <f>'Assets-Liab 5-6'!M19</f>
        <v>9513119</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60614455</v>
      </c>
      <c r="C279" s="2" t="s">
        <v>593</v>
      </c>
      <c r="D279" s="2" t="str">
        <f t="shared" si="3"/>
        <v>Error?</v>
      </c>
    </row>
    <row r="280" spans="1:4" x14ac:dyDescent="0.2">
      <c r="A280" s="5">
        <v>219</v>
      </c>
      <c r="B280" s="138">
        <f>'Assets-Liab 5-6'!M40</f>
        <v>60614455</v>
      </c>
      <c r="D280" s="2" t="str">
        <f t="shared" si="3"/>
        <v>Error?</v>
      </c>
    </row>
    <row r="281" spans="1:4" x14ac:dyDescent="0.2">
      <c r="A281" s="5">
        <v>220</v>
      </c>
      <c r="B281" s="138">
        <f>'Assets-Liab 5-6'!M41</f>
        <v>60614455</v>
      </c>
      <c r="C281" s="2" t="s">
        <v>593</v>
      </c>
      <c r="D281" s="2" t="str">
        <f t="shared" si="3"/>
        <v>Error?</v>
      </c>
    </row>
    <row r="282" spans="1:4" x14ac:dyDescent="0.2">
      <c r="A282" s="5">
        <v>221</v>
      </c>
      <c r="B282" s="138">
        <f>'Assets-Liab 5-6'!N21</f>
        <v>856948</v>
      </c>
      <c r="D282" s="2" t="str">
        <f t="shared" si="3"/>
        <v>Error?</v>
      </c>
    </row>
    <row r="283" spans="1:4" x14ac:dyDescent="0.2">
      <c r="A283" s="5">
        <v>222</v>
      </c>
      <c r="B283" s="138">
        <f>'Assets-Liab 5-6'!N22</f>
        <v>25421749</v>
      </c>
      <c r="D283" s="2" t="str">
        <f t="shared" si="3"/>
        <v>Error?</v>
      </c>
    </row>
    <row r="284" spans="1:4" x14ac:dyDescent="0.2">
      <c r="A284" s="5">
        <v>223</v>
      </c>
      <c r="B284" s="138">
        <f>'Assets-Liab 5-6'!N23</f>
        <v>26278697</v>
      </c>
      <c r="C284" s="2" t="s">
        <v>593</v>
      </c>
      <c r="D284" s="2" t="str">
        <f t="shared" si="3"/>
        <v>Error?</v>
      </c>
    </row>
    <row r="285" spans="1:4" x14ac:dyDescent="0.2">
      <c r="A285" s="5">
        <v>224</v>
      </c>
      <c r="B285" s="138">
        <f>'Assets-Liab 5-6'!N36</f>
        <v>26278697</v>
      </c>
      <c r="D285" s="2" t="str">
        <f t="shared" si="3"/>
        <v>Error?</v>
      </c>
    </row>
    <row r="286" spans="1:4" x14ac:dyDescent="0.2">
      <c r="A286" s="10">
        <v>225</v>
      </c>
      <c r="D286" s="2" t="str">
        <f t="shared" si="3"/>
        <v>OK</v>
      </c>
    </row>
    <row r="287" spans="1:4" x14ac:dyDescent="0.2">
      <c r="A287" s="5">
        <v>226</v>
      </c>
      <c r="B287" s="138">
        <f>'Assets-Liab 5-6'!N37</f>
        <v>26278697</v>
      </c>
      <c r="C287" s="2" t="s">
        <v>593</v>
      </c>
      <c r="D287" s="2" t="str">
        <f t="shared" si="3"/>
        <v>Error?</v>
      </c>
    </row>
    <row r="288" spans="1:4" x14ac:dyDescent="0.2">
      <c r="A288" s="5">
        <v>227</v>
      </c>
      <c r="B288" s="138">
        <f>'Assets-Liab 5-6'!N41</f>
        <v>26278697</v>
      </c>
      <c r="C288" s="2" t="s">
        <v>593</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5790000</v>
      </c>
      <c r="D618" s="2" t="str">
        <f t="shared" si="8"/>
        <v>Error?</v>
      </c>
    </row>
    <row r="619" spans="1:4" x14ac:dyDescent="0.2">
      <c r="A619" s="5">
        <v>558</v>
      </c>
      <c r="B619" s="138">
        <f>'Acct Summary 7-8'!H34</f>
        <v>496261</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6234454</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467936</v>
      </c>
      <c r="D717" s="2" t="str">
        <f t="shared" si="10"/>
        <v>Error?</v>
      </c>
    </row>
    <row r="718" spans="1:4" x14ac:dyDescent="0.2">
      <c r="A718" s="5">
        <v>657</v>
      </c>
      <c r="B718" s="138">
        <f>'Expenditures 15-22'!C14</f>
        <v>267904</v>
      </c>
      <c r="D718" s="2" t="str">
        <f t="shared" si="10"/>
        <v>Error?</v>
      </c>
    </row>
    <row r="719" spans="1:4" x14ac:dyDescent="0.2">
      <c r="A719" s="5">
        <v>658</v>
      </c>
      <c r="B719" s="138">
        <f>'Expenditures 15-22'!C15</f>
        <v>6674</v>
      </c>
      <c r="D719" s="2" t="str">
        <f t="shared" si="10"/>
        <v>Error?</v>
      </c>
    </row>
    <row r="720" spans="1:4" x14ac:dyDescent="0.2">
      <c r="A720" s="5">
        <v>659</v>
      </c>
      <c r="B720" s="138">
        <f>'Expenditures 15-22'!C33</f>
        <v>9881066</v>
      </c>
      <c r="C720" s="2" t="s">
        <v>593</v>
      </c>
      <c r="D720" s="2" t="str">
        <f t="shared" si="10"/>
        <v>Error?</v>
      </c>
    </row>
    <row r="721" spans="1:4" x14ac:dyDescent="0.2">
      <c r="A721" s="5">
        <v>660</v>
      </c>
      <c r="B721" s="138">
        <f>'Expenditures 15-22'!C36</f>
        <v>52818</v>
      </c>
      <c r="D721" s="2" t="str">
        <f t="shared" si="10"/>
        <v>Error?</v>
      </c>
    </row>
    <row r="722" spans="1:4" x14ac:dyDescent="0.2">
      <c r="A722" s="5">
        <v>661</v>
      </c>
      <c r="B722" s="138">
        <f>'Expenditures 15-22'!C37</f>
        <v>279172</v>
      </c>
      <c r="D722" s="2" t="str">
        <f t="shared" si="10"/>
        <v>Error?</v>
      </c>
    </row>
    <row r="723" spans="1:4" x14ac:dyDescent="0.2">
      <c r="A723" s="5">
        <v>662</v>
      </c>
      <c r="B723" s="138">
        <f>'Expenditures 15-22'!C38</f>
        <v>88986</v>
      </c>
      <c r="D723" s="2" t="str">
        <f t="shared" si="10"/>
        <v>Error?</v>
      </c>
    </row>
    <row r="724" spans="1:4" x14ac:dyDescent="0.2">
      <c r="A724" s="5">
        <v>663</v>
      </c>
      <c r="B724" s="138">
        <f>'Expenditures 15-22'!C39</f>
        <v>130482</v>
      </c>
      <c r="D724" s="2" t="str">
        <f t="shared" si="10"/>
        <v>Error?</v>
      </c>
    </row>
    <row r="725" spans="1:4" x14ac:dyDescent="0.2">
      <c r="A725" s="5">
        <v>664</v>
      </c>
      <c r="B725" s="138">
        <f>'Expenditures 15-22'!C40</f>
        <v>0</v>
      </c>
      <c r="D725" s="2" t="str">
        <f t="shared" si="10"/>
        <v>Error?</v>
      </c>
    </row>
    <row r="726" spans="1:4" x14ac:dyDescent="0.2">
      <c r="A726" s="5">
        <v>665</v>
      </c>
      <c r="B726" s="138">
        <f>'Expenditures 15-22'!C41</f>
        <v>50015</v>
      </c>
      <c r="D726" s="2" t="str">
        <f t="shared" si="10"/>
        <v>Error?</v>
      </c>
    </row>
    <row r="727" spans="1:4" x14ac:dyDescent="0.2">
      <c r="A727" s="5">
        <v>666</v>
      </c>
      <c r="B727" s="138">
        <f>'Expenditures 15-22'!C42</f>
        <v>601473</v>
      </c>
      <c r="C727" s="2" t="s">
        <v>593</v>
      </c>
      <c r="D727" s="2" t="str">
        <f t="shared" si="10"/>
        <v>Error?</v>
      </c>
    </row>
    <row r="728" spans="1:4" x14ac:dyDescent="0.2">
      <c r="A728" s="5">
        <v>667</v>
      </c>
      <c r="B728" s="138">
        <f>'Expenditures 15-22'!C44</f>
        <v>87200</v>
      </c>
      <c r="D728" s="2" t="str">
        <f t="shared" si="10"/>
        <v>Error?</v>
      </c>
    </row>
    <row r="729" spans="1:4" x14ac:dyDescent="0.2">
      <c r="A729" s="5">
        <v>668</v>
      </c>
      <c r="B729" s="138">
        <f>'Expenditures 15-22'!C45</f>
        <v>139216</v>
      </c>
      <c r="D729" s="2" t="str">
        <f t="shared" si="10"/>
        <v>Error?</v>
      </c>
    </row>
    <row r="730" spans="1:4" x14ac:dyDescent="0.2">
      <c r="A730" s="5">
        <v>669</v>
      </c>
      <c r="B730" s="138">
        <f>'Expenditures 15-22'!C46</f>
        <v>0</v>
      </c>
      <c r="D730" s="2" t="str">
        <f t="shared" si="10"/>
        <v>Error?</v>
      </c>
    </row>
    <row r="731" spans="1:4" x14ac:dyDescent="0.2">
      <c r="A731" s="5">
        <v>670</v>
      </c>
      <c r="B731" s="138">
        <f>'Expenditures 15-22'!C47</f>
        <v>226416</v>
      </c>
      <c r="C731" s="2" t="s">
        <v>593</v>
      </c>
      <c r="D731" s="2" t="str">
        <f t="shared" si="10"/>
        <v>Error?</v>
      </c>
    </row>
    <row r="732" spans="1:4" x14ac:dyDescent="0.2">
      <c r="A732" s="5">
        <v>671</v>
      </c>
      <c r="B732" s="138">
        <f>'Expenditures 15-22'!C49</f>
        <v>0</v>
      </c>
      <c r="D732" s="2" t="str">
        <f t="shared" si="10"/>
        <v>Error?</v>
      </c>
    </row>
    <row r="733" spans="1:4" x14ac:dyDescent="0.2">
      <c r="A733" s="5">
        <v>672</v>
      </c>
      <c r="B733" s="138">
        <f>'Expenditures 15-22'!C50</f>
        <v>181258</v>
      </c>
      <c r="D733" s="2" t="str">
        <f t="shared" si="10"/>
        <v>Error?</v>
      </c>
    </row>
    <row r="734" spans="1:4" x14ac:dyDescent="0.2">
      <c r="A734" s="5">
        <v>673</v>
      </c>
      <c r="B734" s="138">
        <f>'Expenditures 15-22'!C53</f>
        <v>216365</v>
      </c>
      <c r="C734" s="2" t="s">
        <v>593</v>
      </c>
      <c r="D734" s="2" t="str">
        <f t="shared" si="10"/>
        <v>Error?</v>
      </c>
    </row>
    <row r="735" spans="1:4" x14ac:dyDescent="0.2">
      <c r="A735" s="5">
        <v>674</v>
      </c>
      <c r="B735" s="138">
        <f>'Expenditures 15-22'!C55</f>
        <v>776405</v>
      </c>
      <c r="D735" s="2" t="str">
        <f t="shared" si="10"/>
        <v>Error?</v>
      </c>
    </row>
    <row r="736" spans="1:4" x14ac:dyDescent="0.2">
      <c r="A736" s="5">
        <v>675</v>
      </c>
      <c r="B736" s="138">
        <f>'Expenditures 15-22'!C56</f>
        <v>0</v>
      </c>
      <c r="D736" s="2" t="str">
        <f t="shared" si="10"/>
        <v>Error?</v>
      </c>
    </row>
    <row r="737" spans="1:4" x14ac:dyDescent="0.2">
      <c r="A737" s="5">
        <v>676</v>
      </c>
      <c r="B737" s="138">
        <f>'Expenditures 15-22'!C57</f>
        <v>776405</v>
      </c>
      <c r="C737" s="2" t="s">
        <v>593</v>
      </c>
      <c r="D737" s="2" t="str">
        <f t="shared" si="10"/>
        <v>Error?</v>
      </c>
    </row>
    <row r="738" spans="1:4" x14ac:dyDescent="0.2">
      <c r="A738" s="5">
        <v>677</v>
      </c>
      <c r="B738" s="138">
        <f>'Expenditures 15-22'!C59</f>
        <v>0</v>
      </c>
      <c r="D738" s="2" t="str">
        <f t="shared" si="10"/>
        <v>Error?</v>
      </c>
    </row>
    <row r="739" spans="1:4" x14ac:dyDescent="0.2">
      <c r="A739" s="5">
        <v>678</v>
      </c>
      <c r="B739" s="138">
        <f>'Expenditures 15-22'!C60</f>
        <v>201532</v>
      </c>
      <c r="D739" s="2" t="str">
        <f t="shared" si="10"/>
        <v>Error?</v>
      </c>
    </row>
    <row r="740" spans="1:4" x14ac:dyDescent="0.2">
      <c r="A740" s="5">
        <v>679</v>
      </c>
      <c r="B740" s="138">
        <f>'Expenditures 15-22'!C61</f>
        <v>0</v>
      </c>
      <c r="D740" s="2" t="str">
        <f t="shared" si="10"/>
        <v>Error?</v>
      </c>
    </row>
    <row r="741" spans="1:4" x14ac:dyDescent="0.2">
      <c r="A741" s="5">
        <v>680</v>
      </c>
      <c r="B741" s="138">
        <f>'Expenditures 15-22'!C62</f>
        <v>196755</v>
      </c>
      <c r="D741" s="2" t="str">
        <f t="shared" si="10"/>
        <v>Error?</v>
      </c>
    </row>
    <row r="742" spans="1:4" x14ac:dyDescent="0.2">
      <c r="A742" s="5">
        <v>681</v>
      </c>
      <c r="B742" s="138">
        <f>'Expenditures 15-22'!C63</f>
        <v>424356</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822643</v>
      </c>
      <c r="C745" s="2" t="s">
        <v>593</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317978</v>
      </c>
      <c r="D751" s="2" t="str">
        <f t="shared" si="10"/>
        <v>Error?</v>
      </c>
    </row>
    <row r="752" spans="1:4" x14ac:dyDescent="0.2">
      <c r="A752" s="10">
        <v>691</v>
      </c>
      <c r="D752" s="2" t="str">
        <f t="shared" si="10"/>
        <v>OK</v>
      </c>
    </row>
    <row r="753" spans="1:4" x14ac:dyDescent="0.2">
      <c r="A753" s="5">
        <v>692</v>
      </c>
      <c r="B753" s="138">
        <f>'Expenditures 15-22'!C72</f>
        <v>317978</v>
      </c>
      <c r="C753" s="2" t="s">
        <v>593</v>
      </c>
      <c r="D753" s="2" t="str">
        <f t="shared" si="10"/>
        <v>Error?</v>
      </c>
    </row>
    <row r="754" spans="1:4" x14ac:dyDescent="0.2">
      <c r="A754" s="5">
        <v>693</v>
      </c>
      <c r="B754" s="138">
        <f>'Expenditures 15-22'!C73</f>
        <v>0</v>
      </c>
      <c r="D754" s="2" t="str">
        <f t="shared" si="10"/>
        <v>Error?</v>
      </c>
    </row>
    <row r="755" spans="1:4" x14ac:dyDescent="0.2">
      <c r="A755" s="5">
        <v>694</v>
      </c>
      <c r="B755" s="138">
        <f>'Expenditures 15-22'!C74</f>
        <v>2961280</v>
      </c>
      <c r="C755" s="2" t="s">
        <v>593</v>
      </c>
      <c r="D755" s="2" t="str">
        <f t="shared" si="10"/>
        <v>Error?</v>
      </c>
    </row>
    <row r="756" spans="1:4" x14ac:dyDescent="0.2">
      <c r="A756" s="5">
        <v>695</v>
      </c>
      <c r="B756" s="138">
        <f>'Expenditures 15-22'!C75</f>
        <v>113576</v>
      </c>
      <c r="D756" s="2" t="str">
        <f t="shared" si="10"/>
        <v>Error?</v>
      </c>
    </row>
    <row r="757" spans="1:4" x14ac:dyDescent="0.2">
      <c r="A757" s="5">
        <v>696</v>
      </c>
      <c r="B757" s="138">
        <f>'Expenditures 15-22'!C114</f>
        <v>12955922</v>
      </c>
      <c r="C757" s="2" t="s">
        <v>593</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576949</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52838</v>
      </c>
      <c r="D775" s="2" t="str">
        <f t="shared" si="11"/>
        <v>Error?</v>
      </c>
    </row>
    <row r="776" spans="1:4" x14ac:dyDescent="0.2">
      <c r="A776" s="5">
        <v>715</v>
      </c>
      <c r="B776" s="138">
        <f>'Expenditures 15-22'!D14</f>
        <v>5959</v>
      </c>
      <c r="D776" s="2" t="str">
        <f t="shared" si="11"/>
        <v>Error?</v>
      </c>
    </row>
    <row r="777" spans="1:4" x14ac:dyDescent="0.2">
      <c r="A777" s="5">
        <v>716</v>
      </c>
      <c r="B777" s="138">
        <f>'Expenditures 15-22'!D15</f>
        <v>96</v>
      </c>
      <c r="D777" s="2" t="str">
        <f t="shared" si="11"/>
        <v>Error?</v>
      </c>
    </row>
    <row r="778" spans="1:4" x14ac:dyDescent="0.2">
      <c r="A778" s="5">
        <v>717</v>
      </c>
      <c r="B778" s="138">
        <f>'Expenditures 15-22'!D33</f>
        <v>967026</v>
      </c>
      <c r="C778" s="2" t="s">
        <v>593</v>
      </c>
      <c r="D778" s="2" t="str">
        <f t="shared" si="11"/>
        <v>Error?</v>
      </c>
    </row>
    <row r="779" spans="1:4" x14ac:dyDescent="0.2">
      <c r="A779" s="5">
        <v>718</v>
      </c>
      <c r="B779" s="138">
        <f>'Expenditures 15-22'!D36</f>
        <v>6087</v>
      </c>
      <c r="D779" s="2" t="str">
        <f t="shared" si="11"/>
        <v>Error?</v>
      </c>
    </row>
    <row r="780" spans="1:4" x14ac:dyDescent="0.2">
      <c r="A780" s="5">
        <v>719</v>
      </c>
      <c r="B780" s="138">
        <f>'Expenditures 15-22'!D37</f>
        <v>38265</v>
      </c>
      <c r="D780" s="2" t="str">
        <f t="shared" si="11"/>
        <v>Error?</v>
      </c>
    </row>
    <row r="781" spans="1:4" x14ac:dyDescent="0.2">
      <c r="A781" s="5">
        <v>720</v>
      </c>
      <c r="B781" s="138">
        <f>'Expenditures 15-22'!D38</f>
        <v>9010</v>
      </c>
      <c r="D781" s="2" t="str">
        <f t="shared" si="11"/>
        <v>Error?</v>
      </c>
    </row>
    <row r="782" spans="1:4" x14ac:dyDescent="0.2">
      <c r="A782" s="5">
        <v>721</v>
      </c>
      <c r="B782" s="138">
        <f>'Expenditures 15-22'!D39</f>
        <v>10624</v>
      </c>
      <c r="D782" s="2" t="str">
        <f t="shared" si="11"/>
        <v>Error?</v>
      </c>
    </row>
    <row r="783" spans="1:4" x14ac:dyDescent="0.2">
      <c r="A783" s="5">
        <v>722</v>
      </c>
      <c r="B783" s="138">
        <f>'Expenditures 15-22'!D40</f>
        <v>0</v>
      </c>
      <c r="D783" s="2" t="str">
        <f t="shared" si="11"/>
        <v>Error?</v>
      </c>
    </row>
    <row r="784" spans="1:4" x14ac:dyDescent="0.2">
      <c r="A784" s="5">
        <v>723</v>
      </c>
      <c r="B784" s="138">
        <f>'Expenditures 15-22'!D41</f>
        <v>8202</v>
      </c>
      <c r="D784" s="2" t="str">
        <f t="shared" si="11"/>
        <v>Error?</v>
      </c>
    </row>
    <row r="785" spans="1:4" x14ac:dyDescent="0.2">
      <c r="A785" s="5">
        <v>724</v>
      </c>
      <c r="B785" s="138">
        <f>'Expenditures 15-22'!D42</f>
        <v>72188</v>
      </c>
      <c r="C785" s="2" t="s">
        <v>593</v>
      </c>
      <c r="D785" s="2" t="str">
        <f t="shared" si="11"/>
        <v>Error?</v>
      </c>
    </row>
    <row r="786" spans="1:4" x14ac:dyDescent="0.2">
      <c r="A786" s="5">
        <v>725</v>
      </c>
      <c r="B786" s="138">
        <f>'Expenditures 15-22'!D44</f>
        <v>8005</v>
      </c>
      <c r="D786" s="2" t="str">
        <f t="shared" si="11"/>
        <v>Error?</v>
      </c>
    </row>
    <row r="787" spans="1:4" x14ac:dyDescent="0.2">
      <c r="A787" s="5">
        <v>726</v>
      </c>
      <c r="B787" s="138">
        <f>'Expenditures 15-22'!D45</f>
        <v>15805</v>
      </c>
      <c r="D787" s="2" t="str">
        <f t="shared" si="11"/>
        <v>Error?</v>
      </c>
    </row>
    <row r="788" spans="1:4" x14ac:dyDescent="0.2">
      <c r="A788" s="5">
        <v>727</v>
      </c>
      <c r="B788" s="138">
        <f>'Expenditures 15-22'!D46</f>
        <v>0</v>
      </c>
      <c r="D788" s="2" t="str">
        <f t="shared" si="11"/>
        <v>Error?</v>
      </c>
    </row>
    <row r="789" spans="1:4" x14ac:dyDescent="0.2">
      <c r="A789" s="5">
        <v>728</v>
      </c>
      <c r="B789" s="138">
        <f>'Expenditures 15-22'!D47</f>
        <v>23810</v>
      </c>
      <c r="C789" s="2" t="s">
        <v>593</v>
      </c>
      <c r="D789" s="2" t="str">
        <f t="shared" si="11"/>
        <v>Error?</v>
      </c>
    </row>
    <row r="790" spans="1:4" x14ac:dyDescent="0.2">
      <c r="A790" s="5">
        <v>729</v>
      </c>
      <c r="B790" s="138">
        <f>'Expenditures 15-22'!D49</f>
        <v>0</v>
      </c>
      <c r="D790" s="2" t="str">
        <f t="shared" si="11"/>
        <v>Error?</v>
      </c>
    </row>
    <row r="791" spans="1:4" x14ac:dyDescent="0.2">
      <c r="A791" s="5">
        <v>730</v>
      </c>
      <c r="B791" s="138">
        <f>'Expenditures 15-22'!D50</f>
        <v>18593</v>
      </c>
      <c r="D791" s="2" t="str">
        <f t="shared" si="11"/>
        <v>Error?</v>
      </c>
    </row>
    <row r="792" spans="1:4" x14ac:dyDescent="0.2">
      <c r="A792" s="5">
        <v>731</v>
      </c>
      <c r="B792" s="138">
        <f>'Expenditures 15-22'!D53</f>
        <v>18767</v>
      </c>
      <c r="C792" s="2" t="s">
        <v>593</v>
      </c>
      <c r="D792" s="2" t="str">
        <f t="shared" si="11"/>
        <v>Error?</v>
      </c>
    </row>
    <row r="793" spans="1:4" x14ac:dyDescent="0.2">
      <c r="A793" s="5">
        <v>732</v>
      </c>
      <c r="B793" s="138">
        <f>'Expenditures 15-22'!D55</f>
        <v>79573</v>
      </c>
      <c r="D793" s="2" t="str">
        <f t="shared" si="11"/>
        <v>Error?</v>
      </c>
    </row>
    <row r="794" spans="1:4" x14ac:dyDescent="0.2">
      <c r="A794" s="5">
        <v>733</v>
      </c>
      <c r="B794" s="138">
        <f>'Expenditures 15-22'!D56</f>
        <v>0</v>
      </c>
      <c r="D794" s="2" t="str">
        <f t="shared" si="11"/>
        <v>Error?</v>
      </c>
    </row>
    <row r="795" spans="1:4" x14ac:dyDescent="0.2">
      <c r="A795" s="5">
        <v>734</v>
      </c>
      <c r="B795" s="138">
        <f>'Expenditures 15-22'!D57</f>
        <v>79573</v>
      </c>
      <c r="C795" s="2" t="s">
        <v>593</v>
      </c>
      <c r="D795" s="2" t="str">
        <f t="shared" si="11"/>
        <v>Error?</v>
      </c>
    </row>
    <row r="796" spans="1:4" x14ac:dyDescent="0.2">
      <c r="A796" s="5">
        <v>735</v>
      </c>
      <c r="B796" s="138">
        <f>'Expenditures 15-22'!D59</f>
        <v>0</v>
      </c>
      <c r="D796" s="2" t="str">
        <f t="shared" si="11"/>
        <v>Error?</v>
      </c>
    </row>
    <row r="797" spans="1:4" x14ac:dyDescent="0.2">
      <c r="A797" s="5">
        <v>736</v>
      </c>
      <c r="B797" s="138">
        <f>'Expenditures 15-22'!D60</f>
        <v>22153</v>
      </c>
      <c r="D797" s="2" t="str">
        <f t="shared" si="11"/>
        <v>Error?</v>
      </c>
    </row>
    <row r="798" spans="1:4" x14ac:dyDescent="0.2">
      <c r="A798" s="5">
        <v>737</v>
      </c>
      <c r="B798" s="138">
        <f>'Expenditures 15-22'!D61</f>
        <v>0</v>
      </c>
      <c r="D798" s="2" t="str">
        <f t="shared" si="11"/>
        <v>Error?</v>
      </c>
    </row>
    <row r="799" spans="1:4" x14ac:dyDescent="0.2">
      <c r="A799" s="5">
        <v>738</v>
      </c>
      <c r="B799" s="138">
        <f>'Expenditures 15-22'!D62</f>
        <v>19839</v>
      </c>
      <c r="D799" s="2" t="str">
        <f t="shared" si="11"/>
        <v>Error?</v>
      </c>
    </row>
    <row r="800" spans="1:4" x14ac:dyDescent="0.2">
      <c r="A800" s="5">
        <v>739</v>
      </c>
      <c r="B800" s="138">
        <f>'Expenditures 15-22'!D63</f>
        <v>80034</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122026</v>
      </c>
      <c r="C803" s="2" t="s">
        <v>593</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36390</v>
      </c>
      <c r="D809" s="2" t="str">
        <f t="shared" si="11"/>
        <v>Error?</v>
      </c>
    </row>
    <row r="810" spans="1:4" x14ac:dyDescent="0.2">
      <c r="A810" s="10">
        <v>749</v>
      </c>
      <c r="D810" s="2" t="str">
        <f t="shared" si="11"/>
        <v>OK</v>
      </c>
    </row>
    <row r="811" spans="1:4" x14ac:dyDescent="0.2">
      <c r="A811" s="5">
        <v>750</v>
      </c>
      <c r="B811" s="138">
        <f>'Expenditures 15-22'!D72</f>
        <v>36390</v>
      </c>
      <c r="C811" s="2" t="s">
        <v>593</v>
      </c>
      <c r="D811" s="2" t="str">
        <f t="shared" si="11"/>
        <v>Error?</v>
      </c>
    </row>
    <row r="812" spans="1:4" x14ac:dyDescent="0.2">
      <c r="A812" s="5">
        <v>751</v>
      </c>
      <c r="B812" s="138">
        <f>'Expenditures 15-22'!D73</f>
        <v>0</v>
      </c>
      <c r="D812" s="2" t="str">
        <f t="shared" si="11"/>
        <v>Error?</v>
      </c>
    </row>
    <row r="813" spans="1:4" x14ac:dyDescent="0.2">
      <c r="A813" s="5">
        <v>752</v>
      </c>
      <c r="B813" s="138">
        <f>'Expenditures 15-22'!D74</f>
        <v>352754</v>
      </c>
      <c r="C813" s="2" t="s">
        <v>593</v>
      </c>
      <c r="D813" s="2" t="str">
        <f t="shared" si="11"/>
        <v>Error?</v>
      </c>
    </row>
    <row r="814" spans="1:4" x14ac:dyDescent="0.2">
      <c r="A814" s="5">
        <v>753</v>
      </c>
      <c r="B814" s="138">
        <f>'Expenditures 15-22'!D75</f>
        <v>19053</v>
      </c>
      <c r="D814" s="2" t="str">
        <f t="shared" si="11"/>
        <v>Error?</v>
      </c>
    </row>
    <row r="815" spans="1:4" x14ac:dyDescent="0.2">
      <c r="A815" s="5">
        <v>754</v>
      </c>
      <c r="B815" s="138">
        <f>'Expenditures 15-22'!D114</f>
        <v>1338833</v>
      </c>
      <c r="C815" s="2" t="s">
        <v>593</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46430</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2940</v>
      </c>
      <c r="D833" s="2" t="str">
        <f t="shared" si="12"/>
        <v>Error?</v>
      </c>
    </row>
    <row r="834" spans="1:4" x14ac:dyDescent="0.2">
      <c r="A834" s="5">
        <v>773</v>
      </c>
      <c r="B834" s="138">
        <f>'Expenditures 15-22'!E14</f>
        <v>32646</v>
      </c>
      <c r="D834" s="2" t="str">
        <f t="shared" si="12"/>
        <v>Error?</v>
      </c>
    </row>
    <row r="835" spans="1:4" x14ac:dyDescent="0.2">
      <c r="A835" s="5">
        <v>774</v>
      </c>
      <c r="B835" s="138">
        <f>'Expenditures 15-22'!E15</f>
        <v>0</v>
      </c>
      <c r="D835" s="2" t="str">
        <f t="shared" si="12"/>
        <v>Error?</v>
      </c>
    </row>
    <row r="836" spans="1:4" x14ac:dyDescent="0.2">
      <c r="A836" s="5">
        <v>775</v>
      </c>
      <c r="B836" s="138">
        <f>'Expenditures 15-22'!E33</f>
        <v>107025</v>
      </c>
      <c r="C836" s="2" t="s">
        <v>593</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994</v>
      </c>
      <c r="D839" s="2" t="str">
        <f t="shared" si="12"/>
        <v>Error?</v>
      </c>
    </row>
    <row r="840" spans="1:4" x14ac:dyDescent="0.2">
      <c r="A840" s="5">
        <v>779</v>
      </c>
      <c r="B840" s="138">
        <f>'Expenditures 15-22'!E39</f>
        <v>758</v>
      </c>
      <c r="D840" s="2" t="str">
        <f t="shared" si="12"/>
        <v>Error?</v>
      </c>
    </row>
    <row r="841" spans="1:4" x14ac:dyDescent="0.2">
      <c r="A841" s="5">
        <v>780</v>
      </c>
      <c r="B841" s="138">
        <f>'Expenditures 15-22'!E40</f>
        <v>0</v>
      </c>
      <c r="D841" s="2" t="str">
        <f t="shared" si="12"/>
        <v>Error?</v>
      </c>
    </row>
    <row r="842" spans="1:4" x14ac:dyDescent="0.2">
      <c r="A842" s="5">
        <v>781</v>
      </c>
      <c r="B842" s="138">
        <f>'Expenditures 15-22'!E41</f>
        <v>4695</v>
      </c>
      <c r="D842" s="2" t="str">
        <f t="shared" si="12"/>
        <v>Error?</v>
      </c>
    </row>
    <row r="843" spans="1:4" x14ac:dyDescent="0.2">
      <c r="A843" s="5">
        <v>782</v>
      </c>
      <c r="B843" s="138">
        <f>'Expenditures 15-22'!E42</f>
        <v>6447</v>
      </c>
      <c r="C843" s="2" t="s">
        <v>593</v>
      </c>
      <c r="D843" s="2" t="str">
        <f t="shared" si="12"/>
        <v>Error?</v>
      </c>
    </row>
    <row r="844" spans="1:4" x14ac:dyDescent="0.2">
      <c r="A844" s="5">
        <v>783</v>
      </c>
      <c r="B844" s="138">
        <f>'Expenditures 15-22'!E44</f>
        <v>79210</v>
      </c>
      <c r="D844" s="2" t="str">
        <f t="shared" si="12"/>
        <v>Error?</v>
      </c>
    </row>
    <row r="845" spans="1:4" x14ac:dyDescent="0.2">
      <c r="A845" s="5">
        <v>784</v>
      </c>
      <c r="B845" s="138">
        <f>'Expenditures 15-22'!E45</f>
        <v>696</v>
      </c>
      <c r="D845" s="2" t="str">
        <f t="shared" si="12"/>
        <v>Error?</v>
      </c>
    </row>
    <row r="846" spans="1:4" x14ac:dyDescent="0.2">
      <c r="A846" s="5">
        <v>785</v>
      </c>
      <c r="B846" s="138">
        <f>'Expenditures 15-22'!E46</f>
        <v>29334</v>
      </c>
      <c r="D846" s="2" t="str">
        <f t="shared" si="12"/>
        <v>Error?</v>
      </c>
    </row>
    <row r="847" spans="1:4" x14ac:dyDescent="0.2">
      <c r="A847" s="5">
        <v>786</v>
      </c>
      <c r="B847" s="138">
        <f>'Expenditures 15-22'!E47</f>
        <v>109240</v>
      </c>
      <c r="C847" s="2" t="s">
        <v>593</v>
      </c>
      <c r="D847" s="2" t="str">
        <f t="shared" si="12"/>
        <v>Error?</v>
      </c>
    </row>
    <row r="848" spans="1:4" x14ac:dyDescent="0.2">
      <c r="A848" s="5">
        <v>787</v>
      </c>
      <c r="B848" s="138">
        <f>'Expenditures 15-22'!E49</f>
        <v>55384</v>
      </c>
      <c r="D848" s="2" t="str">
        <f t="shared" si="12"/>
        <v>Error?</v>
      </c>
    </row>
    <row r="849" spans="1:4" x14ac:dyDescent="0.2">
      <c r="A849" s="5">
        <v>788</v>
      </c>
      <c r="B849" s="138">
        <f>'Expenditures 15-22'!E50</f>
        <v>15309</v>
      </c>
      <c r="D849" s="2" t="str">
        <f t="shared" si="12"/>
        <v>Error?</v>
      </c>
    </row>
    <row r="850" spans="1:4" x14ac:dyDescent="0.2">
      <c r="A850" s="5">
        <v>789</v>
      </c>
      <c r="B850" s="138">
        <f>'Expenditures 15-22'!E53</f>
        <v>72420</v>
      </c>
      <c r="C850" s="2" t="s">
        <v>593</v>
      </c>
      <c r="D850" s="2" t="str">
        <f t="shared" si="12"/>
        <v>Error?</v>
      </c>
    </row>
    <row r="851" spans="1:4" x14ac:dyDescent="0.2">
      <c r="A851" s="5">
        <v>790</v>
      </c>
      <c r="B851" s="138">
        <f>'Expenditures 15-22'!E55</f>
        <v>129701</v>
      </c>
      <c r="D851" s="2" t="str">
        <f t="shared" si="12"/>
        <v>Error?</v>
      </c>
    </row>
    <row r="852" spans="1:4" x14ac:dyDescent="0.2">
      <c r="A852" s="5">
        <v>791</v>
      </c>
      <c r="B852" s="138">
        <f>'Expenditures 15-22'!E56</f>
        <v>0</v>
      </c>
      <c r="D852" s="2" t="str">
        <f t="shared" si="12"/>
        <v>Error?</v>
      </c>
    </row>
    <row r="853" spans="1:4" x14ac:dyDescent="0.2">
      <c r="A853" s="5">
        <v>792</v>
      </c>
      <c r="B853" s="138">
        <f>'Expenditures 15-22'!E57</f>
        <v>129701</v>
      </c>
      <c r="C853" s="2" t="s">
        <v>593</v>
      </c>
      <c r="D853" s="2" t="str">
        <f t="shared" si="12"/>
        <v>Error?</v>
      </c>
    </row>
    <row r="854" spans="1:4" x14ac:dyDescent="0.2">
      <c r="A854" s="5">
        <v>793</v>
      </c>
      <c r="B854" s="138">
        <f>'Expenditures 15-22'!E59</f>
        <v>0</v>
      </c>
      <c r="D854" s="2" t="str">
        <f t="shared" si="12"/>
        <v>Error?</v>
      </c>
    </row>
    <row r="855" spans="1:4" x14ac:dyDescent="0.2">
      <c r="A855" s="5">
        <v>794</v>
      </c>
      <c r="B855" s="138">
        <f>'Expenditures 15-22'!E60</f>
        <v>33965</v>
      </c>
      <c r="D855" s="2" t="str">
        <f t="shared" si="12"/>
        <v>Error?</v>
      </c>
    </row>
    <row r="856" spans="1:4" x14ac:dyDescent="0.2">
      <c r="A856" s="5">
        <v>795</v>
      </c>
      <c r="B856" s="138">
        <f>'Expenditures 15-22'!E61</f>
        <v>40883</v>
      </c>
      <c r="D856" s="2" t="str">
        <f t="shared" si="12"/>
        <v>Error?</v>
      </c>
    </row>
    <row r="857" spans="1:4" x14ac:dyDescent="0.2">
      <c r="A857" s="5">
        <v>796</v>
      </c>
      <c r="B857" s="138">
        <f>'Expenditures 15-22'!E62</f>
        <v>0</v>
      </c>
      <c r="D857" s="2" t="str">
        <f t="shared" si="12"/>
        <v>Error?</v>
      </c>
    </row>
    <row r="858" spans="1:4" x14ac:dyDescent="0.2">
      <c r="A858" s="5">
        <v>797</v>
      </c>
      <c r="B858" s="138">
        <f>'Expenditures 15-22'!E63</f>
        <v>14941</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89789</v>
      </c>
      <c r="C861" s="2" t="s">
        <v>593</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546</v>
      </c>
      <c r="D867" s="2" t="str">
        <f t="shared" si="12"/>
        <v>Error?</v>
      </c>
    </row>
    <row r="868" spans="1:4" x14ac:dyDescent="0.2">
      <c r="A868" s="10">
        <v>807</v>
      </c>
      <c r="D868" s="2" t="str">
        <f t="shared" si="12"/>
        <v>OK</v>
      </c>
    </row>
    <row r="869" spans="1:4" x14ac:dyDescent="0.2">
      <c r="A869" s="5">
        <v>808</v>
      </c>
      <c r="B869" s="138">
        <f>'Expenditures 15-22'!E72</f>
        <v>546</v>
      </c>
      <c r="C869" s="2" t="s">
        <v>593</v>
      </c>
      <c r="D869" s="2" t="str">
        <f t="shared" si="12"/>
        <v>Error?</v>
      </c>
    </row>
    <row r="870" spans="1:4" x14ac:dyDescent="0.2">
      <c r="A870" s="5">
        <v>809</v>
      </c>
      <c r="B870" s="138">
        <f>'Expenditures 15-22'!E73</f>
        <v>200</v>
      </c>
      <c r="D870" s="2" t="str">
        <f t="shared" si="12"/>
        <v>Error?</v>
      </c>
    </row>
    <row r="871" spans="1:4" x14ac:dyDescent="0.2">
      <c r="A871" s="5">
        <v>810</v>
      </c>
      <c r="B871" s="138">
        <f>'Expenditures 15-22'!E74</f>
        <v>408343</v>
      </c>
      <c r="C871" s="2" t="s">
        <v>593</v>
      </c>
      <c r="D871" s="2" t="str">
        <f t="shared" si="12"/>
        <v>Error?</v>
      </c>
    </row>
    <row r="872" spans="1:4" x14ac:dyDescent="0.2">
      <c r="A872" s="5">
        <v>811</v>
      </c>
      <c r="B872" s="138">
        <f>'Expenditures 15-22'!E75</f>
        <v>24223</v>
      </c>
      <c r="D872" s="2" t="str">
        <f t="shared" si="12"/>
        <v>Error?</v>
      </c>
    </row>
    <row r="873" spans="1:4" x14ac:dyDescent="0.2">
      <c r="A873" s="5">
        <v>812</v>
      </c>
      <c r="B873" s="138">
        <f>'Expenditures 15-22'!E114</f>
        <v>544147</v>
      </c>
      <c r="C873" s="2" t="s">
        <v>593</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149845</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39662</v>
      </c>
      <c r="D891" s="2" t="str">
        <f t="shared" si="12"/>
        <v>Error?</v>
      </c>
    </row>
    <row r="892" spans="1:4" x14ac:dyDescent="0.2">
      <c r="A892" s="5">
        <v>831</v>
      </c>
      <c r="B892" s="138">
        <f>'Expenditures 15-22'!F14</f>
        <v>31722</v>
      </c>
      <c r="D892" s="2" t="str">
        <f t="shared" si="12"/>
        <v>Error?</v>
      </c>
    </row>
    <row r="893" spans="1:4" x14ac:dyDescent="0.2">
      <c r="A893" s="5">
        <v>832</v>
      </c>
      <c r="B893" s="138">
        <f>'Expenditures 15-22'!F15</f>
        <v>20</v>
      </c>
      <c r="D893" s="2" t="str">
        <f t="shared" si="12"/>
        <v>Error?</v>
      </c>
    </row>
    <row r="894" spans="1:4" x14ac:dyDescent="0.2">
      <c r="A894" s="5">
        <v>833</v>
      </c>
      <c r="B894" s="138">
        <f>'Expenditures 15-22'!F33</f>
        <v>295521</v>
      </c>
      <c r="C894" s="2" t="s">
        <v>593</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1209</v>
      </c>
      <c r="D896" s="2" t="str">
        <f t="shared" si="13"/>
        <v>Error?</v>
      </c>
    </row>
    <row r="897" spans="1:4" x14ac:dyDescent="0.2">
      <c r="A897" s="5">
        <v>836</v>
      </c>
      <c r="B897" s="138">
        <f>'Expenditures 15-22'!F38</f>
        <v>2387</v>
      </c>
      <c r="D897" s="2" t="str">
        <f t="shared" si="13"/>
        <v>Error?</v>
      </c>
    </row>
    <row r="898" spans="1:4" x14ac:dyDescent="0.2">
      <c r="A898" s="5">
        <v>837</v>
      </c>
      <c r="B898" s="138">
        <f>'Expenditures 15-22'!F39</f>
        <v>1382</v>
      </c>
      <c r="D898" s="2" t="str">
        <f t="shared" si="13"/>
        <v>Error?</v>
      </c>
    </row>
    <row r="899" spans="1:4" x14ac:dyDescent="0.2">
      <c r="A899" s="5">
        <v>838</v>
      </c>
      <c r="B899" s="138">
        <f>'Expenditures 15-22'!F40</f>
        <v>0</v>
      </c>
      <c r="D899" s="2" t="str">
        <f t="shared" si="13"/>
        <v>Error?</v>
      </c>
    </row>
    <row r="900" spans="1:4" x14ac:dyDescent="0.2">
      <c r="A900" s="5">
        <v>839</v>
      </c>
      <c r="B900" s="138">
        <f>'Expenditures 15-22'!F41</f>
        <v>7482</v>
      </c>
      <c r="D900" s="2" t="str">
        <f t="shared" si="13"/>
        <v>Error?</v>
      </c>
    </row>
    <row r="901" spans="1:4" x14ac:dyDescent="0.2">
      <c r="A901" s="5">
        <v>840</v>
      </c>
      <c r="B901" s="138">
        <f>'Expenditures 15-22'!F42</f>
        <v>12460</v>
      </c>
      <c r="C901" s="2" t="s">
        <v>593</v>
      </c>
      <c r="D901" s="2" t="str">
        <f t="shared" si="13"/>
        <v>Error?</v>
      </c>
    </row>
    <row r="902" spans="1:4" x14ac:dyDescent="0.2">
      <c r="A902" s="5">
        <v>841</v>
      </c>
      <c r="B902" s="138">
        <f>'Expenditures 15-22'!F44</f>
        <v>97169</v>
      </c>
      <c r="D902" s="2" t="str">
        <f t="shared" si="13"/>
        <v>Error?</v>
      </c>
    </row>
    <row r="903" spans="1:4" x14ac:dyDescent="0.2">
      <c r="A903" s="5">
        <v>842</v>
      </c>
      <c r="B903" s="138">
        <f>'Expenditures 15-22'!F45</f>
        <v>25662</v>
      </c>
      <c r="D903" s="2" t="str">
        <f t="shared" si="13"/>
        <v>Error?</v>
      </c>
    </row>
    <row r="904" spans="1:4" x14ac:dyDescent="0.2">
      <c r="A904" s="5">
        <v>843</v>
      </c>
      <c r="B904" s="138">
        <f>'Expenditures 15-22'!F46</f>
        <v>3418</v>
      </c>
      <c r="D904" s="2" t="str">
        <f t="shared" si="13"/>
        <v>Error?</v>
      </c>
    </row>
    <row r="905" spans="1:4" x14ac:dyDescent="0.2">
      <c r="A905" s="5">
        <v>844</v>
      </c>
      <c r="B905" s="138">
        <f>'Expenditures 15-22'!F47</f>
        <v>126249</v>
      </c>
      <c r="C905" s="2" t="s">
        <v>593</v>
      </c>
      <c r="D905" s="2" t="str">
        <f t="shared" si="13"/>
        <v>Error?</v>
      </c>
    </row>
    <row r="906" spans="1:4" x14ac:dyDescent="0.2">
      <c r="A906" s="5">
        <v>845</v>
      </c>
      <c r="B906" s="138">
        <f>'Expenditures 15-22'!F49</f>
        <v>923</v>
      </c>
      <c r="D906" s="2" t="str">
        <f t="shared" si="13"/>
        <v>Error?</v>
      </c>
    </row>
    <row r="907" spans="1:4" x14ac:dyDescent="0.2">
      <c r="A907" s="5">
        <v>846</v>
      </c>
      <c r="B907" s="138">
        <f>'Expenditures 15-22'!F50</f>
        <v>5581</v>
      </c>
      <c r="D907" s="2" t="str">
        <f t="shared" si="13"/>
        <v>Error?</v>
      </c>
    </row>
    <row r="908" spans="1:4" x14ac:dyDescent="0.2">
      <c r="A908" s="5">
        <v>847</v>
      </c>
      <c r="B908" s="138">
        <f>'Expenditures 15-22'!F53</f>
        <v>8126</v>
      </c>
      <c r="C908" s="2" t="s">
        <v>593</v>
      </c>
      <c r="D908" s="2" t="str">
        <f t="shared" si="13"/>
        <v>Error?</v>
      </c>
    </row>
    <row r="909" spans="1:4" x14ac:dyDescent="0.2">
      <c r="A909" s="5">
        <v>848</v>
      </c>
      <c r="B909" s="138">
        <f>'Expenditures 15-22'!F55</f>
        <v>3971</v>
      </c>
      <c r="D909" s="2" t="str">
        <f t="shared" si="13"/>
        <v>Error?</v>
      </c>
    </row>
    <row r="910" spans="1:4" x14ac:dyDescent="0.2">
      <c r="A910" s="5">
        <v>849</v>
      </c>
      <c r="B910" s="138">
        <f>'Expenditures 15-22'!F56</f>
        <v>0</v>
      </c>
      <c r="D910" s="2" t="str">
        <f t="shared" si="13"/>
        <v>Error?</v>
      </c>
    </row>
    <row r="911" spans="1:4" x14ac:dyDescent="0.2">
      <c r="A911" s="5">
        <v>850</v>
      </c>
      <c r="B911" s="138">
        <f>'Expenditures 15-22'!F57</f>
        <v>3971</v>
      </c>
      <c r="C911" s="2" t="s">
        <v>593</v>
      </c>
      <c r="D911" s="2" t="str">
        <f t="shared" si="13"/>
        <v>Error?</v>
      </c>
    </row>
    <row r="912" spans="1:4" x14ac:dyDescent="0.2">
      <c r="A912" s="5">
        <v>851</v>
      </c>
      <c r="B912" s="138">
        <f>'Expenditures 15-22'!F59</f>
        <v>0</v>
      </c>
      <c r="D912" s="2" t="str">
        <f t="shared" si="13"/>
        <v>Error?</v>
      </c>
    </row>
    <row r="913" spans="1:4" x14ac:dyDescent="0.2">
      <c r="A913" s="5">
        <v>852</v>
      </c>
      <c r="B913" s="138">
        <f>'Expenditures 15-22'!F60</f>
        <v>2923</v>
      </c>
      <c r="D913" s="2" t="str">
        <f t="shared" si="13"/>
        <v>Error?</v>
      </c>
    </row>
    <row r="914" spans="1:4" x14ac:dyDescent="0.2">
      <c r="A914" s="5">
        <v>853</v>
      </c>
      <c r="B914" s="138">
        <f>'Expenditures 15-22'!F61</f>
        <v>738</v>
      </c>
      <c r="D914" s="2" t="str">
        <f t="shared" si="13"/>
        <v>Error?</v>
      </c>
    </row>
    <row r="915" spans="1:4" x14ac:dyDescent="0.2">
      <c r="A915" s="5">
        <v>854</v>
      </c>
      <c r="B915" s="138">
        <f>'Expenditures 15-22'!F62</f>
        <v>16752</v>
      </c>
      <c r="D915" s="2" t="str">
        <f t="shared" si="13"/>
        <v>Error?</v>
      </c>
    </row>
    <row r="916" spans="1:4" x14ac:dyDescent="0.2">
      <c r="A916" s="5">
        <v>855</v>
      </c>
      <c r="B916" s="138">
        <f>'Expenditures 15-22'!F63</f>
        <v>454367</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474780</v>
      </c>
      <c r="C919" s="2" t="s">
        <v>593</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593</v>
      </c>
      <c r="D927" s="2" t="str">
        <f t="shared" si="13"/>
        <v>Error?</v>
      </c>
    </row>
    <row r="928" spans="1:4" x14ac:dyDescent="0.2">
      <c r="A928" s="5">
        <v>867</v>
      </c>
      <c r="B928" s="138">
        <f>'Expenditures 15-22'!F73</f>
        <v>0</v>
      </c>
      <c r="D928" s="2" t="str">
        <f t="shared" si="13"/>
        <v>Error?</v>
      </c>
    </row>
    <row r="929" spans="1:4" x14ac:dyDescent="0.2">
      <c r="A929" s="5">
        <v>868</v>
      </c>
      <c r="B929" s="138">
        <f>'Expenditures 15-22'!F74</f>
        <v>625586</v>
      </c>
      <c r="C929" s="2" t="s">
        <v>593</v>
      </c>
      <c r="D929" s="2" t="str">
        <f t="shared" si="13"/>
        <v>Error?</v>
      </c>
    </row>
    <row r="930" spans="1:4" x14ac:dyDescent="0.2">
      <c r="A930" s="5">
        <v>869</v>
      </c>
      <c r="B930" s="138">
        <f>'Expenditures 15-22'!F75</f>
        <v>21045</v>
      </c>
      <c r="D930" s="2" t="str">
        <f t="shared" si="13"/>
        <v>Error?</v>
      </c>
    </row>
    <row r="931" spans="1:4" x14ac:dyDescent="0.2">
      <c r="A931" s="5">
        <v>870</v>
      </c>
      <c r="B931" s="138">
        <f>'Expenditures 15-22'!F114</f>
        <v>942152</v>
      </c>
      <c r="C931" s="2" t="s">
        <v>593</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23304</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23304</v>
      </c>
      <c r="C952" s="2" t="s">
        <v>593</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593</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593</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593</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593</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593</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593</v>
      </c>
      <c r="D985" s="2" t="str">
        <f t="shared" si="14"/>
        <v>Error?</v>
      </c>
    </row>
    <row r="986" spans="1:4" x14ac:dyDescent="0.2">
      <c r="A986" s="5">
        <v>925</v>
      </c>
      <c r="B986" s="138">
        <f>'Expenditures 15-22'!G73</f>
        <v>0</v>
      </c>
      <c r="D986" s="2" t="str">
        <f t="shared" si="14"/>
        <v>Error?</v>
      </c>
    </row>
    <row r="987" spans="1:4" x14ac:dyDescent="0.2">
      <c r="A987" s="5">
        <v>926</v>
      </c>
      <c r="B987" s="138">
        <f>'Expenditures 15-22'!G74</f>
        <v>0</v>
      </c>
      <c r="C987" s="2" t="s">
        <v>593</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23304</v>
      </c>
      <c r="C989" s="2" t="s">
        <v>593</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9786</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110330</v>
      </c>
      <c r="C1010" s="2" t="s">
        <v>593</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593</v>
      </c>
      <c r="D1017" s="2" t="str">
        <f t="shared" si="14"/>
        <v>Error?</v>
      </c>
    </row>
    <row r="1018" spans="1:4" x14ac:dyDescent="0.2">
      <c r="A1018" s="5">
        <v>957</v>
      </c>
      <c r="B1018" s="138">
        <f>'Expenditures 15-22'!H44</f>
        <v>4170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4170</v>
      </c>
      <c r="C1021" s="2" t="s">
        <v>593</v>
      </c>
      <c r="D1021" s="2" t="str">
        <f t="shared" si="14"/>
        <v>Error?</v>
      </c>
    </row>
    <row r="1022" spans="1:4" x14ac:dyDescent="0.2">
      <c r="A1022" s="5">
        <v>961</v>
      </c>
      <c r="B1022" s="138">
        <f>'Expenditures 15-22'!H49</f>
        <v>9921</v>
      </c>
      <c r="D1022" s="2" t="str">
        <f t="shared" si="14"/>
        <v>Error?</v>
      </c>
    </row>
    <row r="1023" spans="1:4" x14ac:dyDescent="0.2">
      <c r="A1023" s="5">
        <v>962</v>
      </c>
      <c r="B1023" s="138">
        <f>'Expenditures 15-22'!H50</f>
        <v>7076</v>
      </c>
      <c r="D1023" s="2" t="str">
        <f t="shared" ref="D1023:D1086" si="15">IF(ISBLANK(B1023),"OK",IF(A1023-B1023=0,"OK","Error?"))</f>
        <v>Error?</v>
      </c>
    </row>
    <row r="1024" spans="1:4" x14ac:dyDescent="0.2">
      <c r="A1024" s="5">
        <v>963</v>
      </c>
      <c r="B1024" s="138">
        <f>'Expenditures 15-22'!H53</f>
        <v>16997</v>
      </c>
      <c r="C1024" s="2" t="s">
        <v>593</v>
      </c>
      <c r="D1024" s="2" t="str">
        <f t="shared" si="15"/>
        <v>Error?</v>
      </c>
    </row>
    <row r="1025" spans="1:4" x14ac:dyDescent="0.2">
      <c r="A1025" s="5">
        <v>964</v>
      </c>
      <c r="B1025" s="138">
        <f>'Expenditures 15-22'!H55</f>
        <v>99</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99</v>
      </c>
      <c r="C1027" s="2" t="s">
        <v>593</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0</v>
      </c>
      <c r="C1035" s="2" t="s">
        <v>593</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593</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21266</v>
      </c>
      <c r="C1045" s="2" t="s">
        <v>593</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567275</v>
      </c>
      <c r="C1047" s="2" t="s">
        <v>593</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593</v>
      </c>
      <c r="D1053" s="2" t="str">
        <f t="shared" si="15"/>
        <v>Error?</v>
      </c>
    </row>
    <row r="1054" spans="1:4" x14ac:dyDescent="0.2">
      <c r="A1054" s="5">
        <v>993</v>
      </c>
      <c r="B1054" s="138">
        <f>'Expenditures 15-22'!H114</f>
        <v>698871</v>
      </c>
      <c r="C1054" s="2" t="s">
        <v>593</v>
      </c>
      <c r="D1054" s="2" t="str">
        <f t="shared" si="15"/>
        <v>Error?</v>
      </c>
    </row>
    <row r="1055" spans="1:4" x14ac:dyDescent="0.2">
      <c r="A1055" s="10">
        <v>994</v>
      </c>
      <c r="D1055" s="2" t="str">
        <f t="shared" si="15"/>
        <v>OK</v>
      </c>
    </row>
    <row r="1056" spans="1:4" x14ac:dyDescent="0.2">
      <c r="A1056" s="10">
        <v>995</v>
      </c>
      <c r="C1056" s="2" t="s">
        <v>593</v>
      </c>
      <c r="D1056" s="2" t="s">
        <v>196</v>
      </c>
    </row>
    <row r="1057" spans="1:4" x14ac:dyDescent="0.2">
      <c r="A1057" s="10">
        <v>996</v>
      </c>
      <c r="C1057" s="2" t="s">
        <v>593</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593</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593</v>
      </c>
      <c r="D1086" s="2" t="str">
        <f t="shared" si="15"/>
        <v>OK</v>
      </c>
    </row>
    <row r="1087" spans="1:4" x14ac:dyDescent="0.2">
      <c r="A1087" s="10">
        <v>1026</v>
      </c>
      <c r="C1087" s="2" t="s">
        <v>593</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7119034</v>
      </c>
      <c r="C1093" s="2" t="s">
        <v>593</v>
      </c>
      <c r="D1093" s="2" t="str">
        <f t="shared" si="16"/>
        <v>Error?</v>
      </c>
    </row>
    <row r="1094" spans="1:4" x14ac:dyDescent="0.2">
      <c r="A1094" s="5">
        <v>1033</v>
      </c>
      <c r="B1094" s="138">
        <f>'Expenditures 15-22'!K16</f>
        <v>0</v>
      </c>
      <c r="C1094" s="2" t="s">
        <v>593</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593</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593</v>
      </c>
      <c r="D1104" s="2" t="str">
        <f t="shared" si="16"/>
        <v>Error?</v>
      </c>
    </row>
    <row r="1105" spans="1:4" x14ac:dyDescent="0.2">
      <c r="A1105" s="5">
        <v>1044</v>
      </c>
      <c r="B1105" s="138">
        <f>'Expenditures 15-22'!K13</f>
        <v>606826</v>
      </c>
      <c r="C1105" s="2" t="s">
        <v>593</v>
      </c>
      <c r="D1105" s="2" t="str">
        <f t="shared" si="16"/>
        <v>Error?</v>
      </c>
    </row>
    <row r="1106" spans="1:4" x14ac:dyDescent="0.2">
      <c r="A1106" s="5">
        <v>1045</v>
      </c>
      <c r="B1106" s="138">
        <f>'Expenditures 15-22'!K14</f>
        <v>348017</v>
      </c>
      <c r="C1106" s="2" t="s">
        <v>593</v>
      </c>
      <c r="D1106" s="2" t="str">
        <f t="shared" si="16"/>
        <v>Error?</v>
      </c>
    </row>
    <row r="1107" spans="1:4" x14ac:dyDescent="0.2">
      <c r="A1107" s="5">
        <v>1046</v>
      </c>
      <c r="B1107" s="138">
        <f>'Expenditures 15-22'!K15</f>
        <v>6790</v>
      </c>
      <c r="C1107" s="2" t="s">
        <v>593</v>
      </c>
      <c r="D1107" s="2" t="str">
        <f t="shared" si="16"/>
        <v>Error?</v>
      </c>
    </row>
    <row r="1108" spans="1:4" x14ac:dyDescent="0.2">
      <c r="A1108" s="5">
        <v>1047</v>
      </c>
      <c r="B1108" s="138">
        <f>'Expenditures 15-22'!K33</f>
        <v>11518570</v>
      </c>
      <c r="C1108" s="2" t="s">
        <v>593</v>
      </c>
      <c r="D1108" s="2" t="str">
        <f t="shared" si="16"/>
        <v>Error?</v>
      </c>
    </row>
    <row r="1109" spans="1:4" x14ac:dyDescent="0.2">
      <c r="A1109" s="5">
        <v>1048</v>
      </c>
      <c r="B1109" s="138">
        <f>'Expenditures 15-22'!K36</f>
        <v>58905</v>
      </c>
      <c r="C1109" s="2" t="s">
        <v>593</v>
      </c>
      <c r="D1109" s="2" t="str">
        <f t="shared" si="16"/>
        <v>Error?</v>
      </c>
    </row>
    <row r="1110" spans="1:4" x14ac:dyDescent="0.2">
      <c r="A1110" s="5">
        <v>1049</v>
      </c>
      <c r="B1110" s="138">
        <f>'Expenditures 15-22'!K37</f>
        <v>318646</v>
      </c>
      <c r="C1110" s="2" t="s">
        <v>593</v>
      </c>
      <c r="D1110" s="2" t="str">
        <f t="shared" si="16"/>
        <v>Error?</v>
      </c>
    </row>
    <row r="1111" spans="1:4" x14ac:dyDescent="0.2">
      <c r="A1111" s="5">
        <v>1050</v>
      </c>
      <c r="B1111" s="138">
        <f>'Expenditures 15-22'!K38</f>
        <v>101377</v>
      </c>
      <c r="C1111" s="2" t="s">
        <v>593</v>
      </c>
      <c r="D1111" s="2" t="str">
        <f t="shared" si="16"/>
        <v>Error?</v>
      </c>
    </row>
    <row r="1112" spans="1:4" x14ac:dyDescent="0.2">
      <c r="A1112" s="5">
        <v>1051</v>
      </c>
      <c r="B1112" s="138">
        <f>'Expenditures 15-22'!K39</f>
        <v>143246</v>
      </c>
      <c r="C1112" s="2" t="s">
        <v>593</v>
      </c>
      <c r="D1112" s="2" t="str">
        <f t="shared" si="16"/>
        <v>Error?</v>
      </c>
    </row>
    <row r="1113" spans="1:4" x14ac:dyDescent="0.2">
      <c r="A1113" s="5">
        <v>1052</v>
      </c>
      <c r="B1113" s="138">
        <f>'Expenditures 15-22'!K40</f>
        <v>0</v>
      </c>
      <c r="C1113" s="2" t="s">
        <v>593</v>
      </c>
      <c r="D1113" s="2" t="str">
        <f t="shared" si="16"/>
        <v>Error?</v>
      </c>
    </row>
    <row r="1114" spans="1:4" x14ac:dyDescent="0.2">
      <c r="A1114" s="5">
        <v>1053</v>
      </c>
      <c r="B1114" s="138">
        <f>'Expenditures 15-22'!K41</f>
        <v>70394</v>
      </c>
      <c r="C1114" s="2" t="s">
        <v>593</v>
      </c>
      <c r="D1114" s="2" t="str">
        <f t="shared" si="16"/>
        <v>Error?</v>
      </c>
    </row>
    <row r="1115" spans="1:4" x14ac:dyDescent="0.2">
      <c r="A1115" s="5">
        <v>1054</v>
      </c>
      <c r="B1115" s="138">
        <f>'Expenditures 15-22'!K42</f>
        <v>692568</v>
      </c>
      <c r="C1115" s="2" t="s">
        <v>593</v>
      </c>
      <c r="D1115" s="2" t="str">
        <f t="shared" si="16"/>
        <v>Error?</v>
      </c>
    </row>
    <row r="1116" spans="1:4" x14ac:dyDescent="0.2">
      <c r="A1116" s="5">
        <v>1055</v>
      </c>
      <c r="B1116" s="138">
        <f>'Expenditures 15-22'!K44</f>
        <v>275754</v>
      </c>
      <c r="C1116" s="2" t="s">
        <v>593</v>
      </c>
      <c r="D1116" s="2" t="str">
        <f t="shared" si="16"/>
        <v>Error?</v>
      </c>
    </row>
    <row r="1117" spans="1:4" x14ac:dyDescent="0.2">
      <c r="A1117" s="5">
        <v>1056</v>
      </c>
      <c r="B1117" s="138">
        <f>'Expenditures 15-22'!K45</f>
        <v>181379</v>
      </c>
      <c r="C1117" s="2" t="s">
        <v>593</v>
      </c>
      <c r="D1117" s="2" t="str">
        <f t="shared" si="16"/>
        <v>Error?</v>
      </c>
    </row>
    <row r="1118" spans="1:4" x14ac:dyDescent="0.2">
      <c r="A1118" s="5">
        <v>1057</v>
      </c>
      <c r="B1118" s="138">
        <f>'Expenditures 15-22'!K46</f>
        <v>32752</v>
      </c>
      <c r="C1118" s="2" t="s">
        <v>593</v>
      </c>
      <c r="D1118" s="2" t="str">
        <f t="shared" si="16"/>
        <v>Error?</v>
      </c>
    </row>
    <row r="1119" spans="1:4" x14ac:dyDescent="0.2">
      <c r="A1119" s="5">
        <v>1058</v>
      </c>
      <c r="B1119" s="138">
        <f>'Expenditures 15-22'!K47</f>
        <v>489885</v>
      </c>
      <c r="C1119" s="2" t="s">
        <v>593</v>
      </c>
      <c r="D1119" s="2" t="str">
        <f t="shared" si="16"/>
        <v>Error?</v>
      </c>
    </row>
    <row r="1120" spans="1:4" x14ac:dyDescent="0.2">
      <c r="A1120" s="5">
        <v>1059</v>
      </c>
      <c r="B1120" s="138">
        <f>'Expenditures 15-22'!K49</f>
        <v>66228</v>
      </c>
      <c r="C1120" s="2" t="s">
        <v>593</v>
      </c>
      <c r="D1120" s="2" t="str">
        <f t="shared" si="16"/>
        <v>Error?</v>
      </c>
    </row>
    <row r="1121" spans="1:4" x14ac:dyDescent="0.2">
      <c r="A1121" s="5">
        <v>1060</v>
      </c>
      <c r="B1121" s="138">
        <f>'Expenditures 15-22'!K50</f>
        <v>227817</v>
      </c>
      <c r="C1121" s="2" t="s">
        <v>593</v>
      </c>
      <c r="D1121" s="2" t="str">
        <f t="shared" si="16"/>
        <v>Error?</v>
      </c>
    </row>
    <row r="1122" spans="1:4" x14ac:dyDescent="0.2">
      <c r="A1122" s="5">
        <v>1061</v>
      </c>
      <c r="B1122" s="138">
        <f>'Expenditures 15-22'!K53</f>
        <v>334133</v>
      </c>
      <c r="C1122" s="2" t="s">
        <v>593</v>
      </c>
      <c r="D1122" s="2" t="str">
        <f t="shared" si="16"/>
        <v>Error?</v>
      </c>
    </row>
    <row r="1123" spans="1:4" x14ac:dyDescent="0.2">
      <c r="A1123" s="5">
        <v>1062</v>
      </c>
      <c r="B1123" s="138">
        <f>'Expenditures 15-22'!K55</f>
        <v>989749</v>
      </c>
      <c r="C1123" s="2" t="s">
        <v>593</v>
      </c>
      <c r="D1123" s="2" t="str">
        <f t="shared" si="16"/>
        <v>Error?</v>
      </c>
    </row>
    <row r="1124" spans="1:4" x14ac:dyDescent="0.2">
      <c r="A1124" s="5">
        <v>1063</v>
      </c>
      <c r="B1124" s="138">
        <f>'Expenditures 15-22'!K56</f>
        <v>0</v>
      </c>
      <c r="C1124" s="2" t="s">
        <v>593</v>
      </c>
      <c r="D1124" s="2" t="str">
        <f t="shared" si="16"/>
        <v>Error?</v>
      </c>
    </row>
    <row r="1125" spans="1:4" x14ac:dyDescent="0.2">
      <c r="A1125" s="5">
        <v>1064</v>
      </c>
      <c r="B1125" s="138">
        <f>'Expenditures 15-22'!K57</f>
        <v>989749</v>
      </c>
      <c r="C1125" s="2" t="s">
        <v>593</v>
      </c>
      <c r="D1125" s="2" t="str">
        <f t="shared" si="16"/>
        <v>Error?</v>
      </c>
    </row>
    <row r="1126" spans="1:4" x14ac:dyDescent="0.2">
      <c r="A1126" s="5">
        <v>1065</v>
      </c>
      <c r="B1126" s="138">
        <f>'Expenditures 15-22'!K59</f>
        <v>0</v>
      </c>
      <c r="C1126" s="2" t="s">
        <v>593</v>
      </c>
      <c r="D1126" s="2" t="str">
        <f t="shared" si="16"/>
        <v>Error?</v>
      </c>
    </row>
    <row r="1127" spans="1:4" x14ac:dyDescent="0.2">
      <c r="A1127" s="5">
        <v>1066</v>
      </c>
      <c r="B1127" s="138">
        <f>'Expenditures 15-22'!K60</f>
        <v>260573</v>
      </c>
      <c r="C1127" s="2" t="s">
        <v>593</v>
      </c>
      <c r="D1127" s="2" t="str">
        <f t="shared" si="16"/>
        <v>Error?</v>
      </c>
    </row>
    <row r="1128" spans="1:4" x14ac:dyDescent="0.2">
      <c r="A1128" s="5">
        <v>1067</v>
      </c>
      <c r="B1128" s="138">
        <f>'Expenditures 15-22'!K61</f>
        <v>41621</v>
      </c>
      <c r="C1128" s="2" t="s">
        <v>593</v>
      </c>
      <c r="D1128" s="2" t="str">
        <f t="shared" si="16"/>
        <v>Error?</v>
      </c>
    </row>
    <row r="1129" spans="1:4" x14ac:dyDescent="0.2">
      <c r="A1129" s="5">
        <v>1068</v>
      </c>
      <c r="B1129" s="138">
        <f>'Expenditures 15-22'!K62</f>
        <v>233346</v>
      </c>
      <c r="C1129" s="2" t="s">
        <v>593</v>
      </c>
      <c r="D1129" s="2" t="str">
        <f t="shared" si="16"/>
        <v>Error?</v>
      </c>
    </row>
    <row r="1130" spans="1:4" x14ac:dyDescent="0.2">
      <c r="A1130" s="5">
        <v>1069</v>
      </c>
      <c r="B1130" s="138">
        <f>'Expenditures 15-22'!K63</f>
        <v>973698</v>
      </c>
      <c r="C1130" s="2" t="s">
        <v>593</v>
      </c>
      <c r="D1130" s="2" t="str">
        <f t="shared" si="16"/>
        <v>Error?</v>
      </c>
    </row>
    <row r="1131" spans="1:4" x14ac:dyDescent="0.2">
      <c r="A1131" s="5">
        <v>1070</v>
      </c>
      <c r="B1131" s="138">
        <f>'Expenditures 15-22'!K64</f>
        <v>0</v>
      </c>
      <c r="C1131" s="2" t="s">
        <v>593</v>
      </c>
      <c r="D1131" s="2" t="str">
        <f t="shared" si="16"/>
        <v>Error?</v>
      </c>
    </row>
    <row r="1132" spans="1:4" x14ac:dyDescent="0.2">
      <c r="A1132" s="10">
        <v>1071</v>
      </c>
      <c r="D1132" s="2" t="str">
        <f t="shared" si="16"/>
        <v>OK</v>
      </c>
    </row>
    <row r="1133" spans="1:4" x14ac:dyDescent="0.2">
      <c r="A1133" s="5">
        <v>1072</v>
      </c>
      <c r="B1133" s="138">
        <f>'Expenditures 15-22'!K65</f>
        <v>1509238</v>
      </c>
      <c r="C1133" s="2" t="s">
        <v>593</v>
      </c>
      <c r="D1133" s="2" t="str">
        <f t="shared" si="16"/>
        <v>Error?</v>
      </c>
    </row>
    <row r="1134" spans="1:4" x14ac:dyDescent="0.2">
      <c r="A1134" s="5">
        <v>1073</v>
      </c>
      <c r="B1134" s="138">
        <f>'Expenditures 15-22'!K67</f>
        <v>0</v>
      </c>
      <c r="C1134" s="2" t="s">
        <v>593</v>
      </c>
      <c r="D1134" s="2" t="str">
        <f t="shared" si="16"/>
        <v>Error?</v>
      </c>
    </row>
    <row r="1135" spans="1:4" x14ac:dyDescent="0.2">
      <c r="A1135" s="5">
        <v>1074</v>
      </c>
      <c r="B1135" s="138">
        <f>'Expenditures 15-22'!K68</f>
        <v>0</v>
      </c>
      <c r="C1135" s="2" t="s">
        <v>593</v>
      </c>
      <c r="D1135" s="2" t="str">
        <f t="shared" si="16"/>
        <v>Error?</v>
      </c>
    </row>
    <row r="1136" spans="1:4" x14ac:dyDescent="0.2">
      <c r="A1136" s="5">
        <v>1075</v>
      </c>
      <c r="B1136" s="138">
        <f>'Expenditures 15-22'!K69</f>
        <v>0</v>
      </c>
      <c r="C1136" s="2" t="s">
        <v>593</v>
      </c>
      <c r="D1136" s="2" t="str">
        <f t="shared" si="16"/>
        <v>Error?</v>
      </c>
    </row>
    <row r="1137" spans="1:4" x14ac:dyDescent="0.2">
      <c r="A1137" s="5">
        <v>1076</v>
      </c>
      <c r="B1137" s="138">
        <f>'Expenditures 15-22'!K70</f>
        <v>0</v>
      </c>
      <c r="C1137" s="2" t="s">
        <v>593</v>
      </c>
      <c r="D1137" s="2" t="str">
        <f t="shared" si="16"/>
        <v>Error?</v>
      </c>
    </row>
    <row r="1138" spans="1:4" x14ac:dyDescent="0.2">
      <c r="A1138" s="10">
        <v>1077</v>
      </c>
      <c r="D1138" s="2" t="str">
        <f t="shared" si="16"/>
        <v>OK</v>
      </c>
    </row>
    <row r="1139" spans="1:4" x14ac:dyDescent="0.2">
      <c r="A1139" s="5">
        <v>1078</v>
      </c>
      <c r="B1139" s="138">
        <f>'Expenditures 15-22'!K71</f>
        <v>354914</v>
      </c>
      <c r="C1139" s="2" t="s">
        <v>593</v>
      </c>
      <c r="D1139" s="2" t="str">
        <f t="shared" si="16"/>
        <v>Error?</v>
      </c>
    </row>
    <row r="1140" spans="1:4" x14ac:dyDescent="0.2">
      <c r="A1140" s="10">
        <v>1079</v>
      </c>
      <c r="D1140" s="2" t="str">
        <f t="shared" si="16"/>
        <v>OK</v>
      </c>
    </row>
    <row r="1141" spans="1:4" x14ac:dyDescent="0.2">
      <c r="A1141" s="5">
        <v>1080</v>
      </c>
      <c r="B1141" s="138">
        <f>'Expenditures 15-22'!K72</f>
        <v>354914</v>
      </c>
      <c r="C1141" s="2" t="s">
        <v>593</v>
      </c>
      <c r="D1141" s="2" t="str">
        <f t="shared" si="16"/>
        <v>Error?</v>
      </c>
    </row>
    <row r="1142" spans="1:4" x14ac:dyDescent="0.2">
      <c r="A1142" s="5">
        <v>1081</v>
      </c>
      <c r="B1142" s="138">
        <f>'Expenditures 15-22'!K73</f>
        <v>200</v>
      </c>
      <c r="C1142" s="2" t="s">
        <v>593</v>
      </c>
      <c r="D1142" s="2" t="str">
        <f t="shared" si="16"/>
        <v>Error?</v>
      </c>
    </row>
    <row r="1143" spans="1:4" x14ac:dyDescent="0.2">
      <c r="A1143" s="5">
        <v>1082</v>
      </c>
      <c r="B1143" s="138">
        <f>'Expenditures 15-22'!K74</f>
        <v>4370687</v>
      </c>
      <c r="C1143" s="2" t="s">
        <v>593</v>
      </c>
      <c r="D1143" s="2" t="str">
        <f t="shared" si="16"/>
        <v>Error?</v>
      </c>
    </row>
    <row r="1144" spans="1:4" x14ac:dyDescent="0.2">
      <c r="A1144" s="5">
        <v>1083</v>
      </c>
      <c r="B1144" s="138">
        <f>'Expenditures 15-22'!K75</f>
        <v>177897</v>
      </c>
      <c r="C1144" s="2" t="s">
        <v>593</v>
      </c>
      <c r="D1144" s="2" t="str">
        <f t="shared" si="16"/>
        <v>Error?</v>
      </c>
    </row>
    <row r="1145" spans="1:4" x14ac:dyDescent="0.2">
      <c r="A1145" s="5">
        <v>1084</v>
      </c>
      <c r="B1145" s="138">
        <f>'Expenditures 15-22'!K102</f>
        <v>571831</v>
      </c>
      <c r="C1145" s="2" t="s">
        <v>593</v>
      </c>
      <c r="D1145" s="2" t="str">
        <f t="shared" si="16"/>
        <v>Error?</v>
      </c>
    </row>
    <row r="1146" spans="1:4" x14ac:dyDescent="0.2">
      <c r="A1146" s="5">
        <v>1085</v>
      </c>
      <c r="B1146" s="138">
        <f>'Expenditures 15-22'!K105</f>
        <v>0</v>
      </c>
      <c r="C1146" s="2" t="s">
        <v>593</v>
      </c>
      <c r="D1146" s="2" t="str">
        <f t="shared" si="16"/>
        <v>Error?</v>
      </c>
    </row>
    <row r="1147" spans="1:4" x14ac:dyDescent="0.2">
      <c r="A1147" s="5">
        <v>1086</v>
      </c>
      <c r="B1147" s="138">
        <f>'Expenditures 15-22'!K106</f>
        <v>0</v>
      </c>
      <c r="C1147" s="2" t="s">
        <v>593</v>
      </c>
      <c r="D1147" s="2" t="str">
        <f t="shared" si="16"/>
        <v>Error?</v>
      </c>
    </row>
    <row r="1148" spans="1:4" x14ac:dyDescent="0.2">
      <c r="A1148" s="10">
        <v>1087</v>
      </c>
      <c r="C1148" s="2" t="s">
        <v>593</v>
      </c>
      <c r="D1148" s="2" t="str">
        <f t="shared" si="16"/>
        <v>OK</v>
      </c>
    </row>
    <row r="1149" spans="1:4" x14ac:dyDescent="0.2">
      <c r="A1149" s="5">
        <v>1088</v>
      </c>
      <c r="B1149" s="138">
        <f>'Expenditures 15-22'!K109</f>
        <v>0</v>
      </c>
      <c r="C1149" s="2" t="s">
        <v>593</v>
      </c>
      <c r="D1149" s="2" t="str">
        <f t="shared" si="16"/>
        <v>Error?</v>
      </c>
    </row>
    <row r="1150" spans="1:4" x14ac:dyDescent="0.2">
      <c r="A1150" s="10">
        <v>1089</v>
      </c>
      <c r="D1150" s="2" t="str">
        <f t="shared" si="16"/>
        <v>OK</v>
      </c>
    </row>
    <row r="1151" spans="1:4" x14ac:dyDescent="0.2">
      <c r="A1151" s="5">
        <v>1090</v>
      </c>
      <c r="B1151" s="138">
        <f>'Expenditures 15-22'!K110</f>
        <v>0</v>
      </c>
      <c r="C1151" s="2" t="s">
        <v>593</v>
      </c>
      <c r="D1151" s="2" t="str">
        <f t="shared" ref="D1151:D1214" si="17">IF(ISBLANK(B1151),"OK",IF(A1151-B1151=0,"OK","Error?"))</f>
        <v>Error?</v>
      </c>
    </row>
    <row r="1152" spans="1:4" x14ac:dyDescent="0.2">
      <c r="A1152" s="5">
        <v>1091</v>
      </c>
      <c r="B1152" s="138">
        <f>'Expenditures 15-22'!K114</f>
        <v>16638985</v>
      </c>
      <c r="C1152" s="2" t="s">
        <v>593</v>
      </c>
      <c r="D1152" s="2" t="str">
        <f t="shared" si="17"/>
        <v>Error?</v>
      </c>
    </row>
    <row r="1153" spans="1:4" x14ac:dyDescent="0.2">
      <c r="A1153" s="5">
        <v>1092</v>
      </c>
      <c r="B1153" s="138">
        <f>'Expenditures 15-22'!K115</f>
        <v>657639</v>
      </c>
      <c r="C1153" s="2" t="s">
        <v>593</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906276</v>
      </c>
      <c r="D1221" s="2" t="str">
        <f t="shared" si="18"/>
        <v>Error?</v>
      </c>
    </row>
    <row r="1222" spans="1:4" x14ac:dyDescent="0.2">
      <c r="A1222" s="10">
        <v>1161</v>
      </c>
      <c r="D1222" s="2" t="str">
        <f t="shared" si="18"/>
        <v>OK</v>
      </c>
    </row>
    <row r="1223" spans="1:4" x14ac:dyDescent="0.2">
      <c r="A1223" s="5">
        <v>1162</v>
      </c>
      <c r="B1223" s="138">
        <f>'Expenditures 15-22'!C127</f>
        <v>906276</v>
      </c>
      <c r="C1223" s="2" t="s">
        <v>593</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906276</v>
      </c>
      <c r="C1225" s="2" t="s">
        <v>593</v>
      </c>
      <c r="D1225" s="2" t="str">
        <f t="shared" si="18"/>
        <v>Error?</v>
      </c>
    </row>
    <row r="1226" spans="1:4" x14ac:dyDescent="0.2">
      <c r="A1226" s="5">
        <v>1165</v>
      </c>
      <c r="B1226" s="138">
        <f>'Expenditures 15-22'!C151</f>
        <v>906276</v>
      </c>
      <c r="C1226" s="2" t="s">
        <v>593</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125561</v>
      </c>
      <c r="D1229" s="2" t="str">
        <f t="shared" si="18"/>
        <v>Error?</v>
      </c>
    </row>
    <row r="1230" spans="1:4" x14ac:dyDescent="0.2">
      <c r="A1230" s="10">
        <v>1169</v>
      </c>
      <c r="D1230" s="2" t="str">
        <f t="shared" si="18"/>
        <v>OK</v>
      </c>
    </row>
    <row r="1231" spans="1:4" x14ac:dyDescent="0.2">
      <c r="A1231" s="5">
        <v>1170</v>
      </c>
      <c r="B1231" s="138">
        <f>'Expenditures 15-22'!D127</f>
        <v>125561</v>
      </c>
      <c r="C1231" s="2" t="s">
        <v>593</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125561</v>
      </c>
      <c r="C1233" s="2" t="s">
        <v>593</v>
      </c>
      <c r="D1233" s="2" t="str">
        <f t="shared" si="18"/>
        <v>Error?</v>
      </c>
    </row>
    <row r="1234" spans="1:4" x14ac:dyDescent="0.2">
      <c r="A1234" s="5">
        <v>1173</v>
      </c>
      <c r="B1234" s="138">
        <f>'Expenditures 15-22'!D151</f>
        <v>125561</v>
      </c>
      <c r="C1234" s="2" t="s">
        <v>593</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161730</v>
      </c>
      <c r="D1237" s="2" t="str">
        <f t="shared" si="18"/>
        <v>Error?</v>
      </c>
    </row>
    <row r="1238" spans="1:4" x14ac:dyDescent="0.2">
      <c r="A1238" s="10">
        <v>1177</v>
      </c>
      <c r="D1238" s="2" t="str">
        <f t="shared" si="18"/>
        <v>OK</v>
      </c>
    </row>
    <row r="1239" spans="1:4" x14ac:dyDescent="0.2">
      <c r="A1239" s="5">
        <v>1178</v>
      </c>
      <c r="B1239" s="138">
        <f>'Expenditures 15-22'!E127</f>
        <v>161730</v>
      </c>
      <c r="C1239" s="2" t="s">
        <v>593</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161730</v>
      </c>
      <c r="C1241" s="2" t="s">
        <v>593</v>
      </c>
      <c r="D1241" s="2" t="str">
        <f t="shared" si="18"/>
        <v>Error?</v>
      </c>
    </row>
    <row r="1242" spans="1:4" x14ac:dyDescent="0.2">
      <c r="A1242" s="5">
        <v>1181</v>
      </c>
      <c r="B1242" s="138">
        <f>'Expenditures 15-22'!E151</f>
        <v>161730</v>
      </c>
      <c r="C1242" s="2" t="s">
        <v>593</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646810</v>
      </c>
      <c r="D1245" s="2" t="str">
        <f t="shared" si="18"/>
        <v>Error?</v>
      </c>
    </row>
    <row r="1246" spans="1:4" x14ac:dyDescent="0.2">
      <c r="A1246" s="10">
        <v>1185</v>
      </c>
      <c r="D1246" s="2" t="str">
        <f t="shared" si="18"/>
        <v>OK</v>
      </c>
    </row>
    <row r="1247" spans="1:4" x14ac:dyDescent="0.2">
      <c r="A1247" s="5">
        <v>1186</v>
      </c>
      <c r="B1247" s="138">
        <f>'Expenditures 15-22'!F127</f>
        <v>646810</v>
      </c>
      <c r="C1247" s="2" t="s">
        <v>593</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646810</v>
      </c>
      <c r="C1249" s="2" t="s">
        <v>593</v>
      </c>
      <c r="D1249" s="2" t="str">
        <f t="shared" si="18"/>
        <v>Error?</v>
      </c>
    </row>
    <row r="1250" spans="1:4" x14ac:dyDescent="0.2">
      <c r="A1250" s="5">
        <v>1189</v>
      </c>
      <c r="B1250" s="138">
        <f>'Expenditures 15-22'!F151</f>
        <v>646810</v>
      </c>
      <c r="C1250" s="2" t="s">
        <v>593</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7272</v>
      </c>
      <c r="D1252" s="2" t="str">
        <f t="shared" si="18"/>
        <v>Error?</v>
      </c>
    </row>
    <row r="1253" spans="1:4" x14ac:dyDescent="0.2">
      <c r="A1253" s="5">
        <v>1192</v>
      </c>
      <c r="B1253" s="138">
        <f>'Expenditures 15-22'!G124</f>
        <v>20488</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27760</v>
      </c>
      <c r="C1256" s="2" t="s">
        <v>593</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27760</v>
      </c>
      <c r="C1258" s="2" t="s">
        <v>593</v>
      </c>
      <c r="D1258" s="2" t="str">
        <f t="shared" si="18"/>
        <v>Error?</v>
      </c>
    </row>
    <row r="1259" spans="1:4" x14ac:dyDescent="0.2">
      <c r="A1259" s="5">
        <v>1198</v>
      </c>
      <c r="B1259" s="138">
        <f>'Expenditures 15-22'!G151</f>
        <v>27760</v>
      </c>
      <c r="C1259" s="2" t="s">
        <v>593</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9019</v>
      </c>
      <c r="D1262" s="2" t="str">
        <f t="shared" si="18"/>
        <v>Error?</v>
      </c>
    </row>
    <row r="1263" spans="1:4" x14ac:dyDescent="0.2">
      <c r="A1263" s="10">
        <v>1202</v>
      </c>
      <c r="D1263" s="2" t="str">
        <f t="shared" si="18"/>
        <v>OK</v>
      </c>
    </row>
    <row r="1264" spans="1:4" x14ac:dyDescent="0.2">
      <c r="A1264" s="5">
        <v>1203</v>
      </c>
      <c r="B1264" s="138">
        <f>'Expenditures 15-22'!H127</f>
        <v>9019</v>
      </c>
      <c r="C1264" s="2" t="s">
        <v>593</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9019</v>
      </c>
      <c r="C1266" s="2" t="s">
        <v>593</v>
      </c>
      <c r="D1266" s="2" t="str">
        <f t="shared" si="18"/>
        <v>Error?</v>
      </c>
    </row>
    <row r="1267" spans="1:4" x14ac:dyDescent="0.2">
      <c r="A1267" s="5">
        <v>1206</v>
      </c>
      <c r="B1267" s="138">
        <f>'Expenditures 15-22'!H139</f>
        <v>0</v>
      </c>
      <c r="C1267" s="2" t="s">
        <v>593</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665</v>
      </c>
      <c r="C1272" s="2" t="s">
        <v>593</v>
      </c>
      <c r="D1272" s="2" t="str">
        <f t="shared" si="18"/>
        <v>Error?</v>
      </c>
    </row>
    <row r="1273" spans="1:4" x14ac:dyDescent="0.2">
      <c r="A1273" s="5">
        <v>1212</v>
      </c>
      <c r="B1273" s="138">
        <f>'Expenditures 15-22'!H151</f>
        <v>9684</v>
      </c>
      <c r="C1273" s="2" t="s">
        <v>593</v>
      </c>
      <c r="D1273" s="2" t="str">
        <f t="shared" si="18"/>
        <v>Error?</v>
      </c>
    </row>
    <row r="1274" spans="1:4" x14ac:dyDescent="0.2">
      <c r="A1274" s="5">
        <v>1213</v>
      </c>
      <c r="B1274" s="138">
        <f>'Expenditures 15-22'!K122</f>
        <v>0</v>
      </c>
      <c r="C1274" s="2" t="s">
        <v>593</v>
      </c>
      <c r="D1274" s="2" t="str">
        <f t="shared" si="18"/>
        <v>Error?</v>
      </c>
    </row>
    <row r="1275" spans="1:4" x14ac:dyDescent="0.2">
      <c r="A1275" s="5">
        <v>1214</v>
      </c>
      <c r="B1275" s="138">
        <f>'Expenditures 15-22'!K123</f>
        <v>7272</v>
      </c>
      <c r="C1275" s="2" t="s">
        <v>593</v>
      </c>
      <c r="D1275" s="2" t="str">
        <f t="shared" si="18"/>
        <v>Error?</v>
      </c>
    </row>
    <row r="1276" spans="1:4" x14ac:dyDescent="0.2">
      <c r="A1276" s="5">
        <v>1215</v>
      </c>
      <c r="B1276" s="138">
        <f>'Expenditures 15-22'!K124</f>
        <v>1869884</v>
      </c>
      <c r="C1276" s="2" t="s">
        <v>593</v>
      </c>
      <c r="D1276" s="2" t="str">
        <f t="shared" si="18"/>
        <v>Error?</v>
      </c>
    </row>
    <row r="1277" spans="1:4" x14ac:dyDescent="0.2">
      <c r="A1277" s="5">
        <v>1216</v>
      </c>
      <c r="B1277" s="138">
        <f>'Expenditures 15-22'!K126</f>
        <v>0</v>
      </c>
      <c r="C1277" s="2" t="s">
        <v>593</v>
      </c>
      <c r="D1277" s="2" t="str">
        <f t="shared" si="18"/>
        <v>Error?</v>
      </c>
    </row>
    <row r="1278" spans="1:4" x14ac:dyDescent="0.2">
      <c r="A1278" s="10">
        <v>1217</v>
      </c>
      <c r="D1278" s="2" t="str">
        <f t="shared" si="18"/>
        <v>OK</v>
      </c>
    </row>
    <row r="1279" spans="1:4" x14ac:dyDescent="0.2">
      <c r="A1279" s="5">
        <v>1218</v>
      </c>
      <c r="B1279" s="138">
        <f>'Expenditures 15-22'!K127</f>
        <v>1877156</v>
      </c>
      <c r="C1279" s="2" t="s">
        <v>593</v>
      </c>
      <c r="D1279" s="2" t="str">
        <f t="shared" ref="D1279:D1342" si="19">IF(ISBLANK(B1279),"OK",IF(A1279-B1279=0,"OK","Error?"))</f>
        <v>Error?</v>
      </c>
    </row>
    <row r="1280" spans="1:4" x14ac:dyDescent="0.2">
      <c r="A1280" s="5">
        <v>1219</v>
      </c>
      <c r="B1280" s="138">
        <f>'Expenditures 15-22'!K128</f>
        <v>0</v>
      </c>
      <c r="C1280" s="2" t="s">
        <v>593</v>
      </c>
      <c r="D1280" s="2" t="str">
        <f t="shared" si="19"/>
        <v>Error?</v>
      </c>
    </row>
    <row r="1281" spans="1:4" x14ac:dyDescent="0.2">
      <c r="A1281" s="5">
        <v>1220</v>
      </c>
      <c r="B1281" s="138">
        <f>'Expenditures 15-22'!K129</f>
        <v>1877156</v>
      </c>
      <c r="C1281" s="2" t="s">
        <v>593</v>
      </c>
      <c r="D1281" s="2" t="str">
        <f t="shared" si="19"/>
        <v>Error?</v>
      </c>
    </row>
    <row r="1282" spans="1:4" x14ac:dyDescent="0.2">
      <c r="A1282" s="5">
        <v>1221</v>
      </c>
      <c r="B1282" s="138">
        <f>'Expenditures 15-22'!K139</f>
        <v>0</v>
      </c>
      <c r="C1282" s="2" t="s">
        <v>593</v>
      </c>
      <c r="D1282" s="2" t="str">
        <f t="shared" si="19"/>
        <v>Error?</v>
      </c>
    </row>
    <row r="1283" spans="1:4" x14ac:dyDescent="0.2">
      <c r="A1283" s="5">
        <v>1222</v>
      </c>
      <c r="B1283" s="138">
        <f>'Expenditures 15-22'!K142</f>
        <v>0</v>
      </c>
      <c r="C1283" s="2" t="s">
        <v>593</v>
      </c>
      <c r="D1283" s="2" t="str">
        <f t="shared" si="19"/>
        <v>Error?</v>
      </c>
    </row>
    <row r="1284" spans="1:4" x14ac:dyDescent="0.2">
      <c r="A1284" s="5">
        <v>1223</v>
      </c>
      <c r="B1284" s="138">
        <f>'Expenditures 15-22'!K143</f>
        <v>0</v>
      </c>
      <c r="C1284" s="2" t="s">
        <v>593</v>
      </c>
      <c r="D1284" s="2" t="str">
        <f t="shared" si="19"/>
        <v>Error?</v>
      </c>
    </row>
    <row r="1285" spans="1:4" x14ac:dyDescent="0.2">
      <c r="A1285" s="5">
        <v>1224</v>
      </c>
      <c r="B1285" s="138">
        <f>'Expenditures 15-22'!K146</f>
        <v>0</v>
      </c>
      <c r="C1285" s="2" t="s">
        <v>593</v>
      </c>
      <c r="D1285" s="2" t="str">
        <f t="shared" si="19"/>
        <v>Error?</v>
      </c>
    </row>
    <row r="1286" spans="1:4" x14ac:dyDescent="0.2">
      <c r="A1286" s="10">
        <v>1225</v>
      </c>
      <c r="D1286" s="2" t="str">
        <f t="shared" si="19"/>
        <v>OK</v>
      </c>
    </row>
    <row r="1287" spans="1:4" x14ac:dyDescent="0.2">
      <c r="A1287" s="12">
        <v>1226</v>
      </c>
      <c r="B1287" s="138">
        <f>'Expenditures 15-22'!K149</f>
        <v>665</v>
      </c>
      <c r="C1287" s="2" t="s">
        <v>593</v>
      </c>
      <c r="D1287" s="2" t="str">
        <f t="shared" si="19"/>
        <v>Error?</v>
      </c>
    </row>
    <row r="1288" spans="1:4" x14ac:dyDescent="0.2">
      <c r="A1288" s="5">
        <v>1227</v>
      </c>
      <c r="B1288" s="138">
        <f>'Expenditures 15-22'!K151</f>
        <v>1877821</v>
      </c>
      <c r="C1288" s="2" t="s">
        <v>593</v>
      </c>
      <c r="D1288" s="2" t="str">
        <f t="shared" si="19"/>
        <v>Error?</v>
      </c>
    </row>
    <row r="1289" spans="1:4" x14ac:dyDescent="0.2">
      <c r="A1289" s="5">
        <v>1228</v>
      </c>
      <c r="B1289" s="138">
        <f>'Expenditures 15-22'!K152</f>
        <v>-214182</v>
      </c>
      <c r="C1289" s="2" t="s">
        <v>593</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271028</v>
      </c>
      <c r="D1307" s="2" t="str">
        <f t="shared" si="19"/>
        <v>Error?</v>
      </c>
    </row>
    <row r="1308" spans="1:4" x14ac:dyDescent="0.2">
      <c r="A1308" s="5">
        <v>1247</v>
      </c>
      <c r="B1308" s="138">
        <f>'Expenditures 15-22'!E172</f>
        <v>271028</v>
      </c>
      <c r="C1308" s="2" t="s">
        <v>593</v>
      </c>
      <c r="D1308" s="2" t="str">
        <f t="shared" si="19"/>
        <v>Error?</v>
      </c>
    </row>
    <row r="1309" spans="1:4" x14ac:dyDescent="0.2">
      <c r="A1309" s="5">
        <v>1248</v>
      </c>
      <c r="B1309" s="138">
        <f>'Expenditures 15-22'!E174</f>
        <v>271028</v>
      </c>
      <c r="C1309" s="2" t="s">
        <v>593</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1448235</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593</v>
      </c>
      <c r="D1314" s="2" t="str">
        <f t="shared" si="19"/>
        <v>Error?</v>
      </c>
    </row>
    <row r="1315" spans="1:4" x14ac:dyDescent="0.2">
      <c r="A1315" s="5">
        <v>1254</v>
      </c>
      <c r="B1315" s="138">
        <f>'Expenditures 15-22'!H170</f>
        <v>1659297</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3107532</v>
      </c>
      <c r="C1317" s="2" t="s">
        <v>593</v>
      </c>
      <c r="D1317" s="2" t="str">
        <f t="shared" si="19"/>
        <v>Error?</v>
      </c>
    </row>
    <row r="1318" spans="1:4" x14ac:dyDescent="0.2">
      <c r="A1318" s="5">
        <v>1257</v>
      </c>
      <c r="B1318" s="138">
        <f>'Expenditures 15-22'!H174</f>
        <v>3107532</v>
      </c>
      <c r="C1318" s="2" t="s">
        <v>593</v>
      </c>
      <c r="D1318" s="2" t="str">
        <f t="shared" si="19"/>
        <v>Error?</v>
      </c>
    </row>
    <row r="1319" spans="1:4" x14ac:dyDescent="0.2">
      <c r="A1319" s="10">
        <v>1258</v>
      </c>
      <c r="C1319" s="2" t="s">
        <v>593</v>
      </c>
      <c r="D1319" s="2" t="str">
        <f t="shared" si="19"/>
        <v>OK</v>
      </c>
    </row>
    <row r="1320" spans="1:4" x14ac:dyDescent="0.2">
      <c r="A1320" s="10">
        <v>1259</v>
      </c>
      <c r="D1320" s="2" t="str">
        <f t="shared" si="19"/>
        <v>OK</v>
      </c>
    </row>
    <row r="1321" spans="1:4" x14ac:dyDescent="0.2">
      <c r="A1321" s="10">
        <v>1260</v>
      </c>
      <c r="C1321" s="2" t="s">
        <v>593</v>
      </c>
      <c r="D1321" s="2" t="str">
        <f t="shared" si="19"/>
        <v>OK</v>
      </c>
    </row>
    <row r="1322" spans="1:4" x14ac:dyDescent="0.2">
      <c r="A1322" s="10">
        <v>1261</v>
      </c>
      <c r="C1322" s="2" t="s">
        <v>593</v>
      </c>
      <c r="D1322" s="2" t="str">
        <f t="shared" si="19"/>
        <v>OK</v>
      </c>
    </row>
    <row r="1323" spans="1:4" x14ac:dyDescent="0.2">
      <c r="A1323" s="5">
        <v>1262</v>
      </c>
      <c r="B1323" s="138">
        <f>'Expenditures 15-22'!K155</f>
        <v>0</v>
      </c>
      <c r="C1323" s="2" t="s">
        <v>593</v>
      </c>
      <c r="D1323" s="2" t="str">
        <f t="shared" si="19"/>
        <v>Error?</v>
      </c>
    </row>
    <row r="1324" spans="1:4" x14ac:dyDescent="0.2">
      <c r="A1324" s="5">
        <v>1263</v>
      </c>
      <c r="B1324" s="138">
        <f>'Expenditures 15-22'!K163</f>
        <v>0</v>
      </c>
      <c r="C1324" s="2" t="s">
        <v>593</v>
      </c>
      <c r="D1324" s="2" t="str">
        <f t="shared" si="19"/>
        <v>Error?</v>
      </c>
    </row>
    <row r="1325" spans="1:4" x14ac:dyDescent="0.2">
      <c r="A1325" s="5">
        <v>1264</v>
      </c>
      <c r="B1325" s="138">
        <f>'Expenditures 15-22'!K164</f>
        <v>0</v>
      </c>
      <c r="C1325" s="2" t="s">
        <v>593</v>
      </c>
      <c r="D1325" s="2" t="str">
        <f t="shared" si="19"/>
        <v>Error?</v>
      </c>
    </row>
    <row r="1326" spans="1:4" x14ac:dyDescent="0.2">
      <c r="A1326" s="5">
        <v>1265</v>
      </c>
      <c r="B1326" s="138">
        <f>'Expenditures 15-22'!K169</f>
        <v>1448235</v>
      </c>
      <c r="C1326" s="2" t="s">
        <v>593</v>
      </c>
      <c r="D1326" s="2" t="str">
        <f t="shared" si="19"/>
        <v>Error?</v>
      </c>
    </row>
    <row r="1327" spans="1:4" x14ac:dyDescent="0.2">
      <c r="A1327" s="5">
        <v>1266</v>
      </c>
      <c r="B1327" s="138">
        <f>'Expenditures 15-22'!K167</f>
        <v>0</v>
      </c>
      <c r="C1327" s="2" t="s">
        <v>593</v>
      </c>
      <c r="D1327" s="2" t="str">
        <f t="shared" si="19"/>
        <v>Error?</v>
      </c>
    </row>
    <row r="1328" spans="1:4" x14ac:dyDescent="0.2">
      <c r="A1328" s="5">
        <v>1267</v>
      </c>
      <c r="B1328" s="138">
        <f>'Expenditures 15-22'!K168</f>
        <v>0</v>
      </c>
      <c r="C1328" s="2" t="s">
        <v>593</v>
      </c>
      <c r="D1328" s="2" t="str">
        <f t="shared" si="19"/>
        <v>Error?</v>
      </c>
    </row>
    <row r="1329" spans="1:4" x14ac:dyDescent="0.2">
      <c r="A1329" s="5">
        <v>1268</v>
      </c>
      <c r="B1329" s="138">
        <f>'Expenditures 15-22'!K170</f>
        <v>1659297</v>
      </c>
      <c r="C1329" s="2" t="s">
        <v>593</v>
      </c>
      <c r="D1329" s="2" t="str">
        <f t="shared" si="19"/>
        <v>Error?</v>
      </c>
    </row>
    <row r="1330" spans="1:4" x14ac:dyDescent="0.2">
      <c r="A1330" s="5">
        <v>1269</v>
      </c>
      <c r="B1330" s="138">
        <f>'Expenditures 15-22'!K171</f>
        <v>271028</v>
      </c>
      <c r="C1330" s="2" t="s">
        <v>593</v>
      </c>
      <c r="D1330" s="2" t="str">
        <f t="shared" si="19"/>
        <v>Error?</v>
      </c>
    </row>
    <row r="1331" spans="1:4" x14ac:dyDescent="0.2">
      <c r="A1331" s="5">
        <v>1270</v>
      </c>
      <c r="B1331" s="138">
        <f>'Expenditures 15-22'!K172</f>
        <v>3378560</v>
      </c>
      <c r="C1331" s="2" t="s">
        <v>593</v>
      </c>
      <c r="D1331" s="2" t="str">
        <f t="shared" si="19"/>
        <v>Error?</v>
      </c>
    </row>
    <row r="1332" spans="1:4" x14ac:dyDescent="0.2">
      <c r="A1332" s="5">
        <v>1271</v>
      </c>
      <c r="B1332" s="138">
        <f>'Expenditures 15-22'!K174</f>
        <v>3378560</v>
      </c>
      <c r="C1332" s="2" t="s">
        <v>593</v>
      </c>
      <c r="D1332" s="2" t="str">
        <f t="shared" si="19"/>
        <v>Error?</v>
      </c>
    </row>
    <row r="1333" spans="1:4" x14ac:dyDescent="0.2">
      <c r="A1333" s="5">
        <v>1272</v>
      </c>
      <c r="B1333" s="138">
        <f>'Expenditures 15-22'!K175</f>
        <v>-235472</v>
      </c>
      <c r="C1333" s="2" t="s">
        <v>593</v>
      </c>
      <c r="D1333" s="2" t="str">
        <f t="shared" si="19"/>
        <v>Error?</v>
      </c>
    </row>
    <row r="1334" spans="1:4" x14ac:dyDescent="0.2">
      <c r="A1334" s="10">
        <v>1273</v>
      </c>
      <c r="D1334" s="2" t="str">
        <f t="shared" si="19"/>
        <v>OK</v>
      </c>
    </row>
    <row r="1335" spans="1:4" x14ac:dyDescent="0.2">
      <c r="A1335" s="5">
        <v>1274</v>
      </c>
      <c r="B1335" s="138">
        <f>'Expenditures 15-22'!C182</f>
        <v>1300274</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1300274</v>
      </c>
      <c r="C1339" s="2" t="s">
        <v>593</v>
      </c>
      <c r="D1339" s="2" t="str">
        <f t="shared" si="19"/>
        <v>Error?</v>
      </c>
    </row>
    <row r="1340" spans="1:4" x14ac:dyDescent="0.2">
      <c r="A1340" s="5">
        <v>1279</v>
      </c>
      <c r="B1340" s="138">
        <f>'Expenditures 15-22'!C210</f>
        <v>1300274</v>
      </c>
      <c r="C1340" s="2" t="s">
        <v>593</v>
      </c>
      <c r="D1340" s="2" t="str">
        <f t="shared" si="19"/>
        <v>Error?</v>
      </c>
    </row>
    <row r="1341" spans="1:4" x14ac:dyDescent="0.2">
      <c r="A1341" s="5">
        <v>1280</v>
      </c>
      <c r="B1341" s="138">
        <f>'Expenditures 15-22'!D182</f>
        <v>191723</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191723</v>
      </c>
      <c r="C1345" s="2" t="s">
        <v>593</v>
      </c>
      <c r="D1345" s="2" t="str">
        <f t="shared" si="20"/>
        <v>Error?</v>
      </c>
    </row>
    <row r="1346" spans="1:4" x14ac:dyDescent="0.2">
      <c r="A1346" s="5">
        <v>1285</v>
      </c>
      <c r="B1346" s="138">
        <f>'Expenditures 15-22'!D210</f>
        <v>191723</v>
      </c>
      <c r="C1346" s="2" t="s">
        <v>593</v>
      </c>
      <c r="D1346" s="2" t="str">
        <f t="shared" si="20"/>
        <v>Error?</v>
      </c>
    </row>
    <row r="1347" spans="1:4" x14ac:dyDescent="0.2">
      <c r="A1347" s="5">
        <v>1286</v>
      </c>
      <c r="B1347" s="138">
        <f>'Expenditures 15-22'!E182</f>
        <v>67858</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67858</v>
      </c>
      <c r="C1351" s="2" t="s">
        <v>593</v>
      </c>
      <c r="D1351" s="2" t="str">
        <f t="shared" si="20"/>
        <v>Error?</v>
      </c>
    </row>
    <row r="1352" spans="1:4" x14ac:dyDescent="0.2">
      <c r="A1352" s="5">
        <v>1291</v>
      </c>
      <c r="B1352" s="138">
        <f>'Expenditures 15-22'!E196</f>
        <v>0</v>
      </c>
      <c r="C1352" s="2" t="s">
        <v>593</v>
      </c>
      <c r="D1352" s="2" t="str">
        <f t="shared" si="20"/>
        <v>Error?</v>
      </c>
    </row>
    <row r="1353" spans="1:4" x14ac:dyDescent="0.2">
      <c r="A1353" s="5">
        <v>1292</v>
      </c>
      <c r="B1353" s="138">
        <f>'Expenditures 15-22'!E210</f>
        <v>67858</v>
      </c>
      <c r="C1353" s="2" t="s">
        <v>593</v>
      </c>
      <c r="D1353" s="2" t="str">
        <f t="shared" si="20"/>
        <v>Error?</v>
      </c>
    </row>
    <row r="1354" spans="1:4" x14ac:dyDescent="0.2">
      <c r="A1354" s="5">
        <v>1293</v>
      </c>
      <c r="B1354" s="138">
        <f>'Expenditures 15-22'!F182</f>
        <v>229859</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229859</v>
      </c>
      <c r="C1358" s="2" t="s">
        <v>593</v>
      </c>
      <c r="D1358" s="2" t="str">
        <f t="shared" si="20"/>
        <v>Error?</v>
      </c>
    </row>
    <row r="1359" spans="1:4" x14ac:dyDescent="0.2">
      <c r="A1359" s="5">
        <v>1298</v>
      </c>
      <c r="B1359" s="138">
        <f>'Expenditures 15-22'!F210</f>
        <v>229859</v>
      </c>
      <c r="C1359" s="2" t="s">
        <v>593</v>
      </c>
      <c r="D1359" s="2" t="str">
        <f t="shared" si="20"/>
        <v>Error?</v>
      </c>
    </row>
    <row r="1360" spans="1:4" x14ac:dyDescent="0.2">
      <c r="A1360" s="5">
        <v>1299</v>
      </c>
      <c r="B1360" s="138">
        <f>'Expenditures 15-22'!G182</f>
        <v>19135</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19135</v>
      </c>
      <c r="C1364" s="2" t="s">
        <v>593</v>
      </c>
      <c r="D1364" s="2" t="str">
        <f t="shared" si="20"/>
        <v>Error?</v>
      </c>
    </row>
    <row r="1365" spans="1:4" x14ac:dyDescent="0.2">
      <c r="A1365" s="5">
        <v>1304</v>
      </c>
      <c r="B1365" s="138">
        <f>'Expenditures 15-22'!G210</f>
        <v>19135</v>
      </c>
      <c r="C1365" s="2" t="s">
        <v>593</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593</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194372</v>
      </c>
      <c r="C1375" s="2" t="s">
        <v>593</v>
      </c>
      <c r="D1375" s="2" t="str">
        <f t="shared" si="20"/>
        <v>Error?</v>
      </c>
    </row>
    <row r="1376" spans="1:4" x14ac:dyDescent="0.2">
      <c r="A1376" s="5">
        <v>1315</v>
      </c>
      <c r="B1376" s="138">
        <f>'Expenditures 15-22'!H210</f>
        <v>194372</v>
      </c>
      <c r="C1376" s="2" t="s">
        <v>593</v>
      </c>
      <c r="D1376" s="2" t="str">
        <f t="shared" si="20"/>
        <v>Error?</v>
      </c>
    </row>
    <row r="1377" spans="1:4" x14ac:dyDescent="0.2">
      <c r="A1377" s="5">
        <v>1316</v>
      </c>
      <c r="B1377" s="138">
        <f>'Expenditures 15-22'!K182</f>
        <v>1808849</v>
      </c>
      <c r="C1377" s="2" t="s">
        <v>593</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593</v>
      </c>
      <c r="D1380" s="2" t="str">
        <f t="shared" si="20"/>
        <v>Error?</v>
      </c>
    </row>
    <row r="1381" spans="1:4" x14ac:dyDescent="0.2">
      <c r="A1381" s="5">
        <v>1320</v>
      </c>
      <c r="B1381" s="138">
        <f>'Expenditures 15-22'!K184</f>
        <v>1808849</v>
      </c>
      <c r="C1381" s="2" t="s">
        <v>593</v>
      </c>
      <c r="D1381" s="2" t="str">
        <f t="shared" si="20"/>
        <v>Error?</v>
      </c>
    </row>
    <row r="1382" spans="1:4" x14ac:dyDescent="0.2">
      <c r="A1382" s="5">
        <v>1321</v>
      </c>
      <c r="B1382" s="138">
        <f>'Expenditures 15-22'!K196</f>
        <v>0</v>
      </c>
      <c r="C1382" s="2" t="s">
        <v>593</v>
      </c>
      <c r="D1382" s="2" t="str">
        <f t="shared" si="20"/>
        <v>Error?</v>
      </c>
    </row>
    <row r="1383" spans="1:4" x14ac:dyDescent="0.2">
      <c r="A1383" s="5">
        <v>1322</v>
      </c>
      <c r="B1383" s="138">
        <f>'Expenditures 15-22'!K199</f>
        <v>0</v>
      </c>
      <c r="C1383" s="2" t="s">
        <v>593</v>
      </c>
      <c r="D1383" s="2" t="str">
        <f t="shared" si="20"/>
        <v>Error?</v>
      </c>
    </row>
    <row r="1384" spans="1:4" x14ac:dyDescent="0.2">
      <c r="A1384" s="5">
        <v>1323</v>
      </c>
      <c r="B1384" s="138">
        <f>'Expenditures 15-22'!K200</f>
        <v>0</v>
      </c>
      <c r="C1384" s="2" t="s">
        <v>593</v>
      </c>
      <c r="D1384" s="2" t="str">
        <f t="shared" si="20"/>
        <v>Error?</v>
      </c>
    </row>
    <row r="1385" spans="1:4" x14ac:dyDescent="0.2">
      <c r="A1385" s="5">
        <v>1324</v>
      </c>
      <c r="B1385" s="138">
        <f>'Expenditures 15-22'!K203</f>
        <v>0</v>
      </c>
      <c r="C1385" s="2" t="s">
        <v>593</v>
      </c>
      <c r="D1385" s="2" t="str">
        <f t="shared" si="20"/>
        <v>Error?</v>
      </c>
    </row>
    <row r="1386" spans="1:4" x14ac:dyDescent="0.2">
      <c r="A1386" s="10">
        <v>1325</v>
      </c>
      <c r="D1386" s="2" t="str">
        <f t="shared" si="20"/>
        <v>OK</v>
      </c>
    </row>
    <row r="1387" spans="1:4" x14ac:dyDescent="0.2">
      <c r="A1387" s="5">
        <v>1326</v>
      </c>
      <c r="B1387" s="138">
        <f>'Expenditures 15-22'!K208</f>
        <v>194372</v>
      </c>
      <c r="C1387" s="2" t="s">
        <v>593</v>
      </c>
      <c r="D1387" s="2" t="str">
        <f t="shared" si="20"/>
        <v>Error?</v>
      </c>
    </row>
    <row r="1388" spans="1:4" x14ac:dyDescent="0.2">
      <c r="A1388" s="5">
        <v>1327</v>
      </c>
      <c r="B1388" s="138">
        <f>'Expenditures 15-22'!K210</f>
        <v>2003221</v>
      </c>
      <c r="C1388" s="2" t="s">
        <v>593</v>
      </c>
      <c r="D1388" s="2" t="str">
        <f t="shared" si="20"/>
        <v>Error?</v>
      </c>
    </row>
    <row r="1389" spans="1:4" x14ac:dyDescent="0.2">
      <c r="A1389" s="5">
        <v>1328</v>
      </c>
      <c r="B1389" s="138">
        <f>'Expenditures 15-22'!K211</f>
        <v>433631</v>
      </c>
      <c r="C1389" s="2" t="s">
        <v>593</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6382</v>
      </c>
      <c r="D1407" s="2" t="str">
        <f t="shared" ref="D1407:D1470" si="21">IF(ISBLANK(B1407),"OK",IF(A1407-B1407=0,"OK","Error?"))</f>
        <v>Error?</v>
      </c>
    </row>
    <row r="1408" spans="1:4" x14ac:dyDescent="0.2">
      <c r="A1408" s="5">
        <v>1347</v>
      </c>
      <c r="B1408" s="138">
        <f>'Expenditures 15-22'!D223</f>
        <v>11408</v>
      </c>
      <c r="D1408" s="2" t="str">
        <f t="shared" si="21"/>
        <v>Error?</v>
      </c>
    </row>
    <row r="1409" spans="1:4" x14ac:dyDescent="0.2">
      <c r="A1409" s="5">
        <v>1348</v>
      </c>
      <c r="B1409" s="138">
        <f>'Expenditures 15-22'!D224</f>
        <v>94</v>
      </c>
      <c r="D1409" s="2" t="str">
        <f t="shared" si="21"/>
        <v>Error?</v>
      </c>
    </row>
    <row r="1410" spans="1:4" x14ac:dyDescent="0.2">
      <c r="A1410" s="5">
        <v>1349</v>
      </c>
      <c r="B1410" s="138">
        <f>'Expenditures 15-22'!D229</f>
        <v>332196</v>
      </c>
      <c r="C1410" s="2" t="s">
        <v>593</v>
      </c>
      <c r="D1410" s="2" t="str">
        <f t="shared" si="21"/>
        <v>Error?</v>
      </c>
    </row>
    <row r="1411" spans="1:4" x14ac:dyDescent="0.2">
      <c r="A1411" s="5">
        <v>1350</v>
      </c>
      <c r="B1411" s="138">
        <f>'Expenditures 15-22'!D232</f>
        <v>739</v>
      </c>
      <c r="D1411" s="2" t="str">
        <f t="shared" si="21"/>
        <v>Error?</v>
      </c>
    </row>
    <row r="1412" spans="1:4" x14ac:dyDescent="0.2">
      <c r="A1412" s="5">
        <v>1351</v>
      </c>
      <c r="B1412" s="138">
        <f>'Expenditures 15-22'!D233</f>
        <v>15889</v>
      </c>
      <c r="D1412" s="2" t="str">
        <f t="shared" si="21"/>
        <v>Error?</v>
      </c>
    </row>
    <row r="1413" spans="1:4" x14ac:dyDescent="0.2">
      <c r="A1413" s="5">
        <v>1352</v>
      </c>
      <c r="B1413" s="138">
        <f>'Expenditures 15-22'!D234</f>
        <v>3091</v>
      </c>
      <c r="D1413" s="2" t="str">
        <f t="shared" si="21"/>
        <v>Error?</v>
      </c>
    </row>
    <row r="1414" spans="1:4" x14ac:dyDescent="0.2">
      <c r="A1414" s="5">
        <v>1353</v>
      </c>
      <c r="B1414" s="138">
        <f>'Expenditures 15-22'!D235</f>
        <v>1760</v>
      </c>
      <c r="D1414" s="2" t="str">
        <f t="shared" si="21"/>
        <v>Error?</v>
      </c>
    </row>
    <row r="1415" spans="1:4" x14ac:dyDescent="0.2">
      <c r="A1415" s="5">
        <v>1354</v>
      </c>
      <c r="B1415" s="138">
        <f>'Expenditures 15-22'!D236</f>
        <v>0</v>
      </c>
      <c r="D1415" s="2" t="str">
        <f t="shared" si="21"/>
        <v>Error?</v>
      </c>
    </row>
    <row r="1416" spans="1:4" x14ac:dyDescent="0.2">
      <c r="A1416" s="5">
        <v>1355</v>
      </c>
      <c r="B1416" s="138">
        <f>'Expenditures 15-22'!D237</f>
        <v>8923</v>
      </c>
      <c r="D1416" s="2" t="str">
        <f t="shared" si="21"/>
        <v>Error?</v>
      </c>
    </row>
    <row r="1417" spans="1:4" x14ac:dyDescent="0.2">
      <c r="A1417" s="5">
        <v>1356</v>
      </c>
      <c r="B1417" s="138">
        <f>'Expenditures 15-22'!D238</f>
        <v>30402</v>
      </c>
      <c r="C1417" s="2" t="s">
        <v>593</v>
      </c>
      <c r="D1417" s="2" t="str">
        <f t="shared" si="21"/>
        <v>Error?</v>
      </c>
    </row>
    <row r="1418" spans="1:4" x14ac:dyDescent="0.2">
      <c r="A1418" s="5">
        <v>1357</v>
      </c>
      <c r="B1418" s="138">
        <f>'Expenditures 15-22'!D240</f>
        <v>1369</v>
      </c>
      <c r="D1418" s="2" t="str">
        <f t="shared" si="21"/>
        <v>Error?</v>
      </c>
    </row>
    <row r="1419" spans="1:4" x14ac:dyDescent="0.2">
      <c r="A1419" s="5">
        <v>1358</v>
      </c>
      <c r="B1419" s="138">
        <f>'Expenditures 15-22'!D241</f>
        <v>15828</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17197</v>
      </c>
      <c r="C1421" s="2" t="s">
        <v>593</v>
      </c>
      <c r="D1421" s="2" t="str">
        <f t="shared" si="21"/>
        <v>Error?</v>
      </c>
    </row>
    <row r="1422" spans="1:4" x14ac:dyDescent="0.2">
      <c r="A1422" s="5">
        <v>1361</v>
      </c>
      <c r="B1422" s="138">
        <f>'Expenditures 15-22'!D245</f>
        <v>391</v>
      </c>
      <c r="D1422" s="2" t="str">
        <f t="shared" si="21"/>
        <v>Error?</v>
      </c>
    </row>
    <row r="1423" spans="1:4" x14ac:dyDescent="0.2">
      <c r="A1423" s="5">
        <v>1362</v>
      </c>
      <c r="B1423" s="138">
        <f>'Expenditures 15-22'!D246</f>
        <v>10039</v>
      </c>
      <c r="D1423" s="2" t="str">
        <f t="shared" si="21"/>
        <v>Error?</v>
      </c>
    </row>
    <row r="1424" spans="1:4" x14ac:dyDescent="0.2">
      <c r="A1424" s="5">
        <v>1363</v>
      </c>
      <c r="B1424" s="138">
        <f>'Expenditures 15-22'!D257</f>
        <v>81804</v>
      </c>
      <c r="C1424" s="2" t="s">
        <v>593</v>
      </c>
      <c r="D1424" s="2" t="str">
        <f t="shared" si="21"/>
        <v>Error?</v>
      </c>
    </row>
    <row r="1425" spans="1:4" x14ac:dyDescent="0.2">
      <c r="A1425" s="5">
        <v>1364</v>
      </c>
      <c r="B1425" s="138">
        <f>'Expenditures 15-22'!D259</f>
        <v>37523</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37523</v>
      </c>
      <c r="C1427" s="2" t="s">
        <v>593</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21261</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153733</v>
      </c>
      <c r="D1431" s="2" t="str">
        <f t="shared" si="21"/>
        <v>Error?</v>
      </c>
    </row>
    <row r="1432" spans="1:4" x14ac:dyDescent="0.2">
      <c r="A1432" s="5">
        <v>1371</v>
      </c>
      <c r="B1432" s="138">
        <f>'Expenditures 15-22'!D267</f>
        <v>218698</v>
      </c>
      <c r="D1432" s="2" t="str">
        <f t="shared" si="21"/>
        <v>Error?</v>
      </c>
    </row>
    <row r="1433" spans="1:4" x14ac:dyDescent="0.2">
      <c r="A1433" s="5">
        <v>1372</v>
      </c>
      <c r="B1433" s="138">
        <f>'Expenditures 15-22'!D268</f>
        <v>71564</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465256</v>
      </c>
      <c r="C1436" s="2" t="s">
        <v>593</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57489</v>
      </c>
      <c r="D1442" s="2" t="str">
        <f t="shared" si="21"/>
        <v>Error?</v>
      </c>
    </row>
    <row r="1443" spans="1:4" x14ac:dyDescent="0.2">
      <c r="A1443" s="10">
        <v>1382</v>
      </c>
      <c r="D1443" s="2" t="str">
        <f t="shared" si="21"/>
        <v>OK</v>
      </c>
    </row>
    <row r="1444" spans="1:4" x14ac:dyDescent="0.2">
      <c r="A1444" s="5">
        <v>1383</v>
      </c>
      <c r="B1444" s="138">
        <f>'Expenditures 15-22'!D277</f>
        <v>57489</v>
      </c>
      <c r="C1444" s="2" t="s">
        <v>593</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689671</v>
      </c>
      <c r="C1446" s="2" t="s">
        <v>593</v>
      </c>
      <c r="D1446" s="2" t="str">
        <f t="shared" si="21"/>
        <v>Error?</v>
      </c>
    </row>
    <row r="1447" spans="1:4" x14ac:dyDescent="0.2">
      <c r="A1447" s="5">
        <v>1386</v>
      </c>
      <c r="B1447" s="138">
        <f>'Expenditures 15-22'!D280</f>
        <v>14408</v>
      </c>
      <c r="D1447" s="2" t="str">
        <f t="shared" si="21"/>
        <v>Error?</v>
      </c>
    </row>
    <row r="1448" spans="1:4" x14ac:dyDescent="0.2">
      <c r="A1448" s="5">
        <v>1387</v>
      </c>
      <c r="B1448" s="138">
        <f>'Expenditures 15-22'!D295</f>
        <v>1036275</v>
      </c>
      <c r="C1448" s="2" t="s">
        <v>593</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593</v>
      </c>
      <c r="D1452" s="2" t="str">
        <f t="shared" si="21"/>
        <v>Error?</v>
      </c>
    </row>
    <row r="1453" spans="1:4" x14ac:dyDescent="0.2">
      <c r="A1453" s="10">
        <v>1392</v>
      </c>
      <c r="D1453" s="2" t="str">
        <f t="shared" si="21"/>
        <v>OK</v>
      </c>
    </row>
    <row r="1454" spans="1:4" x14ac:dyDescent="0.2">
      <c r="A1454" s="5">
        <v>1393</v>
      </c>
      <c r="B1454" s="138">
        <f>'Expenditures 15-22'!H295</f>
        <v>0</v>
      </c>
      <c r="C1454" s="2" t="s">
        <v>593</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593</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593</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593</v>
      </c>
      <c r="D1470" s="2" t="str">
        <f t="shared" si="21"/>
        <v>Error?</v>
      </c>
    </row>
    <row r="1471" spans="1:4" x14ac:dyDescent="0.2">
      <c r="A1471" s="5">
        <v>1410</v>
      </c>
      <c r="B1471" s="138">
        <f>'Expenditures 15-22'!K222</f>
        <v>6382</v>
      </c>
      <c r="C1471" s="2" t="s">
        <v>593</v>
      </c>
      <c r="D1471" s="2" t="str">
        <f t="shared" ref="D1471:D1534" si="22">IF(ISBLANK(B1471),"OK",IF(A1471-B1471=0,"OK","Error?"))</f>
        <v>Error?</v>
      </c>
    </row>
    <row r="1472" spans="1:4" x14ac:dyDescent="0.2">
      <c r="A1472" s="5">
        <v>1411</v>
      </c>
      <c r="B1472" s="138">
        <f>'Expenditures 15-22'!K223</f>
        <v>11408</v>
      </c>
      <c r="C1472" s="2" t="s">
        <v>593</v>
      </c>
      <c r="D1472" s="2" t="str">
        <f t="shared" si="22"/>
        <v>Error?</v>
      </c>
    </row>
    <row r="1473" spans="1:4" x14ac:dyDescent="0.2">
      <c r="A1473" s="5">
        <v>1412</v>
      </c>
      <c r="B1473" s="138">
        <f>'Expenditures 15-22'!K224</f>
        <v>94</v>
      </c>
      <c r="C1473" s="2" t="s">
        <v>593</v>
      </c>
      <c r="D1473" s="2" t="str">
        <f t="shared" si="22"/>
        <v>Error?</v>
      </c>
    </row>
    <row r="1474" spans="1:4" x14ac:dyDescent="0.2">
      <c r="A1474" s="5">
        <v>1413</v>
      </c>
      <c r="B1474" s="138">
        <f>'Expenditures 15-22'!K229</f>
        <v>332196</v>
      </c>
      <c r="C1474" s="2" t="s">
        <v>593</v>
      </c>
      <c r="D1474" s="2" t="str">
        <f t="shared" si="22"/>
        <v>Error?</v>
      </c>
    </row>
    <row r="1475" spans="1:4" x14ac:dyDescent="0.2">
      <c r="A1475" s="5">
        <v>1414</v>
      </c>
      <c r="B1475" s="138">
        <f>'Expenditures 15-22'!K232</f>
        <v>739</v>
      </c>
      <c r="C1475" s="2" t="s">
        <v>593</v>
      </c>
      <c r="D1475" s="2" t="str">
        <f t="shared" si="22"/>
        <v>Error?</v>
      </c>
    </row>
    <row r="1476" spans="1:4" x14ac:dyDescent="0.2">
      <c r="A1476" s="5">
        <v>1415</v>
      </c>
      <c r="B1476" s="138">
        <f>'Expenditures 15-22'!K233</f>
        <v>15889</v>
      </c>
      <c r="C1476" s="2" t="s">
        <v>593</v>
      </c>
      <c r="D1476" s="2" t="str">
        <f t="shared" si="22"/>
        <v>Error?</v>
      </c>
    </row>
    <row r="1477" spans="1:4" x14ac:dyDescent="0.2">
      <c r="A1477" s="5">
        <v>1416</v>
      </c>
      <c r="B1477" s="138">
        <f>'Expenditures 15-22'!K234</f>
        <v>3091</v>
      </c>
      <c r="C1477" s="2" t="s">
        <v>593</v>
      </c>
      <c r="D1477" s="2" t="str">
        <f t="shared" si="22"/>
        <v>Error?</v>
      </c>
    </row>
    <row r="1478" spans="1:4" x14ac:dyDescent="0.2">
      <c r="A1478" s="5">
        <v>1417</v>
      </c>
      <c r="B1478" s="138">
        <f>'Expenditures 15-22'!K235</f>
        <v>1760</v>
      </c>
      <c r="C1478" s="2" t="s">
        <v>593</v>
      </c>
      <c r="D1478" s="2" t="str">
        <f t="shared" si="22"/>
        <v>Error?</v>
      </c>
    </row>
    <row r="1479" spans="1:4" x14ac:dyDescent="0.2">
      <c r="A1479" s="5">
        <v>1418</v>
      </c>
      <c r="B1479" s="138">
        <f>'Expenditures 15-22'!K236</f>
        <v>0</v>
      </c>
      <c r="C1479" s="2" t="s">
        <v>593</v>
      </c>
      <c r="D1479" s="2" t="str">
        <f t="shared" si="22"/>
        <v>Error?</v>
      </c>
    </row>
    <row r="1480" spans="1:4" x14ac:dyDescent="0.2">
      <c r="A1480" s="5">
        <v>1419</v>
      </c>
      <c r="B1480" s="138">
        <f>'Expenditures 15-22'!K237</f>
        <v>8923</v>
      </c>
      <c r="C1480" s="2" t="s">
        <v>593</v>
      </c>
      <c r="D1480" s="2" t="str">
        <f t="shared" si="22"/>
        <v>Error?</v>
      </c>
    </row>
    <row r="1481" spans="1:4" x14ac:dyDescent="0.2">
      <c r="A1481" s="5">
        <v>1420</v>
      </c>
      <c r="B1481" s="138">
        <f>'Expenditures 15-22'!K238</f>
        <v>30402</v>
      </c>
      <c r="C1481" s="2" t="s">
        <v>593</v>
      </c>
      <c r="D1481" s="2" t="str">
        <f t="shared" si="22"/>
        <v>Error?</v>
      </c>
    </row>
    <row r="1482" spans="1:4" x14ac:dyDescent="0.2">
      <c r="A1482" s="5">
        <v>1421</v>
      </c>
      <c r="B1482" s="138">
        <f>'Expenditures 15-22'!K240</f>
        <v>1369</v>
      </c>
      <c r="C1482" s="2" t="s">
        <v>593</v>
      </c>
      <c r="D1482" s="2" t="str">
        <f t="shared" si="22"/>
        <v>Error?</v>
      </c>
    </row>
    <row r="1483" spans="1:4" x14ac:dyDescent="0.2">
      <c r="A1483" s="5">
        <v>1422</v>
      </c>
      <c r="B1483" s="138">
        <f>'Expenditures 15-22'!K241</f>
        <v>15828</v>
      </c>
      <c r="C1483" s="2" t="s">
        <v>593</v>
      </c>
      <c r="D1483" s="2" t="str">
        <f t="shared" si="22"/>
        <v>Error?</v>
      </c>
    </row>
    <row r="1484" spans="1:4" x14ac:dyDescent="0.2">
      <c r="A1484" s="5">
        <v>1423</v>
      </c>
      <c r="B1484" s="138">
        <f>'Expenditures 15-22'!K242</f>
        <v>0</v>
      </c>
      <c r="C1484" s="2" t="s">
        <v>593</v>
      </c>
      <c r="D1484" s="2" t="str">
        <f t="shared" si="22"/>
        <v>Error?</v>
      </c>
    </row>
    <row r="1485" spans="1:4" x14ac:dyDescent="0.2">
      <c r="A1485" s="5">
        <v>1424</v>
      </c>
      <c r="B1485" s="138">
        <f>'Expenditures 15-22'!K243</f>
        <v>17197</v>
      </c>
      <c r="C1485" s="2" t="s">
        <v>593</v>
      </c>
      <c r="D1485" s="2" t="str">
        <f t="shared" si="22"/>
        <v>Error?</v>
      </c>
    </row>
    <row r="1486" spans="1:4" x14ac:dyDescent="0.2">
      <c r="A1486" s="5">
        <v>1425</v>
      </c>
      <c r="B1486" s="138">
        <f>'Expenditures 15-22'!K245</f>
        <v>391</v>
      </c>
      <c r="C1486" s="2" t="s">
        <v>593</v>
      </c>
      <c r="D1486" s="2" t="str">
        <f t="shared" si="22"/>
        <v>Error?</v>
      </c>
    </row>
    <row r="1487" spans="1:4" x14ac:dyDescent="0.2">
      <c r="A1487" s="5">
        <v>1426</v>
      </c>
      <c r="B1487" s="138">
        <f>'Expenditures 15-22'!K246</f>
        <v>10039</v>
      </c>
      <c r="C1487" s="2" t="s">
        <v>593</v>
      </c>
      <c r="D1487" s="2" t="str">
        <f t="shared" si="22"/>
        <v>Error?</v>
      </c>
    </row>
    <row r="1488" spans="1:4" x14ac:dyDescent="0.2">
      <c r="A1488" s="5">
        <v>1427</v>
      </c>
      <c r="B1488" s="138">
        <f>'Expenditures 15-22'!K257</f>
        <v>81804</v>
      </c>
      <c r="C1488" s="2" t="s">
        <v>593</v>
      </c>
      <c r="D1488" s="2" t="str">
        <f t="shared" si="22"/>
        <v>Error?</v>
      </c>
    </row>
    <row r="1489" spans="1:4" x14ac:dyDescent="0.2">
      <c r="A1489" s="5">
        <v>1428</v>
      </c>
      <c r="B1489" s="138">
        <f>'Expenditures 15-22'!K259</f>
        <v>37523</v>
      </c>
      <c r="C1489" s="2" t="s">
        <v>593</v>
      </c>
      <c r="D1489" s="2" t="str">
        <f t="shared" si="22"/>
        <v>Error?</v>
      </c>
    </row>
    <row r="1490" spans="1:4" x14ac:dyDescent="0.2">
      <c r="A1490" s="5">
        <v>1429</v>
      </c>
      <c r="B1490" s="138">
        <f>'Expenditures 15-22'!K260</f>
        <v>0</v>
      </c>
      <c r="C1490" s="2" t="s">
        <v>593</v>
      </c>
      <c r="D1490" s="2" t="str">
        <f t="shared" si="22"/>
        <v>Error?</v>
      </c>
    </row>
    <row r="1491" spans="1:4" x14ac:dyDescent="0.2">
      <c r="A1491" s="5">
        <v>1430</v>
      </c>
      <c r="B1491" s="138">
        <f>'Expenditures 15-22'!K261</f>
        <v>37523</v>
      </c>
      <c r="C1491" s="2" t="s">
        <v>593</v>
      </c>
      <c r="D1491" s="2" t="str">
        <f t="shared" si="22"/>
        <v>Error?</v>
      </c>
    </row>
    <row r="1492" spans="1:4" x14ac:dyDescent="0.2">
      <c r="A1492" s="5">
        <v>1431</v>
      </c>
      <c r="B1492" s="138">
        <f>'Expenditures 15-22'!K263</f>
        <v>0</v>
      </c>
      <c r="C1492" s="2" t="s">
        <v>593</v>
      </c>
      <c r="D1492" s="2" t="str">
        <f t="shared" si="22"/>
        <v>Error?</v>
      </c>
    </row>
    <row r="1493" spans="1:4" x14ac:dyDescent="0.2">
      <c r="A1493" s="5">
        <v>1432</v>
      </c>
      <c r="B1493" s="138">
        <f>'Expenditures 15-22'!K264</f>
        <v>21261</v>
      </c>
      <c r="C1493" s="2" t="s">
        <v>593</v>
      </c>
      <c r="D1493" s="2" t="str">
        <f t="shared" si="22"/>
        <v>Error?</v>
      </c>
    </row>
    <row r="1494" spans="1:4" x14ac:dyDescent="0.2">
      <c r="A1494" s="5">
        <v>1433</v>
      </c>
      <c r="B1494" s="138">
        <f>'Expenditures 15-22'!K265</f>
        <v>0</v>
      </c>
      <c r="C1494" s="2" t="s">
        <v>593</v>
      </c>
      <c r="D1494" s="2" t="str">
        <f t="shared" si="22"/>
        <v>Error?</v>
      </c>
    </row>
    <row r="1495" spans="1:4" x14ac:dyDescent="0.2">
      <c r="A1495" s="5">
        <v>1434</v>
      </c>
      <c r="B1495" s="138">
        <f>'Expenditures 15-22'!K266</f>
        <v>153733</v>
      </c>
      <c r="C1495" s="2" t="s">
        <v>593</v>
      </c>
      <c r="D1495" s="2" t="str">
        <f t="shared" si="22"/>
        <v>Error?</v>
      </c>
    </row>
    <row r="1496" spans="1:4" x14ac:dyDescent="0.2">
      <c r="A1496" s="5">
        <v>1435</v>
      </c>
      <c r="B1496" s="138">
        <f>'Expenditures 15-22'!K267</f>
        <v>218698</v>
      </c>
      <c r="C1496" s="2" t="s">
        <v>593</v>
      </c>
      <c r="D1496" s="2" t="str">
        <f t="shared" si="22"/>
        <v>Error?</v>
      </c>
    </row>
    <row r="1497" spans="1:4" x14ac:dyDescent="0.2">
      <c r="A1497" s="5">
        <v>1436</v>
      </c>
      <c r="B1497" s="138">
        <f>'Expenditures 15-22'!K268</f>
        <v>71564</v>
      </c>
      <c r="C1497" s="2" t="s">
        <v>593</v>
      </c>
      <c r="D1497" s="2" t="str">
        <f t="shared" si="22"/>
        <v>Error?</v>
      </c>
    </row>
    <row r="1498" spans="1:4" x14ac:dyDescent="0.2">
      <c r="A1498" s="5">
        <v>1437</v>
      </c>
      <c r="B1498" s="138">
        <f>'Expenditures 15-22'!K269</f>
        <v>0</v>
      </c>
      <c r="C1498" s="2" t="s">
        <v>593</v>
      </c>
      <c r="D1498" s="2" t="str">
        <f t="shared" si="22"/>
        <v>Error?</v>
      </c>
    </row>
    <row r="1499" spans="1:4" x14ac:dyDescent="0.2">
      <c r="A1499" s="10">
        <v>1438</v>
      </c>
      <c r="D1499" s="2" t="str">
        <f t="shared" si="22"/>
        <v>OK</v>
      </c>
    </row>
    <row r="1500" spans="1:4" x14ac:dyDescent="0.2">
      <c r="A1500" s="5">
        <v>1439</v>
      </c>
      <c r="B1500" s="138">
        <f>'Expenditures 15-22'!K270</f>
        <v>465256</v>
      </c>
      <c r="C1500" s="2" t="s">
        <v>593</v>
      </c>
      <c r="D1500" s="2" t="str">
        <f t="shared" si="22"/>
        <v>Error?</v>
      </c>
    </row>
    <row r="1501" spans="1:4" x14ac:dyDescent="0.2">
      <c r="A1501" s="5">
        <v>1440</v>
      </c>
      <c r="B1501" s="138">
        <f>'Expenditures 15-22'!K272</f>
        <v>0</v>
      </c>
      <c r="C1501" s="2" t="s">
        <v>593</v>
      </c>
      <c r="D1501" s="2" t="str">
        <f t="shared" si="22"/>
        <v>Error?</v>
      </c>
    </row>
    <row r="1502" spans="1:4" x14ac:dyDescent="0.2">
      <c r="A1502" s="5">
        <v>1441</v>
      </c>
      <c r="B1502" s="138">
        <f>'Expenditures 15-22'!K273</f>
        <v>0</v>
      </c>
      <c r="C1502" s="2" t="s">
        <v>593</v>
      </c>
      <c r="D1502" s="2" t="str">
        <f t="shared" si="22"/>
        <v>Error?</v>
      </c>
    </row>
    <row r="1503" spans="1:4" x14ac:dyDescent="0.2">
      <c r="A1503" s="5">
        <v>1442</v>
      </c>
      <c r="B1503" s="138">
        <f>'Expenditures 15-22'!K274</f>
        <v>0</v>
      </c>
      <c r="C1503" s="2" t="s">
        <v>593</v>
      </c>
      <c r="D1503" s="2" t="str">
        <f t="shared" si="22"/>
        <v>Error?</v>
      </c>
    </row>
    <row r="1504" spans="1:4" x14ac:dyDescent="0.2">
      <c r="A1504" s="5">
        <v>1443</v>
      </c>
      <c r="B1504" s="138">
        <f>'Expenditures 15-22'!K275</f>
        <v>0</v>
      </c>
      <c r="C1504" s="2" t="s">
        <v>593</v>
      </c>
      <c r="D1504" s="2" t="str">
        <f t="shared" si="22"/>
        <v>Error?</v>
      </c>
    </row>
    <row r="1505" spans="1:4" x14ac:dyDescent="0.2">
      <c r="A1505" s="10">
        <v>1444</v>
      </c>
      <c r="D1505" s="2" t="str">
        <f t="shared" si="22"/>
        <v>OK</v>
      </c>
    </row>
    <row r="1506" spans="1:4" x14ac:dyDescent="0.2">
      <c r="A1506" s="5">
        <v>1445</v>
      </c>
      <c r="B1506" s="138">
        <f>'Expenditures 15-22'!K276</f>
        <v>57489</v>
      </c>
      <c r="C1506" s="2" t="s">
        <v>593</v>
      </c>
      <c r="D1506" s="2" t="str">
        <f t="shared" si="22"/>
        <v>Error?</v>
      </c>
    </row>
    <row r="1507" spans="1:4" x14ac:dyDescent="0.2">
      <c r="A1507" s="10">
        <v>1446</v>
      </c>
      <c r="D1507" s="2" t="str">
        <f t="shared" si="22"/>
        <v>OK</v>
      </c>
    </row>
    <row r="1508" spans="1:4" x14ac:dyDescent="0.2">
      <c r="A1508" s="5">
        <v>1447</v>
      </c>
      <c r="B1508" s="138">
        <f>'Expenditures 15-22'!K277</f>
        <v>57489</v>
      </c>
      <c r="C1508" s="2" t="s">
        <v>593</v>
      </c>
      <c r="D1508" s="2" t="str">
        <f t="shared" si="22"/>
        <v>Error?</v>
      </c>
    </row>
    <row r="1509" spans="1:4" x14ac:dyDescent="0.2">
      <c r="A1509" s="5">
        <v>1448</v>
      </c>
      <c r="B1509" s="138">
        <f>'Expenditures 15-22'!K278</f>
        <v>0</v>
      </c>
      <c r="C1509" s="2" t="s">
        <v>593</v>
      </c>
      <c r="D1509" s="2" t="str">
        <f t="shared" si="22"/>
        <v>Error?</v>
      </c>
    </row>
    <row r="1510" spans="1:4" x14ac:dyDescent="0.2">
      <c r="A1510" s="5">
        <v>1449</v>
      </c>
      <c r="B1510" s="138">
        <f>'Expenditures 15-22'!K279</f>
        <v>689671</v>
      </c>
      <c r="C1510" s="2" t="s">
        <v>593</v>
      </c>
      <c r="D1510" s="2" t="str">
        <f t="shared" si="22"/>
        <v>Error?</v>
      </c>
    </row>
    <row r="1511" spans="1:4" x14ac:dyDescent="0.2">
      <c r="A1511" s="5">
        <v>1450</v>
      </c>
      <c r="B1511" s="138">
        <f>'Expenditures 15-22'!K280</f>
        <v>14408</v>
      </c>
      <c r="C1511" s="2" t="s">
        <v>593</v>
      </c>
      <c r="D1511" s="2" t="str">
        <f t="shared" si="22"/>
        <v>Error?</v>
      </c>
    </row>
    <row r="1512" spans="1:4" x14ac:dyDescent="0.2">
      <c r="A1512" s="5">
        <v>1451</v>
      </c>
      <c r="B1512" s="138">
        <f>'Expenditures 15-22'!K288</f>
        <v>0</v>
      </c>
      <c r="C1512" s="2" t="s">
        <v>593</v>
      </c>
      <c r="D1512" s="2" t="str">
        <f t="shared" si="22"/>
        <v>Error?</v>
      </c>
    </row>
    <row r="1513" spans="1:4" x14ac:dyDescent="0.2">
      <c r="A1513" s="5">
        <v>1452</v>
      </c>
      <c r="B1513" s="138">
        <f>'Expenditures 15-22'!K289</f>
        <v>0</v>
      </c>
      <c r="C1513" s="2" t="s">
        <v>593</v>
      </c>
      <c r="D1513" s="2" t="str">
        <f t="shared" si="22"/>
        <v>Error?</v>
      </c>
    </row>
    <row r="1514" spans="1:4" x14ac:dyDescent="0.2">
      <c r="A1514" s="5">
        <v>1453</v>
      </c>
      <c r="B1514" s="138">
        <f>'Expenditures 15-22'!K292</f>
        <v>0</v>
      </c>
      <c r="C1514" s="2" t="s">
        <v>593</v>
      </c>
      <c r="D1514" s="2" t="str">
        <f t="shared" si="22"/>
        <v>Error?</v>
      </c>
    </row>
    <row r="1515" spans="1:4" x14ac:dyDescent="0.2">
      <c r="A1515" s="5">
        <v>1454</v>
      </c>
      <c r="B1515" s="138">
        <f>'Expenditures 15-22'!K293</f>
        <v>0</v>
      </c>
      <c r="C1515" s="2" t="s">
        <v>593</v>
      </c>
      <c r="D1515" s="2" t="str">
        <f t="shared" si="22"/>
        <v>Error?</v>
      </c>
    </row>
    <row r="1516" spans="1:4" x14ac:dyDescent="0.2">
      <c r="A1516" s="10">
        <v>1455</v>
      </c>
      <c r="D1516" s="2" t="str">
        <f t="shared" si="22"/>
        <v>OK</v>
      </c>
    </row>
    <row r="1517" spans="1:4" x14ac:dyDescent="0.2">
      <c r="A1517" s="5">
        <v>1456</v>
      </c>
      <c r="B1517" s="138">
        <f>'Expenditures 15-22'!K295</f>
        <v>1036275</v>
      </c>
      <c r="C1517" s="2" t="s">
        <v>593</v>
      </c>
      <c r="D1517" s="2" t="str">
        <f t="shared" si="22"/>
        <v>Error?</v>
      </c>
    </row>
    <row r="1518" spans="1:4" x14ac:dyDescent="0.2">
      <c r="A1518" s="5">
        <v>1457</v>
      </c>
      <c r="B1518" s="138">
        <f>'Expenditures 15-22'!K296</f>
        <v>218462</v>
      </c>
      <c r="C1518" s="2" t="s">
        <v>593</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593</v>
      </c>
      <c r="D1523" s="2" t="str">
        <f t="shared" si="22"/>
        <v>Error?</v>
      </c>
    </row>
    <row r="1524" spans="1:4" x14ac:dyDescent="0.2">
      <c r="A1524" s="5">
        <v>1463</v>
      </c>
      <c r="B1524" s="138">
        <f>'Expenditures 15-22'!C312</f>
        <v>0</v>
      </c>
      <c r="C1524" s="2" t="s">
        <v>593</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593</v>
      </c>
      <c r="D1529" s="2" t="str">
        <f t="shared" si="22"/>
        <v>Error?</v>
      </c>
    </row>
    <row r="1530" spans="1:4" x14ac:dyDescent="0.2">
      <c r="A1530" s="5">
        <v>1469</v>
      </c>
      <c r="B1530" s="138">
        <f>'Expenditures 15-22'!D312</f>
        <v>0</v>
      </c>
      <c r="C1530" s="2" t="s">
        <v>593</v>
      </c>
      <c r="D1530" s="2" t="str">
        <f t="shared" si="22"/>
        <v>Error?</v>
      </c>
    </row>
    <row r="1531" spans="1:4" x14ac:dyDescent="0.2">
      <c r="A1531" s="5">
        <v>1470</v>
      </c>
      <c r="B1531" s="138">
        <f>'Expenditures 15-22'!E301</f>
        <v>23855</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23855</v>
      </c>
      <c r="C1535" s="2" t="s">
        <v>593</v>
      </c>
      <c r="D1535" s="2" t="str">
        <f t="shared" ref="D1535:D1598" si="23">IF(ISBLANK(B1535),"OK",IF(A1535-B1535=0,"OK","Error?"))</f>
        <v>Error?</v>
      </c>
    </row>
    <row r="1536" spans="1:4" x14ac:dyDescent="0.2">
      <c r="A1536" s="5">
        <v>1475</v>
      </c>
      <c r="B1536" s="138">
        <f>'Expenditures 15-22'!E312</f>
        <v>23855</v>
      </c>
      <c r="C1536" s="2" t="s">
        <v>593</v>
      </c>
      <c r="D1536" s="2" t="str">
        <f t="shared" si="23"/>
        <v>Error?</v>
      </c>
    </row>
    <row r="1537" spans="1:4" x14ac:dyDescent="0.2">
      <c r="A1537" s="5">
        <v>1476</v>
      </c>
      <c r="B1537" s="138">
        <f>'Expenditures 15-22'!F301</f>
        <v>6827</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6827</v>
      </c>
      <c r="C1541" s="2" t="s">
        <v>593</v>
      </c>
      <c r="D1541" s="2" t="str">
        <f t="shared" si="23"/>
        <v>Error?</v>
      </c>
    </row>
    <row r="1542" spans="1:4" x14ac:dyDescent="0.2">
      <c r="A1542" s="5">
        <v>1481</v>
      </c>
      <c r="B1542" s="138">
        <f>'Expenditures 15-22'!F312</f>
        <v>6827</v>
      </c>
      <c r="C1542" s="2" t="s">
        <v>593</v>
      </c>
      <c r="D1542" s="2" t="str">
        <f t="shared" si="23"/>
        <v>Error?</v>
      </c>
    </row>
    <row r="1543" spans="1:4" x14ac:dyDescent="0.2">
      <c r="A1543" s="5">
        <v>1482</v>
      </c>
      <c r="B1543" s="138">
        <f>'Expenditures 15-22'!G301</f>
        <v>1130385</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1130385</v>
      </c>
      <c r="C1547" s="2" t="s">
        <v>593</v>
      </c>
      <c r="D1547" s="2" t="str">
        <f t="shared" si="23"/>
        <v>Error?</v>
      </c>
    </row>
    <row r="1548" spans="1:4" x14ac:dyDescent="0.2">
      <c r="A1548" s="5">
        <v>1487</v>
      </c>
      <c r="B1548" s="138">
        <f>'Expenditures 15-22'!G312</f>
        <v>1130385</v>
      </c>
      <c r="C1548" s="2" t="s">
        <v>593</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593</v>
      </c>
      <c r="D1553" s="2" t="str">
        <f t="shared" si="23"/>
        <v>Error?</v>
      </c>
    </row>
    <row r="1554" spans="1:4" x14ac:dyDescent="0.2">
      <c r="A1554" s="5">
        <v>1493</v>
      </c>
      <c r="B1554" s="138">
        <f>'Expenditures 15-22'!H312</f>
        <v>0</v>
      </c>
      <c r="C1554" s="2" t="s">
        <v>593</v>
      </c>
      <c r="D1554" s="2" t="str">
        <f t="shared" si="23"/>
        <v>Error?</v>
      </c>
    </row>
    <row r="1555" spans="1:4" x14ac:dyDescent="0.2">
      <c r="A1555" s="5">
        <v>1494</v>
      </c>
      <c r="B1555" s="138">
        <f>'Expenditures 15-22'!K301</f>
        <v>1182033</v>
      </c>
      <c r="C1555" s="2" t="s">
        <v>593</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593</v>
      </c>
      <c r="D1558" s="2" t="str">
        <f t="shared" si="23"/>
        <v>Error?</v>
      </c>
    </row>
    <row r="1559" spans="1:4" x14ac:dyDescent="0.2">
      <c r="A1559" s="5">
        <v>1498</v>
      </c>
      <c r="B1559" s="138">
        <f>'Expenditures 15-22'!K303</f>
        <v>1182033</v>
      </c>
      <c r="C1559" s="2" t="s">
        <v>593</v>
      </c>
      <c r="D1559" s="2" t="str">
        <f t="shared" si="23"/>
        <v>Error?</v>
      </c>
    </row>
    <row r="1560" spans="1:4" x14ac:dyDescent="0.2">
      <c r="A1560" s="5">
        <v>1499</v>
      </c>
      <c r="B1560" s="138">
        <f>'Expenditures 15-22'!K312</f>
        <v>1182033</v>
      </c>
      <c r="C1560" s="2" t="s">
        <v>593</v>
      </c>
      <c r="D1560" s="2" t="str">
        <f t="shared" si="23"/>
        <v>Error?</v>
      </c>
    </row>
    <row r="1561" spans="1:4" x14ac:dyDescent="0.2">
      <c r="A1561" s="5">
        <v>1500</v>
      </c>
      <c r="B1561" s="138">
        <f>'Expenditures 15-22'!K313</f>
        <v>66184</v>
      </c>
      <c r="C1561" s="2" t="s">
        <v>593</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593</v>
      </c>
      <c r="D1569" s="2" t="str">
        <f t="shared" si="23"/>
        <v>OK</v>
      </c>
    </row>
    <row r="1570" spans="1:4" x14ac:dyDescent="0.2">
      <c r="A1570" s="10">
        <v>1509</v>
      </c>
      <c r="C1570" s="2" t="s">
        <v>593</v>
      </c>
      <c r="D1570" s="2" t="str">
        <f t="shared" si="23"/>
        <v>OK</v>
      </c>
    </row>
    <row r="1571" spans="1:4" x14ac:dyDescent="0.2">
      <c r="A1571" s="10">
        <v>1510</v>
      </c>
      <c r="D1571" s="2" t="str">
        <f t="shared" si="23"/>
        <v>OK</v>
      </c>
    </row>
    <row r="1572" spans="1:4" x14ac:dyDescent="0.2">
      <c r="A1572" s="10">
        <v>1511</v>
      </c>
      <c r="C1572" s="2" t="s">
        <v>593</v>
      </c>
      <c r="D1572" s="2" t="str">
        <f t="shared" si="23"/>
        <v>OK</v>
      </c>
    </row>
    <row r="1573" spans="1:4" x14ac:dyDescent="0.2">
      <c r="A1573" s="10">
        <v>1512</v>
      </c>
      <c r="C1573" s="2" t="s">
        <v>593</v>
      </c>
      <c r="D1573" s="2" t="str">
        <f t="shared" si="23"/>
        <v>OK</v>
      </c>
    </row>
    <row r="1574" spans="1:4" x14ac:dyDescent="0.2">
      <c r="A1574" s="10">
        <v>1513</v>
      </c>
      <c r="C1574" s="2" t="s">
        <v>593</v>
      </c>
      <c r="D1574" s="2" t="str">
        <f t="shared" si="23"/>
        <v>OK</v>
      </c>
    </row>
    <row r="1575" spans="1:4" x14ac:dyDescent="0.2">
      <c r="A1575" s="10">
        <v>1514</v>
      </c>
      <c r="C1575" s="2" t="s">
        <v>593</v>
      </c>
      <c r="D1575" s="2" t="str">
        <f t="shared" si="23"/>
        <v>OK</v>
      </c>
    </row>
    <row r="1576" spans="1:4" x14ac:dyDescent="0.2">
      <c r="A1576" s="10">
        <v>1515</v>
      </c>
      <c r="C1576" s="2" t="s">
        <v>593</v>
      </c>
      <c r="D1576" s="2" t="str">
        <f t="shared" si="23"/>
        <v>OK</v>
      </c>
    </row>
    <row r="1577" spans="1:4" x14ac:dyDescent="0.2">
      <c r="A1577" s="10">
        <v>1516</v>
      </c>
      <c r="C1577" s="2" t="s">
        <v>593</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3033609</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3651248</v>
      </c>
      <c r="C1630" s="2" t="s">
        <v>593</v>
      </c>
      <c r="D1630" s="2" t="str">
        <f t="shared" si="24"/>
        <v>Error?</v>
      </c>
    </row>
    <row r="1631" spans="1:4" x14ac:dyDescent="0.2">
      <c r="A1631" s="5">
        <v>1570</v>
      </c>
      <c r="B1631" s="138">
        <f>'Acct Summary 7-8'!D79</f>
        <v>517806</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303624</v>
      </c>
      <c r="C1644" s="2" t="s">
        <v>593</v>
      </c>
      <c r="D1644" s="2" t="str">
        <f t="shared" si="24"/>
        <v>Error?</v>
      </c>
    </row>
    <row r="1645" spans="1:4" x14ac:dyDescent="0.2">
      <c r="A1645" s="5">
        <v>1584</v>
      </c>
      <c r="B1645" s="138">
        <f>'Acct Summary 7-8'!E79</f>
        <v>782689</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856948</v>
      </c>
      <c r="C1658" s="2" t="s">
        <v>593</v>
      </c>
      <c r="D1658" s="2" t="str">
        <f t="shared" si="24"/>
        <v>Error?</v>
      </c>
    </row>
    <row r="1659" spans="1:4" x14ac:dyDescent="0.2">
      <c r="A1659" s="5">
        <v>1598</v>
      </c>
      <c r="B1659" s="138">
        <f>'Acct Summary 7-8'!F79</f>
        <v>859800</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1293431</v>
      </c>
      <c r="C1672" s="2" t="s">
        <v>593</v>
      </c>
      <c r="D1672" s="2" t="str">
        <f t="shared" si="25"/>
        <v>Error?</v>
      </c>
    </row>
    <row r="1673" spans="1:4" x14ac:dyDescent="0.2">
      <c r="A1673" s="5">
        <v>1612</v>
      </c>
      <c r="B1673" s="138">
        <f>'Acct Summary 7-8'!G79</f>
        <v>1431882</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1650344</v>
      </c>
      <c r="C1686" s="2" t="s">
        <v>593</v>
      </c>
      <c r="D1686" s="2" t="str">
        <f t="shared" si="25"/>
        <v>Error?</v>
      </c>
    </row>
    <row r="1687" spans="1:4" x14ac:dyDescent="0.2">
      <c r="A1687" s="5">
        <v>1626</v>
      </c>
      <c r="B1687" s="138">
        <f>'Acct Summary 7-8'!H79</f>
        <v>195925</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6365950</v>
      </c>
      <c r="C1700" s="2" t="s">
        <v>593</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593</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5589683</v>
      </c>
      <c r="C1744" s="2" t="s">
        <v>593</v>
      </c>
      <c r="D1744" s="2" t="str">
        <f t="shared" si="26"/>
        <v>Error?</v>
      </c>
    </row>
    <row r="1745" spans="1:5" x14ac:dyDescent="0.2">
      <c r="A1745" s="5">
        <v>1684</v>
      </c>
      <c r="B1745" s="138">
        <f>'Tax Sched 23'!B5</f>
        <v>1518936</v>
      </c>
      <c r="C1745" s="2" t="s">
        <v>593</v>
      </c>
      <c r="D1745" s="2" t="str">
        <f t="shared" si="26"/>
        <v>Error?</v>
      </c>
    </row>
    <row r="1746" spans="1:5" x14ac:dyDescent="0.2">
      <c r="A1746" s="5">
        <v>1685</v>
      </c>
      <c r="B1746" s="138">
        <f>'Tax Sched 23'!B6</f>
        <v>3124947</v>
      </c>
      <c r="C1746" s="2" t="s">
        <v>593</v>
      </c>
      <c r="D1746" s="2" t="str">
        <f t="shared" si="26"/>
        <v>Error?</v>
      </c>
    </row>
    <row r="1747" spans="1:5" x14ac:dyDescent="0.2">
      <c r="A1747" s="5">
        <v>1686</v>
      </c>
      <c r="B1747" s="138">
        <f>'Tax Sched 23'!B7</f>
        <v>607580</v>
      </c>
      <c r="C1747" s="2" t="s">
        <v>593</v>
      </c>
      <c r="D1747" s="2" t="str">
        <f t="shared" si="26"/>
        <v>Error?</v>
      </c>
    </row>
    <row r="1748" spans="1:5" x14ac:dyDescent="0.2">
      <c r="A1748" s="5">
        <v>1687</v>
      </c>
      <c r="B1748" s="138">
        <f>'Tax Sched 23'!B8</f>
        <v>657392</v>
      </c>
      <c r="C1748" s="2" t="s">
        <v>593</v>
      </c>
      <c r="D1748" s="2" t="str">
        <f t="shared" si="26"/>
        <v>Error?</v>
      </c>
    </row>
    <row r="1749" spans="1:5" x14ac:dyDescent="0.2">
      <c r="A1749" s="5">
        <v>1688</v>
      </c>
      <c r="B1749" s="138">
        <f>'Tax Sched 23'!B10</f>
        <v>151888</v>
      </c>
      <c r="C1749" s="2" t="s">
        <v>593</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593</v>
      </c>
      <c r="D1751" s="2" t="str">
        <f t="shared" si="26"/>
        <v>Error?</v>
      </c>
    </row>
    <row r="1752" spans="1:5" x14ac:dyDescent="0.2">
      <c r="A1752" s="5">
        <v>1691</v>
      </c>
      <c r="B1752" s="138">
        <f>'Tax Sched 23'!B11</f>
        <v>1490807</v>
      </c>
      <c r="C1752" s="2" t="s">
        <v>593</v>
      </c>
      <c r="D1752" s="2" t="str">
        <f t="shared" si="26"/>
        <v>Error?</v>
      </c>
    </row>
    <row r="1753" spans="1:5" x14ac:dyDescent="0.2">
      <c r="A1753" s="5">
        <v>1692</v>
      </c>
      <c r="B1753" s="138">
        <f>'Tax Sched 23'!B12</f>
        <v>151888</v>
      </c>
      <c r="C1753" s="2" t="s">
        <v>593</v>
      </c>
      <c r="D1753" s="2" t="str">
        <f t="shared" si="26"/>
        <v>Error?</v>
      </c>
    </row>
    <row r="1754" spans="1:5" x14ac:dyDescent="0.2">
      <c r="A1754" s="5">
        <v>1693</v>
      </c>
      <c r="B1754" s="138">
        <f>'Tax Sched 23'!B14</f>
        <v>121519</v>
      </c>
      <c r="C1754" s="2" t="s">
        <v>593</v>
      </c>
      <c r="D1754" s="2" t="str">
        <f t="shared" si="26"/>
        <v>Error?</v>
      </c>
    </row>
    <row r="1755" spans="1:5" x14ac:dyDescent="0.2">
      <c r="A1755" s="10">
        <v>1694</v>
      </c>
      <c r="D1755" s="2" t="str">
        <f t="shared" si="26"/>
        <v>OK</v>
      </c>
    </row>
    <row r="1756" spans="1:5" x14ac:dyDescent="0.2">
      <c r="A1756" s="5">
        <v>1695</v>
      </c>
      <c r="B1756" s="138">
        <f>'Tax Sched 23'!B15</f>
        <v>0</v>
      </c>
      <c r="C1756" s="2" t="s">
        <v>593</v>
      </c>
      <c r="D1756" s="2" t="str">
        <f t="shared" si="26"/>
        <v>Error?</v>
      </c>
    </row>
    <row r="1757" spans="1:5" x14ac:dyDescent="0.2">
      <c r="A1757" s="10">
        <v>1696</v>
      </c>
      <c r="C1757" s="2" t="s">
        <v>593</v>
      </c>
      <c r="D1757" s="2" t="str">
        <f t="shared" si="26"/>
        <v>OK</v>
      </c>
    </row>
    <row r="1758" spans="1:5" x14ac:dyDescent="0.2">
      <c r="A1758" s="10">
        <v>1697</v>
      </c>
      <c r="C1758" s="2" t="s">
        <v>593</v>
      </c>
      <c r="D1758" s="2" t="str">
        <f t="shared" si="26"/>
        <v>OK</v>
      </c>
    </row>
    <row r="1759" spans="1:5" x14ac:dyDescent="0.2">
      <c r="A1759" s="5">
        <v>1698</v>
      </c>
      <c r="B1759" s="138">
        <f>'Tax Sched 23'!B19</f>
        <v>13928873</v>
      </c>
      <c r="C1759" s="2" t="s">
        <v>593</v>
      </c>
      <c r="D1759" s="2" t="str">
        <f t="shared" si="26"/>
        <v>Error?</v>
      </c>
    </row>
    <row r="1760" spans="1:5" x14ac:dyDescent="0.2">
      <c r="A1760" s="5">
        <v>1699</v>
      </c>
      <c r="B1760" s="138">
        <f>'Tax Sched 23'!D4</f>
        <v>5589683</v>
      </c>
      <c r="C1760" s="2" t="s">
        <v>593</v>
      </c>
      <c r="D1760" s="2" t="str">
        <f t="shared" si="26"/>
        <v>Error?</v>
      </c>
    </row>
    <row r="1761" spans="1:5" x14ac:dyDescent="0.2">
      <c r="A1761" s="5">
        <v>1700</v>
      </c>
      <c r="B1761" s="138">
        <f>'Tax Sched 23'!D5</f>
        <v>1518936</v>
      </c>
      <c r="C1761" s="2" t="s">
        <v>593</v>
      </c>
      <c r="D1761" s="2" t="str">
        <f t="shared" si="26"/>
        <v>Error?</v>
      </c>
    </row>
    <row r="1762" spans="1:5" s="8" customFormat="1" x14ac:dyDescent="0.2">
      <c r="A1762" s="5">
        <v>1701</v>
      </c>
      <c r="B1762" s="138">
        <f>'Tax Sched 23'!D6</f>
        <v>3124947</v>
      </c>
      <c r="C1762" s="2" t="s">
        <v>593</v>
      </c>
      <c r="D1762" s="2" t="str">
        <f t="shared" si="26"/>
        <v>Error?</v>
      </c>
      <c r="E1762" s="9"/>
    </row>
    <row r="1763" spans="1:5" x14ac:dyDescent="0.2">
      <c r="A1763" s="5">
        <v>1702</v>
      </c>
      <c r="B1763" s="138">
        <f>'Tax Sched 23'!D7</f>
        <v>607580</v>
      </c>
      <c r="C1763" s="2" t="s">
        <v>593</v>
      </c>
      <c r="D1763" s="2" t="str">
        <f t="shared" si="26"/>
        <v>Error?</v>
      </c>
    </row>
    <row r="1764" spans="1:5" x14ac:dyDescent="0.2">
      <c r="A1764" s="5">
        <v>1703</v>
      </c>
      <c r="B1764" s="138">
        <f>'Tax Sched 23'!D8</f>
        <v>657392</v>
      </c>
      <c r="C1764" s="2" t="s">
        <v>593</v>
      </c>
      <c r="D1764" s="2" t="str">
        <f t="shared" si="26"/>
        <v>Error?</v>
      </c>
    </row>
    <row r="1765" spans="1:5" x14ac:dyDescent="0.2">
      <c r="A1765" s="5">
        <v>1704</v>
      </c>
      <c r="B1765" s="138">
        <f>'Tax Sched 23'!D10</f>
        <v>151888</v>
      </c>
      <c r="C1765" s="2" t="s">
        <v>593</v>
      </c>
      <c r="D1765" s="2" t="str">
        <f t="shared" si="26"/>
        <v>Error?</v>
      </c>
    </row>
    <row r="1766" spans="1:5" x14ac:dyDescent="0.2">
      <c r="A1766" s="10">
        <v>1705</v>
      </c>
      <c r="C1766" s="2" t="s">
        <v>593</v>
      </c>
      <c r="D1766" s="2" t="str">
        <f t="shared" si="26"/>
        <v>OK</v>
      </c>
    </row>
    <row r="1767" spans="1:5" x14ac:dyDescent="0.2">
      <c r="A1767" s="5">
        <v>1706</v>
      </c>
      <c r="B1767" s="138">
        <f>'Tax Sched 23'!D9</f>
        <v>0</v>
      </c>
      <c r="C1767" s="2" t="s">
        <v>593</v>
      </c>
      <c r="D1767" s="2" t="str">
        <f t="shared" si="26"/>
        <v>Error?</v>
      </c>
    </row>
    <row r="1768" spans="1:5" x14ac:dyDescent="0.2">
      <c r="A1768" s="5">
        <v>1707</v>
      </c>
      <c r="B1768" s="138">
        <f>'Tax Sched 23'!D11</f>
        <v>1490807</v>
      </c>
      <c r="C1768" s="2" t="s">
        <v>593</v>
      </c>
      <c r="D1768" s="2" t="str">
        <f t="shared" si="26"/>
        <v>Error?</v>
      </c>
    </row>
    <row r="1769" spans="1:5" x14ac:dyDescent="0.2">
      <c r="A1769" s="5">
        <v>1708</v>
      </c>
      <c r="B1769" s="138">
        <f>'Tax Sched 23'!D12</f>
        <v>151888</v>
      </c>
      <c r="C1769" s="2" t="s">
        <v>593</v>
      </c>
      <c r="D1769" s="2" t="str">
        <f t="shared" si="26"/>
        <v>Error?</v>
      </c>
    </row>
    <row r="1770" spans="1:5" x14ac:dyDescent="0.2">
      <c r="A1770" s="5">
        <v>1709</v>
      </c>
      <c r="B1770" s="138">
        <f>'Tax Sched 23'!D14</f>
        <v>121519</v>
      </c>
      <c r="C1770" s="2" t="s">
        <v>593</v>
      </c>
      <c r="D1770" s="2" t="str">
        <f t="shared" si="26"/>
        <v>Error?</v>
      </c>
    </row>
    <row r="1771" spans="1:5" x14ac:dyDescent="0.2">
      <c r="A1771" s="10">
        <v>1710</v>
      </c>
      <c r="D1771" s="2" t="str">
        <f t="shared" si="26"/>
        <v>OK</v>
      </c>
    </row>
    <row r="1772" spans="1:5" x14ac:dyDescent="0.2">
      <c r="A1772" s="5">
        <v>1711</v>
      </c>
      <c r="B1772" s="138">
        <f>'Tax Sched 23'!D15</f>
        <v>0</v>
      </c>
      <c r="C1772" s="2" t="s">
        <v>593</v>
      </c>
      <c r="D1772" s="2" t="str">
        <f t="shared" si="26"/>
        <v>Error?</v>
      </c>
    </row>
    <row r="1773" spans="1:5" x14ac:dyDescent="0.2">
      <c r="A1773" s="10">
        <v>1712</v>
      </c>
      <c r="C1773" s="2" t="s">
        <v>593</v>
      </c>
      <c r="D1773" s="2" t="str">
        <f t="shared" si="26"/>
        <v>OK</v>
      </c>
    </row>
    <row r="1774" spans="1:5" x14ac:dyDescent="0.2">
      <c r="A1774" s="10">
        <v>1713</v>
      </c>
      <c r="C1774" s="2" t="s">
        <v>593</v>
      </c>
      <c r="D1774" s="2" t="str">
        <f t="shared" si="26"/>
        <v>OK</v>
      </c>
    </row>
    <row r="1775" spans="1:5" x14ac:dyDescent="0.2">
      <c r="A1775" s="5">
        <v>1714</v>
      </c>
      <c r="B1775" s="138">
        <f>'Tax Sched 23'!D19</f>
        <v>13928873</v>
      </c>
      <c r="C1775" s="2" t="s">
        <v>593</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593</v>
      </c>
      <c r="D1791" s="2" t="str">
        <f t="shared" ref="D1791:D1854" si="27">IF(ISBLANK(B1791),"OK",IF(A1791-B1791=0,"OK","Error?"))</f>
        <v>Error?</v>
      </c>
    </row>
    <row r="1792" spans="1:4" x14ac:dyDescent="0.2">
      <c r="A1792" s="5">
        <v>1731</v>
      </c>
      <c r="B1792" s="138">
        <f>'Tax Sched 23'!F4</f>
        <v>5657245</v>
      </c>
      <c r="C1792" s="2" t="s">
        <v>593</v>
      </c>
      <c r="D1792" s="2" t="str">
        <f t="shared" si="27"/>
        <v>Error?</v>
      </c>
    </row>
    <row r="1793" spans="1:4" x14ac:dyDescent="0.2">
      <c r="A1793" s="5">
        <v>1732</v>
      </c>
      <c r="B1793" s="138">
        <f>'Tax Sched 23'!F5</f>
        <v>1537295</v>
      </c>
      <c r="C1793" s="2" t="s">
        <v>593</v>
      </c>
      <c r="D1793" s="2" t="str">
        <f t="shared" si="27"/>
        <v>Error?</v>
      </c>
    </row>
    <row r="1794" spans="1:4" x14ac:dyDescent="0.2">
      <c r="A1794" s="5">
        <v>1733</v>
      </c>
      <c r="B1794" s="138">
        <f>'Tax Sched 23'!F6</f>
        <v>3134085</v>
      </c>
      <c r="C1794" s="2" t="s">
        <v>593</v>
      </c>
      <c r="D1794" s="2" t="str">
        <f t="shared" si="27"/>
        <v>Error?</v>
      </c>
    </row>
    <row r="1795" spans="1:4" x14ac:dyDescent="0.2">
      <c r="A1795" s="5">
        <v>1734</v>
      </c>
      <c r="B1795" s="138">
        <f>'Tax Sched 23'!F7</f>
        <v>614918</v>
      </c>
      <c r="C1795" s="2" t="s">
        <v>593</v>
      </c>
      <c r="D1795" s="2" t="str">
        <f t="shared" si="27"/>
        <v>Error?</v>
      </c>
    </row>
    <row r="1796" spans="1:4" x14ac:dyDescent="0.2">
      <c r="A1796" s="5">
        <v>1735</v>
      </c>
      <c r="B1796" s="138">
        <f>'Tax Sched 23'!F8</f>
        <v>600437</v>
      </c>
      <c r="C1796" s="2" t="s">
        <v>593</v>
      </c>
      <c r="D1796" s="2" t="str">
        <f t="shared" si="27"/>
        <v>Error?</v>
      </c>
    </row>
    <row r="1797" spans="1:4" x14ac:dyDescent="0.2">
      <c r="A1797" s="5">
        <v>1736</v>
      </c>
      <c r="B1797" s="138">
        <f>'Tax Sched 23'!F10</f>
        <v>153729</v>
      </c>
      <c r="C1797" s="2" t="s">
        <v>593</v>
      </c>
      <c r="D1797" s="2" t="str">
        <f t="shared" si="27"/>
        <v>Error?</v>
      </c>
    </row>
    <row r="1798" spans="1:4" x14ac:dyDescent="0.2">
      <c r="A1798" s="10">
        <v>1737</v>
      </c>
      <c r="C1798" s="2" t="s">
        <v>593</v>
      </c>
      <c r="D1798" s="2" t="str">
        <f t="shared" si="27"/>
        <v>OK</v>
      </c>
    </row>
    <row r="1799" spans="1:4" x14ac:dyDescent="0.2">
      <c r="A1799" s="5">
        <v>1738</v>
      </c>
      <c r="B1799" s="138">
        <f>'Tax Sched 23'!F9</f>
        <v>0</v>
      </c>
      <c r="C1799" s="2" t="s">
        <v>593</v>
      </c>
      <c r="D1799" s="2" t="str">
        <f t="shared" si="27"/>
        <v>Error?</v>
      </c>
    </row>
    <row r="1800" spans="1:4" x14ac:dyDescent="0.2">
      <c r="A1800" s="5">
        <v>1739</v>
      </c>
      <c r="B1800" s="138">
        <f>'Tax Sched 23'!F11</f>
        <v>1500000</v>
      </c>
      <c r="C1800" s="2" t="s">
        <v>593</v>
      </c>
      <c r="D1800" s="2" t="str">
        <f t="shared" si="27"/>
        <v>Error?</v>
      </c>
    </row>
    <row r="1801" spans="1:4" x14ac:dyDescent="0.2">
      <c r="A1801" s="5">
        <v>1740</v>
      </c>
      <c r="B1801" s="138">
        <f>'Tax Sched 23'!F12</f>
        <v>153729</v>
      </c>
      <c r="C1801" s="2" t="s">
        <v>593</v>
      </c>
      <c r="D1801" s="2" t="str">
        <f t="shared" si="27"/>
        <v>Error?</v>
      </c>
    </row>
    <row r="1802" spans="1:4" x14ac:dyDescent="0.2">
      <c r="A1802" s="5">
        <v>1741</v>
      </c>
      <c r="B1802" s="138">
        <f>'Tax Sched 23'!F14</f>
        <v>122984</v>
      </c>
      <c r="C1802" s="2" t="s">
        <v>593</v>
      </c>
      <c r="D1802" s="2" t="str">
        <f t="shared" si="27"/>
        <v>Error?</v>
      </c>
    </row>
    <row r="1803" spans="1:4" x14ac:dyDescent="0.2">
      <c r="A1803" s="10">
        <v>1742</v>
      </c>
      <c r="D1803" s="2" t="str">
        <f t="shared" si="27"/>
        <v>OK</v>
      </c>
    </row>
    <row r="1804" spans="1:4" x14ac:dyDescent="0.2">
      <c r="A1804" s="5">
        <v>1743</v>
      </c>
      <c r="B1804" s="138">
        <f>'Tax Sched 23'!F15</f>
        <v>0</v>
      </c>
      <c r="C1804" s="2" t="s">
        <v>593</v>
      </c>
      <c r="D1804" s="2" t="str">
        <f t="shared" si="27"/>
        <v>Error?</v>
      </c>
    </row>
    <row r="1805" spans="1:4" x14ac:dyDescent="0.2">
      <c r="A1805" s="10">
        <v>1744</v>
      </c>
      <c r="C1805" s="2" t="s">
        <v>593</v>
      </c>
      <c r="D1805" s="2" t="str">
        <f t="shared" si="27"/>
        <v>OK</v>
      </c>
    </row>
    <row r="1806" spans="1:4" x14ac:dyDescent="0.2">
      <c r="A1806" s="10">
        <v>1745</v>
      </c>
      <c r="C1806" s="2" t="s">
        <v>593</v>
      </c>
      <c r="D1806" s="2" t="str">
        <f t="shared" si="27"/>
        <v>OK</v>
      </c>
    </row>
    <row r="1807" spans="1:4" x14ac:dyDescent="0.2">
      <c r="A1807" s="12">
        <v>1746</v>
      </c>
      <c r="B1807" s="138">
        <f>'Tax Sched 23'!F19</f>
        <v>13912828</v>
      </c>
      <c r="C1807" s="2" t="s">
        <v>593</v>
      </c>
      <c r="D1807" s="2" t="str">
        <f t="shared" si="27"/>
        <v>Error?</v>
      </c>
    </row>
    <row r="1808" spans="1:4" x14ac:dyDescent="0.2">
      <c r="A1808" s="5">
        <v>1747</v>
      </c>
      <c r="B1808" s="138">
        <f>'Tax Sched 23'!E4</f>
        <v>5657245</v>
      </c>
      <c r="D1808" s="2" t="str">
        <f t="shared" si="27"/>
        <v>Error?</v>
      </c>
    </row>
    <row r="1809" spans="1:4" x14ac:dyDescent="0.2">
      <c r="A1809" s="5">
        <v>1748</v>
      </c>
      <c r="B1809" s="138">
        <f>'Tax Sched 23'!E5</f>
        <v>1537295</v>
      </c>
      <c r="D1809" s="2" t="str">
        <f t="shared" si="27"/>
        <v>Error?</v>
      </c>
    </row>
    <row r="1810" spans="1:4" x14ac:dyDescent="0.2">
      <c r="A1810" s="5">
        <v>1749</v>
      </c>
      <c r="B1810" s="138">
        <f>'Tax Sched 23'!E6</f>
        <v>3134085</v>
      </c>
      <c r="D1810" s="2" t="str">
        <f t="shared" si="27"/>
        <v>Error?</v>
      </c>
    </row>
    <row r="1811" spans="1:4" x14ac:dyDescent="0.2">
      <c r="A1811" s="5">
        <v>1750</v>
      </c>
      <c r="B1811" s="138">
        <f>'Tax Sched 23'!E7</f>
        <v>614918</v>
      </c>
      <c r="D1811" s="2" t="str">
        <f t="shared" si="27"/>
        <v>Error?</v>
      </c>
    </row>
    <row r="1812" spans="1:4" x14ac:dyDescent="0.2">
      <c r="A1812" s="5">
        <v>1751</v>
      </c>
      <c r="B1812" s="138">
        <f>'Tax Sched 23'!E8</f>
        <v>600437</v>
      </c>
      <c r="D1812" s="2" t="str">
        <f t="shared" si="27"/>
        <v>Error?</v>
      </c>
    </row>
    <row r="1813" spans="1:4" x14ac:dyDescent="0.2">
      <c r="A1813" s="5">
        <v>1752</v>
      </c>
      <c r="B1813" s="138">
        <f>'Tax Sched 23'!E10</f>
        <v>153729</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1500000</v>
      </c>
      <c r="D1816" s="2" t="str">
        <f t="shared" si="27"/>
        <v>Error?</v>
      </c>
    </row>
    <row r="1817" spans="1:4" x14ac:dyDescent="0.2">
      <c r="A1817" s="5">
        <v>1756</v>
      </c>
      <c r="B1817" s="138">
        <f>'Tax Sched 23'!E12</f>
        <v>153729</v>
      </c>
      <c r="D1817" s="2" t="str">
        <f t="shared" si="27"/>
        <v>Error?</v>
      </c>
    </row>
    <row r="1818" spans="1:4" x14ac:dyDescent="0.2">
      <c r="A1818" s="5">
        <v>1757</v>
      </c>
      <c r="B1818" s="138">
        <f>'Tax Sched 23'!E14</f>
        <v>122984</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13912828</v>
      </c>
      <c r="C1823" s="2" t="s">
        <v>593</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593</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593</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593</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593</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593</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593</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593</v>
      </c>
      <c r="D1867" s="2" t="str">
        <f t="shared" si="28"/>
        <v>Error?</v>
      </c>
    </row>
    <row r="1868" spans="1:4" x14ac:dyDescent="0.2">
      <c r="A1868" s="5">
        <v>1807</v>
      </c>
      <c r="B1868" s="138">
        <f>'Short-Term Long-Term Debt 24'!F7</f>
        <v>0</v>
      </c>
      <c r="C1868" s="2" t="s">
        <v>593</v>
      </c>
      <c r="D1868" s="2" t="str">
        <f t="shared" si="28"/>
        <v>Error?</v>
      </c>
    </row>
    <row r="1869" spans="1:4" x14ac:dyDescent="0.2">
      <c r="A1869" s="5">
        <v>1808</v>
      </c>
      <c r="B1869" s="138">
        <f>'Short-Term Long-Term Debt 24'!F12</f>
        <v>0</v>
      </c>
      <c r="C1869" s="2" t="s">
        <v>593</v>
      </c>
      <c r="D1869" s="2" t="str">
        <f t="shared" si="28"/>
        <v>Error?</v>
      </c>
    </row>
    <row r="1870" spans="1:4" x14ac:dyDescent="0.2">
      <c r="A1870" s="5">
        <v>1809</v>
      </c>
      <c r="B1870" s="138">
        <f>'Short-Term Long-Term Debt 24'!F11</f>
        <v>0</v>
      </c>
      <c r="C1870" s="2" t="s">
        <v>593</v>
      </c>
      <c r="D1870" s="2" t="str">
        <f t="shared" si="28"/>
        <v>Error?</v>
      </c>
    </row>
    <row r="1871" spans="1:4" x14ac:dyDescent="0.2">
      <c r="A1871" s="5">
        <v>1810</v>
      </c>
      <c r="B1871" s="138">
        <f>'Short-Term Long-Term Debt 24'!F8</f>
        <v>0</v>
      </c>
      <c r="C1871" s="2" t="s">
        <v>593</v>
      </c>
      <c r="D1871" s="2" t="str">
        <f t="shared" si="28"/>
        <v>Error?</v>
      </c>
    </row>
    <row r="1872" spans="1:4" x14ac:dyDescent="0.2">
      <c r="A1872" s="5">
        <v>1811</v>
      </c>
      <c r="B1872" s="138">
        <f>'Short-Term Long-Term Debt 24'!F9</f>
        <v>0</v>
      </c>
      <c r="C1872" s="2" t="s">
        <v>593</v>
      </c>
      <c r="D1872" s="2" t="str">
        <f t="shared" si="28"/>
        <v>Error?</v>
      </c>
    </row>
    <row r="1873" spans="1:4" x14ac:dyDescent="0.2">
      <c r="A1873" s="5">
        <v>1812</v>
      </c>
      <c r="B1873" s="138">
        <f>'Short-Term Long-Term Debt 24'!F10</f>
        <v>0</v>
      </c>
      <c r="C1873" s="2" t="s">
        <v>593</v>
      </c>
      <c r="D1873" s="2" t="str">
        <f t="shared" si="28"/>
        <v>Error?</v>
      </c>
    </row>
    <row r="1874" spans="1:4" x14ac:dyDescent="0.2">
      <c r="A1874" s="5">
        <v>1813</v>
      </c>
      <c r="B1874" s="138">
        <f>'Short-Term Long-Term Debt 24'!F14</f>
        <v>0</v>
      </c>
      <c r="C1874" s="2" t="s">
        <v>593</v>
      </c>
      <c r="D1874" s="2" t="str">
        <f t="shared" si="28"/>
        <v>Error?</v>
      </c>
    </row>
    <row r="1875" spans="1:4" x14ac:dyDescent="0.2">
      <c r="A1875" s="5">
        <v>1814</v>
      </c>
      <c r="B1875" s="138">
        <f>'Short-Term Long-Term Debt 24'!F15</f>
        <v>0</v>
      </c>
      <c r="C1875" s="2" t="s">
        <v>593</v>
      </c>
      <c r="D1875" s="2" t="str">
        <f t="shared" si="28"/>
        <v>Error?</v>
      </c>
    </row>
    <row r="1876" spans="1:4" x14ac:dyDescent="0.2">
      <c r="A1876" s="5">
        <v>1815</v>
      </c>
      <c r="B1876" s="138">
        <f>'Short-Term Long-Term Debt 24'!F17</f>
        <v>0</v>
      </c>
      <c r="C1876" s="2" t="s">
        <v>593</v>
      </c>
      <c r="D1876" s="2" t="str">
        <f t="shared" si="28"/>
        <v>Error?</v>
      </c>
    </row>
    <row r="1877" spans="1:4" x14ac:dyDescent="0.2">
      <c r="A1877" s="5">
        <v>1816</v>
      </c>
      <c r="B1877" s="138">
        <f>'Short-Term Long-Term Debt 24'!F18</f>
        <v>0</v>
      </c>
      <c r="C1877" s="2" t="s">
        <v>593</v>
      </c>
      <c r="D1877" s="2" t="str">
        <f t="shared" si="28"/>
        <v>Error?</v>
      </c>
    </row>
    <row r="1878" spans="1:4" x14ac:dyDescent="0.2">
      <c r="A1878" s="5">
        <v>1817</v>
      </c>
      <c r="B1878" s="138">
        <f>'Short-Term Long-Term Debt 24'!F20</f>
        <v>0</v>
      </c>
      <c r="C1878" s="2" t="s">
        <v>593</v>
      </c>
      <c r="D1878" s="2" t="str">
        <f t="shared" si="28"/>
        <v>Error?</v>
      </c>
    </row>
    <row r="1879" spans="1:4" x14ac:dyDescent="0.2">
      <c r="A1879" s="5">
        <v>1818</v>
      </c>
      <c r="B1879" s="138">
        <f>'Short-Term Long-Term Debt 24'!F21</f>
        <v>0</v>
      </c>
      <c r="C1879" s="2" t="s">
        <v>593</v>
      </c>
      <c r="D1879" s="2" t="str">
        <f t="shared" si="28"/>
        <v>Error?</v>
      </c>
    </row>
    <row r="1880" spans="1:4" x14ac:dyDescent="0.2">
      <c r="A1880" s="5">
        <v>1819</v>
      </c>
      <c r="B1880" s="138">
        <f>'Short-Term Long-Term Debt 24'!F23</f>
        <v>0</v>
      </c>
      <c r="C1880" s="2" t="s">
        <v>593</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15418372</v>
      </c>
      <c r="C1939" s="2" t="s">
        <v>593</v>
      </c>
      <c r="D1939" s="2" t="str">
        <f t="shared" si="29"/>
        <v>Error?</v>
      </c>
    </row>
    <row r="1940" spans="1:5" x14ac:dyDescent="0.2">
      <c r="A1940" s="5">
        <v>1879</v>
      </c>
      <c r="B1940" s="138">
        <f>'Short-Term Long-Term Debt 24'!F49</f>
        <v>12711900</v>
      </c>
      <c r="C1940" s="2" t="s">
        <v>593</v>
      </c>
      <c r="D1940" s="2" t="str">
        <f t="shared" si="29"/>
        <v>Error?</v>
      </c>
    </row>
    <row r="1941" spans="1:5" x14ac:dyDescent="0.2">
      <c r="A1941" s="10">
        <v>1880</v>
      </c>
      <c r="C1941" s="2" t="s">
        <v>593</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593</v>
      </c>
      <c r="D1953" s="2" t="str">
        <f t="shared" si="29"/>
        <v>Error?</v>
      </c>
    </row>
    <row r="1954" spans="1:5" x14ac:dyDescent="0.2">
      <c r="A1954" s="10">
        <v>1893</v>
      </c>
      <c r="C1954" s="2" t="s">
        <v>593</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593</v>
      </c>
      <c r="D1957" s="2" t="str">
        <f t="shared" si="29"/>
        <v>Error?</v>
      </c>
    </row>
    <row r="1958" spans="1:5" x14ac:dyDescent="0.2">
      <c r="A1958" s="5">
        <v>1897</v>
      </c>
      <c r="B1958" s="138">
        <f>'Rest Tax Levies-Tort Im 25'!G24</f>
        <v>0</v>
      </c>
      <c r="C1958" s="2" t="s">
        <v>593</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121519</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121519</v>
      </c>
      <c r="C1977" s="2" t="s">
        <v>593</v>
      </c>
      <c r="D1977" s="2" t="str">
        <f t="shared" si="29"/>
        <v>Error?</v>
      </c>
    </row>
    <row r="1978" spans="1:5" x14ac:dyDescent="0.2">
      <c r="A1978" s="10">
        <v>1917</v>
      </c>
      <c r="C1978" s="2" t="s">
        <v>593</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121519</v>
      </c>
      <c r="C1982" s="2" t="s">
        <v>593</v>
      </c>
      <c r="D1982" s="2" t="str">
        <f t="shared" si="29"/>
        <v>Error?</v>
      </c>
    </row>
    <row r="1983" spans="1:5" x14ac:dyDescent="0.2">
      <c r="A1983" s="5">
        <v>1922</v>
      </c>
      <c r="B1983" s="138">
        <f>'Rest Tax Levies-Tort Im 25'!H24</f>
        <v>0</v>
      </c>
      <c r="C1983" s="2" t="s">
        <v>593</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593</v>
      </c>
      <c r="D1990" s="2" t="str">
        <f t="shared" si="30"/>
        <v>Error?</v>
      </c>
    </row>
    <row r="1991" spans="1:5" x14ac:dyDescent="0.2">
      <c r="A1991" s="10">
        <v>1930</v>
      </c>
      <c r="C1991" s="2" t="s">
        <v>593</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593</v>
      </c>
      <c r="D1995" s="2" t="str">
        <f t="shared" si="30"/>
        <v>Error?</v>
      </c>
    </row>
    <row r="1996" spans="1:5" x14ac:dyDescent="0.2">
      <c r="A1996" s="5">
        <v>1935</v>
      </c>
      <c r="B1996" s="138">
        <f>'Rest Tax Levies-Tort Im 25'!I24</f>
        <v>0</v>
      </c>
      <c r="C1996" s="2" t="s">
        <v>593</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209131</v>
      </c>
      <c r="D2008" s="2" t="str">
        <f t="shared" si="30"/>
        <v>Error?</v>
      </c>
    </row>
    <row r="2009" spans="1:4" x14ac:dyDescent="0.2">
      <c r="A2009" s="5">
        <v>1948</v>
      </c>
      <c r="B2009" s="138">
        <f>'Cap Outlay Deprec 26'!C8</f>
        <v>47301116</v>
      </c>
      <c r="D2009" s="2" t="str">
        <f t="shared" si="30"/>
        <v>Error?</v>
      </c>
    </row>
    <row r="2010" spans="1:4" x14ac:dyDescent="0.2">
      <c r="A2010" s="5">
        <v>1949</v>
      </c>
      <c r="B2010" s="138">
        <f>'Cap Outlay Deprec 26'!C10</f>
        <v>1362339</v>
      </c>
      <c r="D2010" s="2" t="str">
        <f t="shared" si="30"/>
        <v>Error?</v>
      </c>
    </row>
    <row r="2011" spans="1:4" x14ac:dyDescent="0.2">
      <c r="A2011" s="5">
        <v>1950</v>
      </c>
      <c r="B2011" s="138">
        <f>'Cap Outlay Deprec 26'!C12</f>
        <v>6366919</v>
      </c>
      <c r="D2011" s="2" t="str">
        <f t="shared" si="30"/>
        <v>Error?</v>
      </c>
    </row>
    <row r="2012" spans="1:4" x14ac:dyDescent="0.2">
      <c r="A2012" s="5">
        <v>1951</v>
      </c>
      <c r="B2012" s="138">
        <f>'Cap Outlay Deprec 26'!C13</f>
        <v>2649327</v>
      </c>
      <c r="D2012" s="2" t="str">
        <f t="shared" si="30"/>
        <v>Error?</v>
      </c>
    </row>
    <row r="2013" spans="1:4" x14ac:dyDescent="0.2">
      <c r="A2013" s="5">
        <v>1952</v>
      </c>
      <c r="B2013" s="138">
        <f>'Cap Outlay Deprec 26'!C16</f>
        <v>57944266</v>
      </c>
      <c r="C2013" s="2" t="s">
        <v>593</v>
      </c>
      <c r="D2013" s="2" t="str">
        <f t="shared" si="30"/>
        <v>Error?</v>
      </c>
    </row>
    <row r="2014" spans="1:4" x14ac:dyDescent="0.2">
      <c r="A2014" s="5">
        <v>1953</v>
      </c>
      <c r="B2014" s="138">
        <f>'Cap Outlay Deprec 26'!D5</f>
        <v>200000</v>
      </c>
      <c r="D2014" s="2" t="str">
        <f t="shared" si="30"/>
        <v>Error?</v>
      </c>
    </row>
    <row r="2015" spans="1:4" x14ac:dyDescent="0.2">
      <c r="A2015" s="5">
        <v>1954</v>
      </c>
      <c r="B2015" s="138">
        <f>'Cap Outlay Deprec 26'!D8</f>
        <v>68030</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477738</v>
      </c>
      <c r="D2017" s="2" t="str">
        <f t="shared" si="30"/>
        <v>Error?</v>
      </c>
    </row>
    <row r="2018" spans="1:4" x14ac:dyDescent="0.2">
      <c r="A2018" s="5">
        <v>1957</v>
      </c>
      <c r="B2018" s="138">
        <f>'Cap Outlay Deprec 26'!D13</f>
        <v>19135</v>
      </c>
      <c r="D2018" s="2" t="str">
        <f t="shared" si="30"/>
        <v>Error?</v>
      </c>
    </row>
    <row r="2019" spans="1:4" x14ac:dyDescent="0.2">
      <c r="A2019" s="5">
        <v>1958</v>
      </c>
      <c r="B2019" s="138">
        <f>'Cap Outlay Deprec 26'!D16</f>
        <v>2670189</v>
      </c>
      <c r="C2019" s="2" t="s">
        <v>593</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0</v>
      </c>
      <c r="C2025" s="2" t="s">
        <v>593</v>
      </c>
      <c r="D2025" s="2" t="str">
        <f t="shared" si="30"/>
        <v>Error?</v>
      </c>
    </row>
    <row r="2026" spans="1:4" x14ac:dyDescent="0.2">
      <c r="A2026" s="5">
        <v>1965</v>
      </c>
      <c r="B2026" s="138">
        <f>'Cap Outlay Deprec 26'!F5</f>
        <v>409131</v>
      </c>
      <c r="C2026" s="2" t="s">
        <v>593</v>
      </c>
      <c r="D2026" s="2" t="str">
        <f t="shared" si="30"/>
        <v>Error?</v>
      </c>
    </row>
    <row r="2027" spans="1:4" x14ac:dyDescent="0.2">
      <c r="A2027" s="5">
        <v>1966</v>
      </c>
      <c r="B2027" s="138">
        <f>'Cap Outlay Deprec 26'!F8</f>
        <v>47369146</v>
      </c>
      <c r="C2027" s="2" t="s">
        <v>593</v>
      </c>
      <c r="D2027" s="2" t="str">
        <f t="shared" si="30"/>
        <v>Error?</v>
      </c>
    </row>
    <row r="2028" spans="1:4" x14ac:dyDescent="0.2">
      <c r="A2028" s="5">
        <v>1967</v>
      </c>
      <c r="B2028" s="138">
        <f>'Cap Outlay Deprec 26'!F10</f>
        <v>1362339</v>
      </c>
      <c r="C2028" s="2" t="s">
        <v>593</v>
      </c>
      <c r="D2028" s="2" t="str">
        <f t="shared" si="30"/>
        <v>Error?</v>
      </c>
    </row>
    <row r="2029" spans="1:4" x14ac:dyDescent="0.2">
      <c r="A2029" s="5">
        <v>1968</v>
      </c>
      <c r="B2029" s="138">
        <f>'Cap Outlay Deprec 26'!F12</f>
        <v>6844657</v>
      </c>
      <c r="C2029" s="2" t="s">
        <v>593</v>
      </c>
      <c r="D2029" s="2" t="str">
        <f t="shared" si="30"/>
        <v>Error?</v>
      </c>
    </row>
    <row r="2030" spans="1:4" x14ac:dyDescent="0.2">
      <c r="A2030" s="5">
        <v>1969</v>
      </c>
      <c r="B2030" s="138">
        <f>'Cap Outlay Deprec 26'!F13</f>
        <v>2668462</v>
      </c>
      <c r="C2030" s="2" t="s">
        <v>593</v>
      </c>
      <c r="D2030" s="2" t="str">
        <f t="shared" si="30"/>
        <v>Error?</v>
      </c>
    </row>
    <row r="2031" spans="1:4" x14ac:dyDescent="0.2">
      <c r="A2031" s="5">
        <v>1970</v>
      </c>
      <c r="B2031" s="138">
        <f>'Cap Outlay Deprec 26'!F16</f>
        <v>60614455</v>
      </c>
      <c r="C2031" s="2" t="s">
        <v>593</v>
      </c>
      <c r="D2031" s="2" t="str">
        <f t="shared" si="30"/>
        <v>Error?</v>
      </c>
    </row>
    <row r="2032" spans="1:4" x14ac:dyDescent="0.2">
      <c r="A2032" s="10">
        <v>1971</v>
      </c>
      <c r="D2032" s="2" t="str">
        <f t="shared" si="30"/>
        <v>OK</v>
      </c>
    </row>
    <row r="2033" spans="1:4" x14ac:dyDescent="0.2">
      <c r="A2033" s="5">
        <v>1972</v>
      </c>
      <c r="B2033" s="138">
        <f>'Cap Outlay Deprec 26'!H8</f>
        <v>12461055</v>
      </c>
      <c r="D2033" s="2" t="str">
        <f t="shared" si="30"/>
        <v>Error?</v>
      </c>
    </row>
    <row r="2034" spans="1:4" x14ac:dyDescent="0.2">
      <c r="A2034" s="5">
        <v>1973</v>
      </c>
      <c r="B2034" s="138">
        <f>'Cap Outlay Deprec 26'!H10</f>
        <v>884732</v>
      </c>
      <c r="D2034" s="2" t="str">
        <f t="shared" si="30"/>
        <v>Error?</v>
      </c>
    </row>
    <row r="2035" spans="1:4" x14ac:dyDescent="0.2">
      <c r="A2035" s="5">
        <v>1974</v>
      </c>
      <c r="B2035" s="138">
        <f>'Cap Outlay Deprec 26'!H12</f>
        <v>5964816</v>
      </c>
      <c r="D2035" s="2" t="str">
        <f t="shared" si="30"/>
        <v>Error?</v>
      </c>
    </row>
    <row r="2036" spans="1:4" x14ac:dyDescent="0.2">
      <c r="A2036" s="5">
        <v>1975</v>
      </c>
      <c r="B2036" s="138">
        <f>'Cap Outlay Deprec 26'!H13</f>
        <v>1887677</v>
      </c>
      <c r="D2036" s="2" t="str">
        <f t="shared" si="30"/>
        <v>Error?</v>
      </c>
    </row>
    <row r="2037" spans="1:4" x14ac:dyDescent="0.2">
      <c r="A2037" s="5">
        <v>1976</v>
      </c>
      <c r="B2037" s="138">
        <f>'Cap Outlay Deprec 26'!H16</f>
        <v>21198280</v>
      </c>
      <c r="C2037" s="2" t="s">
        <v>593</v>
      </c>
      <c r="D2037" s="2" t="str">
        <f t="shared" si="30"/>
        <v>Error?</v>
      </c>
    </row>
    <row r="2038" spans="1:4" x14ac:dyDescent="0.2">
      <c r="A2038" s="10">
        <v>1977</v>
      </c>
      <c r="D2038" s="2" t="str">
        <f t="shared" si="30"/>
        <v>OK</v>
      </c>
    </row>
    <row r="2039" spans="1:4" x14ac:dyDescent="0.2">
      <c r="A2039" s="5">
        <v>1978</v>
      </c>
      <c r="B2039" s="138">
        <f>'Cap Outlay Deprec 26'!I8</f>
        <v>960004</v>
      </c>
      <c r="D2039" s="2" t="str">
        <f t="shared" si="30"/>
        <v>Error?</v>
      </c>
    </row>
    <row r="2040" spans="1:4" x14ac:dyDescent="0.2">
      <c r="A2040" s="5">
        <v>1979</v>
      </c>
      <c r="B2040" s="138">
        <f>'Cap Outlay Deprec 26'!I10</f>
        <v>40651</v>
      </c>
      <c r="D2040" s="2" t="str">
        <f t="shared" si="30"/>
        <v>Error?</v>
      </c>
    </row>
    <row r="2041" spans="1:4" x14ac:dyDescent="0.2">
      <c r="A2041" s="5">
        <v>1980</v>
      </c>
      <c r="B2041" s="138">
        <f>'Cap Outlay Deprec 26'!I12</f>
        <v>125963</v>
      </c>
      <c r="D2041" s="2" t="str">
        <f t="shared" si="30"/>
        <v>Error?</v>
      </c>
    </row>
    <row r="2042" spans="1:4" x14ac:dyDescent="0.2">
      <c r="A2042" s="5">
        <v>1981</v>
      </c>
      <c r="B2042" s="138">
        <f>'Cap Outlay Deprec 26'!I13</f>
        <v>204934</v>
      </c>
      <c r="D2042" s="2" t="str">
        <f t="shared" si="30"/>
        <v>Error?</v>
      </c>
    </row>
    <row r="2043" spans="1:4" x14ac:dyDescent="0.2">
      <c r="A2043" s="5">
        <v>1982</v>
      </c>
      <c r="B2043" s="138">
        <f>'Cap Outlay Deprec 26'!I16</f>
        <v>1331552</v>
      </c>
      <c r="C2043" s="2" t="s">
        <v>593</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593</v>
      </c>
      <c r="D2049" s="2" t="str">
        <f t="shared" si="31"/>
        <v>Error?</v>
      </c>
    </row>
    <row r="2050" spans="1:4" x14ac:dyDescent="0.2">
      <c r="A2050" s="10">
        <v>1989</v>
      </c>
      <c r="D2050" s="2" t="str">
        <f t="shared" si="31"/>
        <v>OK</v>
      </c>
    </row>
    <row r="2051" spans="1:4" x14ac:dyDescent="0.2">
      <c r="A2051" s="5">
        <v>1990</v>
      </c>
      <c r="B2051" s="138">
        <f>'Cap Outlay Deprec 26'!K8</f>
        <v>13421059</v>
      </c>
      <c r="C2051" s="2" t="s">
        <v>593</v>
      </c>
      <c r="D2051" s="2" t="str">
        <f t="shared" si="31"/>
        <v>Error?</v>
      </c>
    </row>
    <row r="2052" spans="1:4" x14ac:dyDescent="0.2">
      <c r="A2052" s="5">
        <v>1991</v>
      </c>
      <c r="B2052" s="138">
        <f>'Cap Outlay Deprec 26'!K10</f>
        <v>925383</v>
      </c>
      <c r="C2052" s="2" t="s">
        <v>593</v>
      </c>
      <c r="D2052" s="2" t="str">
        <f t="shared" si="31"/>
        <v>Error?</v>
      </c>
    </row>
    <row r="2053" spans="1:4" x14ac:dyDescent="0.2">
      <c r="A2053" s="5">
        <v>1992</v>
      </c>
      <c r="B2053" s="138">
        <f>'Cap Outlay Deprec 26'!K12</f>
        <v>6090779</v>
      </c>
      <c r="C2053" s="2" t="s">
        <v>593</v>
      </c>
      <c r="D2053" s="2" t="str">
        <f t="shared" si="31"/>
        <v>Error?</v>
      </c>
    </row>
    <row r="2054" spans="1:4" x14ac:dyDescent="0.2">
      <c r="A2054" s="5">
        <v>1993</v>
      </c>
      <c r="B2054" s="138">
        <f>'Cap Outlay Deprec 26'!K13</f>
        <v>2092611</v>
      </c>
      <c r="C2054" s="2" t="s">
        <v>593</v>
      </c>
      <c r="D2054" s="2" t="str">
        <f t="shared" si="31"/>
        <v>Error?</v>
      </c>
    </row>
    <row r="2055" spans="1:4" x14ac:dyDescent="0.2">
      <c r="A2055" s="5">
        <v>1994</v>
      </c>
      <c r="B2055" s="138">
        <f>'Cap Outlay Deprec 26'!K16</f>
        <v>22529832</v>
      </c>
      <c r="C2055" s="2" t="s">
        <v>593</v>
      </c>
      <c r="D2055" s="2" t="str">
        <f t="shared" si="31"/>
        <v>Error?</v>
      </c>
    </row>
    <row r="2056" spans="1:4" x14ac:dyDescent="0.2">
      <c r="A2056" s="5">
        <v>1995</v>
      </c>
      <c r="B2056" s="138">
        <f>'Cap Outlay Deprec 26'!L5</f>
        <v>409131</v>
      </c>
      <c r="C2056" s="2" t="s">
        <v>593</v>
      </c>
      <c r="D2056" s="2" t="str">
        <f t="shared" si="31"/>
        <v>Error?</v>
      </c>
    </row>
    <row r="2057" spans="1:4" x14ac:dyDescent="0.2">
      <c r="A2057" s="5">
        <v>1996</v>
      </c>
      <c r="B2057" s="138">
        <f>'Cap Outlay Deprec 26'!L8</f>
        <v>33948087</v>
      </c>
      <c r="C2057" s="2" t="s">
        <v>593</v>
      </c>
      <c r="D2057" s="2" t="str">
        <f t="shared" si="31"/>
        <v>Error?</v>
      </c>
    </row>
    <row r="2058" spans="1:4" x14ac:dyDescent="0.2">
      <c r="A2058" s="5">
        <v>1997</v>
      </c>
      <c r="B2058" s="138">
        <f>'Cap Outlay Deprec 26'!L10</f>
        <v>436956</v>
      </c>
      <c r="C2058" s="2" t="s">
        <v>593</v>
      </c>
      <c r="D2058" s="2" t="str">
        <f t="shared" si="31"/>
        <v>Error?</v>
      </c>
    </row>
    <row r="2059" spans="1:4" x14ac:dyDescent="0.2">
      <c r="A2059" s="5">
        <v>1998</v>
      </c>
      <c r="B2059" s="138">
        <f>'Cap Outlay Deprec 26'!L12</f>
        <v>753878</v>
      </c>
      <c r="C2059" s="2" t="s">
        <v>593</v>
      </c>
      <c r="D2059" s="2" t="str">
        <f t="shared" si="31"/>
        <v>Error?</v>
      </c>
    </row>
    <row r="2060" spans="1:4" x14ac:dyDescent="0.2">
      <c r="A2060" s="5">
        <v>1999</v>
      </c>
      <c r="B2060" s="138">
        <f>'Cap Outlay Deprec 26'!L13</f>
        <v>575851</v>
      </c>
      <c r="C2060" s="2" t="s">
        <v>593</v>
      </c>
      <c r="D2060" s="2" t="str">
        <f t="shared" si="31"/>
        <v>Error?</v>
      </c>
    </row>
    <row r="2061" spans="1:4" x14ac:dyDescent="0.2">
      <c r="A2061" s="5">
        <v>2000</v>
      </c>
      <c r="B2061" s="138">
        <f>'Cap Outlay Deprec 26'!L16</f>
        <v>38084623</v>
      </c>
      <c r="C2061" s="2" t="s">
        <v>593</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593</v>
      </c>
      <c r="D2077" s="2" t="str">
        <f t="shared" si="31"/>
        <v>OK</v>
      </c>
    </row>
    <row r="2078" spans="1:4" x14ac:dyDescent="0.2">
      <c r="A2078" s="10">
        <v>2017</v>
      </c>
      <c r="C2078" s="2" t="s">
        <v>593</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593</v>
      </c>
      <c r="D2081" s="2" t="str">
        <f t="shared" si="31"/>
        <v>Error?</v>
      </c>
    </row>
    <row r="2082" spans="1:4" x14ac:dyDescent="0.2">
      <c r="A2082" s="10">
        <v>2021</v>
      </c>
      <c r="C2082" s="2" t="s">
        <v>593</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593</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4556</v>
      </c>
      <c r="C2088" s="2" t="s">
        <v>593</v>
      </c>
      <c r="D2088" s="2" t="str">
        <f t="shared" si="31"/>
        <v>Error?</v>
      </c>
    </row>
    <row r="2089" spans="1:4" x14ac:dyDescent="0.2">
      <c r="A2089" s="5">
        <v>2028</v>
      </c>
      <c r="B2089" s="138">
        <f>'Expenditures 15-22'!K92</f>
        <v>550520</v>
      </c>
      <c r="C2089" s="2" t="s">
        <v>593</v>
      </c>
      <c r="D2089" s="2" t="str">
        <f t="shared" si="31"/>
        <v>Error?</v>
      </c>
    </row>
    <row r="2090" spans="1:4" x14ac:dyDescent="0.2">
      <c r="A2090" s="10">
        <v>2029</v>
      </c>
      <c r="D2090" s="2" t="str">
        <f t="shared" si="31"/>
        <v>OK</v>
      </c>
    </row>
    <row r="2091" spans="1:4" x14ac:dyDescent="0.2">
      <c r="A2091" s="5">
        <v>2030</v>
      </c>
      <c r="B2091" s="138">
        <f>'Expenditures 15-22'!H137</f>
        <v>0</v>
      </c>
      <c r="C2091" s="2" t="s">
        <v>593</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593</v>
      </c>
      <c r="D2093" s="2" t="str">
        <f t="shared" si="31"/>
        <v>Error?</v>
      </c>
    </row>
    <row r="2094" spans="1:4" x14ac:dyDescent="0.2">
      <c r="A2094" s="5">
        <v>2033</v>
      </c>
      <c r="B2094" s="138">
        <f>'Expenditures 15-22'!K138</f>
        <v>0</v>
      </c>
      <c r="C2094" s="2" t="s">
        <v>593</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593</v>
      </c>
      <c r="D2099" s="2" t="str">
        <f t="shared" si="31"/>
        <v>OK</v>
      </c>
    </row>
    <row r="2100" spans="1:4" x14ac:dyDescent="0.2">
      <c r="A2100" s="10">
        <v>2039</v>
      </c>
      <c r="D2100" s="2" t="str">
        <f t="shared" si="31"/>
        <v>OK</v>
      </c>
    </row>
    <row r="2101" spans="1:4" x14ac:dyDescent="0.2">
      <c r="A2101" s="10">
        <v>2040</v>
      </c>
      <c r="C2101" s="2" t="s">
        <v>593</v>
      </c>
      <c r="D2101" s="2" t="str">
        <f t="shared" si="31"/>
        <v>OK</v>
      </c>
    </row>
    <row r="2102" spans="1:4" x14ac:dyDescent="0.2">
      <c r="A2102" s="5">
        <v>2041</v>
      </c>
      <c r="B2102" s="138">
        <f>'Expenditures 15-22'!K310</f>
        <v>0</v>
      </c>
      <c r="C2102" s="2" t="s">
        <v>593</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593</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593</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5101878</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6786181</v>
      </c>
      <c r="C2551" s="2" t="s">
        <v>593</v>
      </c>
      <c r="D2551" s="2" t="str">
        <f t="shared" si="38"/>
        <v>Error?</v>
      </c>
    </row>
    <row r="2552" spans="1:4" x14ac:dyDescent="0.2">
      <c r="A2552" s="10">
        <v>2491</v>
      </c>
      <c r="D2552" s="2" t="str">
        <f t="shared" si="38"/>
        <v>OK</v>
      </c>
    </row>
    <row r="2553" spans="1:4" x14ac:dyDescent="0.2">
      <c r="A2553" s="5">
        <v>2492</v>
      </c>
      <c r="B2553" s="138">
        <f>'Acct Summary 7-8'!C6</f>
        <v>8733720</v>
      </c>
      <c r="C2553" s="2" t="s">
        <v>593</v>
      </c>
      <c r="D2553" s="2" t="str">
        <f t="shared" si="38"/>
        <v>Error?</v>
      </c>
    </row>
    <row r="2554" spans="1:4" x14ac:dyDescent="0.2">
      <c r="A2554" s="5">
        <v>2493</v>
      </c>
      <c r="B2554" s="138">
        <f>'Acct Summary 7-8'!C7</f>
        <v>1776723</v>
      </c>
      <c r="C2554" s="2" t="s">
        <v>593</v>
      </c>
      <c r="D2554" s="2" t="str">
        <f t="shared" si="38"/>
        <v>Error?</v>
      </c>
    </row>
    <row r="2555" spans="1:4" x14ac:dyDescent="0.2">
      <c r="A2555" s="5">
        <v>2494</v>
      </c>
      <c r="B2555" s="138">
        <f>'Acct Summary 7-8'!C8</f>
        <v>17296624</v>
      </c>
      <c r="C2555" s="2" t="s">
        <v>593</v>
      </c>
      <c r="D2555" s="2" t="str">
        <f t="shared" si="38"/>
        <v>Error?</v>
      </c>
    </row>
    <row r="2556" spans="1:4" x14ac:dyDescent="0.2">
      <c r="A2556" s="5">
        <v>2495</v>
      </c>
      <c r="B2556" s="138">
        <f>'Acct Summary 7-8'!C12</f>
        <v>11518570</v>
      </c>
      <c r="C2556" s="2" t="s">
        <v>593</v>
      </c>
      <c r="D2556" s="2" t="str">
        <f t="shared" si="38"/>
        <v>Error?</v>
      </c>
    </row>
    <row r="2557" spans="1:4" x14ac:dyDescent="0.2">
      <c r="A2557" s="5">
        <v>2496</v>
      </c>
      <c r="B2557" s="138">
        <f>'Acct Summary 7-8'!C13</f>
        <v>4370687</v>
      </c>
      <c r="C2557" s="2" t="s">
        <v>593</v>
      </c>
      <c r="D2557" s="2" t="str">
        <f t="shared" si="38"/>
        <v>Error?</v>
      </c>
    </row>
    <row r="2558" spans="1:4" x14ac:dyDescent="0.2">
      <c r="A2558" s="5">
        <v>2497</v>
      </c>
      <c r="B2558" s="138">
        <f>'Acct Summary 7-8'!C14</f>
        <v>177897</v>
      </c>
      <c r="C2558" s="2" t="s">
        <v>593</v>
      </c>
      <c r="D2558" s="2" t="str">
        <f t="shared" si="38"/>
        <v>Error?</v>
      </c>
    </row>
    <row r="2559" spans="1:4" x14ac:dyDescent="0.2">
      <c r="A2559" s="5">
        <v>2498</v>
      </c>
      <c r="B2559" s="138">
        <f>'Acct Summary 7-8'!C15</f>
        <v>571831</v>
      </c>
      <c r="C2559" s="2" t="s">
        <v>593</v>
      </c>
      <c r="D2559" s="2" t="str">
        <f t="shared" ref="D2559:D2622" si="39">IF(ISBLANK(B2559),"OK",IF(A2559-B2559=0,"OK","Error?"))</f>
        <v>Error?</v>
      </c>
    </row>
    <row r="2560" spans="1:4" x14ac:dyDescent="0.2">
      <c r="A2560" s="5">
        <v>2499</v>
      </c>
      <c r="B2560" s="138">
        <f>'Acct Summary 7-8'!C16</f>
        <v>0</v>
      </c>
      <c r="C2560" s="2" t="s">
        <v>593</v>
      </c>
      <c r="D2560" s="2" t="str">
        <f t="shared" si="39"/>
        <v>Error?</v>
      </c>
    </row>
    <row r="2561" spans="1:4" x14ac:dyDescent="0.2">
      <c r="A2561" s="5">
        <v>2500</v>
      </c>
      <c r="B2561" s="138">
        <f>'Acct Summary 7-8'!C17</f>
        <v>16638985</v>
      </c>
      <c r="C2561" s="2" t="s">
        <v>593</v>
      </c>
      <c r="D2561" s="2" t="str">
        <f t="shared" si="39"/>
        <v>Error?</v>
      </c>
    </row>
    <row r="2562" spans="1:4" x14ac:dyDescent="0.2">
      <c r="A2562" s="5">
        <v>2501</v>
      </c>
      <c r="B2562" s="138">
        <f>'Acct Summary 7-8'!C20</f>
        <v>657639</v>
      </c>
      <c r="C2562" s="2" t="s">
        <v>593</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1663639</v>
      </c>
      <c r="C2564" s="2" t="s">
        <v>593</v>
      </c>
      <c r="D2564" s="2" t="str">
        <f t="shared" si="39"/>
        <v>Error?</v>
      </c>
    </row>
    <row r="2565" spans="1:4" x14ac:dyDescent="0.2">
      <c r="A2565" s="10">
        <v>2504</v>
      </c>
      <c r="D2565" s="2" t="str">
        <f t="shared" si="39"/>
        <v>OK</v>
      </c>
    </row>
    <row r="2566" spans="1:4" x14ac:dyDescent="0.2">
      <c r="A2566" s="5">
        <v>2505</v>
      </c>
      <c r="B2566" s="138">
        <f>'Acct Summary 7-8'!D6</f>
        <v>0</v>
      </c>
      <c r="C2566" s="2" t="s">
        <v>593</v>
      </c>
      <c r="D2566" s="2" t="str">
        <f t="shared" si="39"/>
        <v>Error?</v>
      </c>
    </row>
    <row r="2567" spans="1:4" x14ac:dyDescent="0.2">
      <c r="A2567" s="5">
        <v>2506</v>
      </c>
      <c r="B2567" s="138">
        <f>'Acct Summary 7-8'!D7</f>
        <v>0</v>
      </c>
      <c r="C2567" s="2" t="s">
        <v>593</v>
      </c>
      <c r="D2567" s="2" t="str">
        <f t="shared" si="39"/>
        <v>Error?</v>
      </c>
    </row>
    <row r="2568" spans="1:4" x14ac:dyDescent="0.2">
      <c r="A2568" s="5">
        <v>2507</v>
      </c>
      <c r="B2568" s="138">
        <f>'Acct Summary 7-8'!D8</f>
        <v>1663639</v>
      </c>
      <c r="C2568" s="2" t="s">
        <v>593</v>
      </c>
      <c r="D2568" s="2" t="str">
        <f t="shared" si="39"/>
        <v>Error?</v>
      </c>
    </row>
    <row r="2569" spans="1:4" x14ac:dyDescent="0.2">
      <c r="A2569" s="5">
        <v>2508</v>
      </c>
      <c r="B2569" s="138">
        <f>'Acct Summary 7-8'!D13</f>
        <v>1877156</v>
      </c>
      <c r="C2569" s="2" t="s">
        <v>593</v>
      </c>
      <c r="D2569" s="2" t="str">
        <f t="shared" si="39"/>
        <v>Error?</v>
      </c>
    </row>
    <row r="2570" spans="1:4" x14ac:dyDescent="0.2">
      <c r="A2570" s="5">
        <v>2509</v>
      </c>
      <c r="B2570" s="138">
        <f>'Acct Summary 7-8'!D14</f>
        <v>0</v>
      </c>
      <c r="C2570" s="2" t="s">
        <v>593</v>
      </c>
      <c r="D2570" s="2" t="str">
        <f t="shared" si="39"/>
        <v>Error?</v>
      </c>
    </row>
    <row r="2571" spans="1:4" x14ac:dyDescent="0.2">
      <c r="A2571" s="5">
        <v>2510</v>
      </c>
      <c r="B2571" s="138">
        <f>'Acct Summary 7-8'!D15</f>
        <v>0</v>
      </c>
      <c r="C2571" s="2" t="s">
        <v>593</v>
      </c>
      <c r="D2571" s="2" t="str">
        <f t="shared" si="39"/>
        <v>Error?</v>
      </c>
    </row>
    <row r="2572" spans="1:4" x14ac:dyDescent="0.2">
      <c r="A2572" s="5">
        <v>2511</v>
      </c>
      <c r="B2572" s="138">
        <f>'Acct Summary 7-8'!D16</f>
        <v>665</v>
      </c>
      <c r="C2572" s="2" t="s">
        <v>593</v>
      </c>
      <c r="D2572" s="2" t="str">
        <f t="shared" si="39"/>
        <v>Error?</v>
      </c>
    </row>
    <row r="2573" spans="1:4" x14ac:dyDescent="0.2">
      <c r="A2573" s="5">
        <v>2512</v>
      </c>
      <c r="B2573" s="138">
        <f>'Acct Summary 7-8'!D17</f>
        <v>1877821</v>
      </c>
      <c r="C2573" s="2" t="s">
        <v>593</v>
      </c>
      <c r="D2573" s="2" t="str">
        <f t="shared" si="39"/>
        <v>Error?</v>
      </c>
    </row>
    <row r="2574" spans="1:4" x14ac:dyDescent="0.2">
      <c r="A2574" s="5">
        <v>2513</v>
      </c>
      <c r="B2574" s="138">
        <f>'Acct Summary 7-8'!D20</f>
        <v>-214182</v>
      </c>
      <c r="C2574" s="2" t="s">
        <v>593</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1060946</v>
      </c>
      <c r="C2591" s="2" t="s">
        <v>593</v>
      </c>
      <c r="D2591" s="2" t="str">
        <f t="shared" si="39"/>
        <v>Error?</v>
      </c>
    </row>
    <row r="2592" spans="1:4" x14ac:dyDescent="0.2">
      <c r="A2592" s="10">
        <v>2531</v>
      </c>
      <c r="D2592" s="2" t="str">
        <f t="shared" si="39"/>
        <v>OK</v>
      </c>
    </row>
    <row r="2593" spans="1:4" x14ac:dyDescent="0.2">
      <c r="A2593" s="5">
        <v>2532</v>
      </c>
      <c r="B2593" s="138">
        <f>'Acct Summary 7-8'!F6</f>
        <v>1375906</v>
      </c>
      <c r="C2593" s="2" t="s">
        <v>593</v>
      </c>
      <c r="D2593" s="2" t="str">
        <f t="shared" si="39"/>
        <v>Error?</v>
      </c>
    </row>
    <row r="2594" spans="1:4" x14ac:dyDescent="0.2">
      <c r="A2594" s="5">
        <v>2533</v>
      </c>
      <c r="B2594" s="138">
        <f>'Acct Summary 7-8'!F7</f>
        <v>0</v>
      </c>
      <c r="C2594" s="2" t="s">
        <v>593</v>
      </c>
      <c r="D2594" s="2" t="str">
        <f t="shared" si="39"/>
        <v>Error?</v>
      </c>
    </row>
    <row r="2595" spans="1:4" x14ac:dyDescent="0.2">
      <c r="A2595" s="5">
        <v>2534</v>
      </c>
      <c r="B2595" s="138">
        <f>'Acct Summary 7-8'!F8</f>
        <v>2436852</v>
      </c>
      <c r="C2595" s="2" t="s">
        <v>593</v>
      </c>
      <c r="D2595" s="2" t="str">
        <f t="shared" si="39"/>
        <v>Error?</v>
      </c>
    </row>
    <row r="2596" spans="1:4" x14ac:dyDescent="0.2">
      <c r="A2596" s="5">
        <v>2535</v>
      </c>
      <c r="B2596" s="138">
        <f>'Acct Summary 7-8'!F13</f>
        <v>1808849</v>
      </c>
      <c r="C2596" s="2" t="s">
        <v>593</v>
      </c>
      <c r="D2596" s="2" t="str">
        <f t="shared" si="39"/>
        <v>Error?</v>
      </c>
    </row>
    <row r="2597" spans="1:4" x14ac:dyDescent="0.2">
      <c r="A2597" s="5">
        <v>2536</v>
      </c>
      <c r="B2597" s="138">
        <f>'Acct Summary 7-8'!F14</f>
        <v>0</v>
      </c>
      <c r="C2597" s="2" t="s">
        <v>593</v>
      </c>
      <c r="D2597" s="2" t="str">
        <f t="shared" si="39"/>
        <v>Error?</v>
      </c>
    </row>
    <row r="2598" spans="1:4" x14ac:dyDescent="0.2">
      <c r="A2598" s="5">
        <v>2537</v>
      </c>
      <c r="B2598" s="138">
        <f>'Acct Summary 7-8'!F15</f>
        <v>0</v>
      </c>
      <c r="C2598" s="2" t="s">
        <v>593</v>
      </c>
      <c r="D2598" s="2" t="str">
        <f t="shared" si="39"/>
        <v>Error?</v>
      </c>
    </row>
    <row r="2599" spans="1:4" x14ac:dyDescent="0.2">
      <c r="A2599" s="5">
        <v>2538</v>
      </c>
      <c r="B2599" s="138">
        <f>'Acct Summary 7-8'!F16</f>
        <v>194372</v>
      </c>
      <c r="C2599" s="2" t="s">
        <v>593</v>
      </c>
      <c r="D2599" s="2" t="str">
        <f t="shared" si="39"/>
        <v>Error?</v>
      </c>
    </row>
    <row r="2600" spans="1:4" x14ac:dyDescent="0.2">
      <c r="A2600" s="5">
        <v>2539</v>
      </c>
      <c r="B2600" s="138">
        <f>'Acct Summary 7-8'!F17</f>
        <v>2003221</v>
      </c>
      <c r="C2600" s="2" t="s">
        <v>593</v>
      </c>
      <c r="D2600" s="2" t="str">
        <f t="shared" si="39"/>
        <v>Error?</v>
      </c>
    </row>
    <row r="2601" spans="1:4" x14ac:dyDescent="0.2">
      <c r="A2601" s="5">
        <v>2540</v>
      </c>
      <c r="B2601" s="138">
        <f>'Acct Summary 7-8'!F20</f>
        <v>433631</v>
      </c>
      <c r="C2601" s="2" t="s">
        <v>593</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1254737</v>
      </c>
      <c r="C2603" s="2" t="s">
        <v>593</v>
      </c>
      <c r="D2603" s="2" t="str">
        <f t="shared" si="39"/>
        <v>Error?</v>
      </c>
    </row>
    <row r="2604" spans="1:4" x14ac:dyDescent="0.2">
      <c r="A2604" s="5">
        <v>2543</v>
      </c>
      <c r="B2604" s="138">
        <f>'Acct Summary 7-8'!G6</f>
        <v>0</v>
      </c>
      <c r="C2604" s="2" t="s">
        <v>593</v>
      </c>
      <c r="D2604" s="2" t="str">
        <f t="shared" si="39"/>
        <v>Error?</v>
      </c>
    </row>
    <row r="2605" spans="1:4" x14ac:dyDescent="0.2">
      <c r="A2605" s="5">
        <v>2544</v>
      </c>
      <c r="B2605" s="138">
        <f>'Acct Summary 7-8'!G7</f>
        <v>0</v>
      </c>
      <c r="C2605" s="2" t="s">
        <v>593</v>
      </c>
      <c r="D2605" s="2" t="str">
        <f t="shared" si="39"/>
        <v>Error?</v>
      </c>
    </row>
    <row r="2606" spans="1:4" x14ac:dyDescent="0.2">
      <c r="A2606" s="5">
        <v>2545</v>
      </c>
      <c r="B2606" s="138">
        <f>'Acct Summary 7-8'!G8</f>
        <v>1254737</v>
      </c>
      <c r="C2606" s="2" t="s">
        <v>593</v>
      </c>
      <c r="D2606" s="2" t="str">
        <f t="shared" si="39"/>
        <v>Error?</v>
      </c>
    </row>
    <row r="2607" spans="1:4" x14ac:dyDescent="0.2">
      <c r="A2607" s="5">
        <v>2546</v>
      </c>
      <c r="B2607" s="138">
        <f>'Acct Summary 7-8'!G12</f>
        <v>332196</v>
      </c>
      <c r="C2607" s="2" t="s">
        <v>593</v>
      </c>
      <c r="D2607" s="2" t="str">
        <f t="shared" si="39"/>
        <v>Error?</v>
      </c>
    </row>
    <row r="2608" spans="1:4" x14ac:dyDescent="0.2">
      <c r="A2608" s="5">
        <v>2547</v>
      </c>
      <c r="B2608" s="138">
        <f>'Acct Summary 7-8'!G13</f>
        <v>689671</v>
      </c>
      <c r="C2608" s="2" t="s">
        <v>593</v>
      </c>
      <c r="D2608" s="2" t="str">
        <f t="shared" si="39"/>
        <v>Error?</v>
      </c>
    </row>
    <row r="2609" spans="1:4" x14ac:dyDescent="0.2">
      <c r="A2609" s="5">
        <v>2548</v>
      </c>
      <c r="B2609" s="138">
        <f>'Acct Summary 7-8'!G14</f>
        <v>14408</v>
      </c>
      <c r="C2609" s="2" t="s">
        <v>593</v>
      </c>
      <c r="D2609" s="2" t="str">
        <f t="shared" si="39"/>
        <v>Error?</v>
      </c>
    </row>
    <row r="2610" spans="1:4" x14ac:dyDescent="0.2">
      <c r="A2610" s="10">
        <v>2549</v>
      </c>
      <c r="D2610" s="2" t="str">
        <f t="shared" si="39"/>
        <v>OK</v>
      </c>
    </row>
    <row r="2611" spans="1:4" x14ac:dyDescent="0.2">
      <c r="A2611" s="5">
        <v>2550</v>
      </c>
      <c r="B2611" s="138">
        <f>'Acct Summary 7-8'!G16</f>
        <v>0</v>
      </c>
      <c r="C2611" s="2" t="s">
        <v>593</v>
      </c>
      <c r="D2611" s="2" t="str">
        <f t="shared" si="39"/>
        <v>Error?</v>
      </c>
    </row>
    <row r="2612" spans="1:4" x14ac:dyDescent="0.2">
      <c r="A2612" s="5">
        <v>2551</v>
      </c>
      <c r="B2612" s="138">
        <f>'Acct Summary 7-8'!G17</f>
        <v>1036275</v>
      </c>
      <c r="C2612" s="2" t="s">
        <v>593</v>
      </c>
      <c r="D2612" s="2" t="str">
        <f t="shared" si="39"/>
        <v>Error?</v>
      </c>
    </row>
    <row r="2613" spans="1:4" x14ac:dyDescent="0.2">
      <c r="A2613" s="5">
        <v>2552</v>
      </c>
      <c r="B2613" s="138">
        <f>'Acct Summary 7-8'!G20</f>
        <v>218462</v>
      </c>
      <c r="C2613" s="2" t="s">
        <v>593</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3143088</v>
      </c>
      <c r="C2630" s="2" t="s">
        <v>593</v>
      </c>
      <c r="D2630" s="2" t="str">
        <f t="shared" si="40"/>
        <v>Error?</v>
      </c>
    </row>
    <row r="2631" spans="1:4" x14ac:dyDescent="0.2">
      <c r="A2631" s="5">
        <v>2570</v>
      </c>
      <c r="B2631" s="138">
        <f>'Acct Summary 7-8'!E6</f>
        <v>0</v>
      </c>
      <c r="C2631" s="2" t="s">
        <v>593</v>
      </c>
      <c r="D2631" s="2" t="str">
        <f t="shared" si="40"/>
        <v>Error?</v>
      </c>
    </row>
    <row r="2632" spans="1:4" x14ac:dyDescent="0.2">
      <c r="A2632" s="5">
        <v>2571</v>
      </c>
      <c r="B2632" s="138">
        <f>'Acct Summary 7-8'!E8</f>
        <v>3143088</v>
      </c>
      <c r="C2632" s="2" t="s">
        <v>593</v>
      </c>
      <c r="D2632" s="2" t="str">
        <f t="shared" si="40"/>
        <v>Error?</v>
      </c>
    </row>
    <row r="2633" spans="1:4" x14ac:dyDescent="0.2">
      <c r="A2633" s="5">
        <v>2572</v>
      </c>
      <c r="B2633" s="138">
        <f>'Acct Summary 7-8'!E15</f>
        <v>0</v>
      </c>
      <c r="C2633" s="2" t="s">
        <v>593</v>
      </c>
      <c r="D2633" s="2" t="str">
        <f t="shared" si="40"/>
        <v>Error?</v>
      </c>
    </row>
    <row r="2634" spans="1:4" x14ac:dyDescent="0.2">
      <c r="A2634" s="5">
        <v>2573</v>
      </c>
      <c r="B2634" s="138">
        <f>'Acct Summary 7-8'!E16</f>
        <v>3378560</v>
      </c>
      <c r="C2634" s="2" t="s">
        <v>593</v>
      </c>
      <c r="D2634" s="2" t="str">
        <f t="shared" si="40"/>
        <v>Error?</v>
      </c>
    </row>
    <row r="2635" spans="1:4" x14ac:dyDescent="0.2">
      <c r="A2635" s="5">
        <v>2574</v>
      </c>
      <c r="B2635" s="138">
        <f>'Acct Summary 7-8'!E17</f>
        <v>3378560</v>
      </c>
      <c r="C2635" s="2" t="s">
        <v>593</v>
      </c>
      <c r="D2635" s="2" t="str">
        <f t="shared" si="40"/>
        <v>Error?</v>
      </c>
    </row>
    <row r="2636" spans="1:4" x14ac:dyDescent="0.2">
      <c r="A2636" s="5">
        <v>2575</v>
      </c>
      <c r="B2636" s="138">
        <f>'Acct Summary 7-8'!E20</f>
        <v>-235472</v>
      </c>
      <c r="C2636" s="2" t="s">
        <v>593</v>
      </c>
      <c r="D2636" s="2" t="str">
        <f t="shared" si="40"/>
        <v>Error?</v>
      </c>
    </row>
    <row r="2637" spans="1:4" x14ac:dyDescent="0.2">
      <c r="A2637" s="5">
        <v>2576</v>
      </c>
      <c r="B2637" s="138">
        <f>'Acct Summary 7-8'!E80</f>
        <v>0</v>
      </c>
      <c r="D2637" s="2" t="str">
        <f t="shared" si="40"/>
        <v>Error?</v>
      </c>
    </row>
    <row r="2638" spans="1:4" x14ac:dyDescent="0.2">
      <c r="A2638" s="10">
        <v>2577</v>
      </c>
      <c r="C2638" s="2" t="s">
        <v>593</v>
      </c>
      <c r="D2638" s="2" t="str">
        <f t="shared" si="40"/>
        <v>OK</v>
      </c>
    </row>
    <row r="2639" spans="1:4" x14ac:dyDescent="0.2">
      <c r="A2639" s="10">
        <v>2578</v>
      </c>
      <c r="C2639" s="2" t="s">
        <v>593</v>
      </c>
      <c r="D2639" s="2" t="str">
        <f t="shared" si="40"/>
        <v>OK</v>
      </c>
    </row>
    <row r="2640" spans="1:4" x14ac:dyDescent="0.2">
      <c r="A2640" s="10">
        <v>2579</v>
      </c>
      <c r="C2640" s="2" t="s">
        <v>593</v>
      </c>
      <c r="D2640" s="2" t="str">
        <f t="shared" si="40"/>
        <v>OK</v>
      </c>
    </row>
    <row r="2641" spans="1:4" x14ac:dyDescent="0.2">
      <c r="A2641" s="10">
        <v>2580</v>
      </c>
      <c r="C2641" s="2" t="s">
        <v>593</v>
      </c>
      <c r="D2641" s="2" t="str">
        <f t="shared" si="40"/>
        <v>OK</v>
      </c>
    </row>
    <row r="2642" spans="1:4" x14ac:dyDescent="0.2">
      <c r="A2642" s="10">
        <v>2581</v>
      </c>
      <c r="C2642" s="2" t="s">
        <v>593</v>
      </c>
      <c r="D2642" s="2" t="str">
        <f t="shared" si="40"/>
        <v>OK</v>
      </c>
    </row>
    <row r="2643" spans="1:4" x14ac:dyDescent="0.2">
      <c r="A2643" s="10">
        <v>2582</v>
      </c>
      <c r="C2643" s="2" t="s">
        <v>593</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1248217</v>
      </c>
      <c r="C2655" s="2" t="s">
        <v>593</v>
      </c>
      <c r="D2655" s="2" t="str">
        <f t="shared" si="40"/>
        <v>Error?</v>
      </c>
    </row>
    <row r="2656" spans="1:4" x14ac:dyDescent="0.2">
      <c r="A2656" s="5">
        <v>2595</v>
      </c>
      <c r="B2656" s="138">
        <f>'Acct Summary 7-8'!H6</f>
        <v>0</v>
      </c>
      <c r="C2656" s="2" t="s">
        <v>593</v>
      </c>
      <c r="D2656" s="2" t="str">
        <f t="shared" si="40"/>
        <v>Error?</v>
      </c>
    </row>
    <row r="2657" spans="1:4" x14ac:dyDescent="0.2">
      <c r="A2657" s="5">
        <v>2596</v>
      </c>
      <c r="B2657" s="138">
        <f>'Acct Summary 7-8'!H7</f>
        <v>0</v>
      </c>
      <c r="C2657" s="2" t="s">
        <v>593</v>
      </c>
      <c r="D2657" s="2" t="str">
        <f t="shared" si="40"/>
        <v>Error?</v>
      </c>
    </row>
    <row r="2658" spans="1:4" x14ac:dyDescent="0.2">
      <c r="A2658" s="5">
        <v>2597</v>
      </c>
      <c r="B2658" s="138">
        <f>'Acct Summary 7-8'!H8</f>
        <v>1248217</v>
      </c>
      <c r="C2658" s="2" t="s">
        <v>593</v>
      </c>
      <c r="D2658" s="2" t="str">
        <f t="shared" si="40"/>
        <v>Error?</v>
      </c>
    </row>
    <row r="2659" spans="1:4" x14ac:dyDescent="0.2">
      <c r="A2659" s="5">
        <v>2598</v>
      </c>
      <c r="B2659" s="138">
        <f>'Acct Summary 7-8'!H13</f>
        <v>1182033</v>
      </c>
      <c r="C2659" s="2" t="s">
        <v>593</v>
      </c>
      <c r="D2659" s="2" t="str">
        <f t="shared" si="40"/>
        <v>Error?</v>
      </c>
    </row>
    <row r="2660" spans="1:4" x14ac:dyDescent="0.2">
      <c r="A2660" s="5">
        <v>2599</v>
      </c>
      <c r="B2660" s="138">
        <f>'Acct Summary 7-8'!H15</f>
        <v>0</v>
      </c>
      <c r="C2660" s="2" t="s">
        <v>593</v>
      </c>
      <c r="D2660" s="2" t="str">
        <f t="shared" si="40"/>
        <v>Error?</v>
      </c>
    </row>
    <row r="2661" spans="1:4" x14ac:dyDescent="0.2">
      <c r="A2661" s="5">
        <v>2600</v>
      </c>
      <c r="B2661" s="138">
        <f>'Acct Summary 7-8'!H17</f>
        <v>1182033</v>
      </c>
      <c r="C2661" s="2" t="s">
        <v>593</v>
      </c>
      <c r="D2661" s="2" t="str">
        <f t="shared" si="40"/>
        <v>Error?</v>
      </c>
    </row>
    <row r="2662" spans="1:4" x14ac:dyDescent="0.2">
      <c r="A2662" s="5">
        <v>2601</v>
      </c>
      <c r="B2662" s="138">
        <f>'Acct Summary 7-8'!H20</f>
        <v>66184</v>
      </c>
      <c r="C2662" s="2" t="s">
        <v>593</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35107</v>
      </c>
      <c r="D2718" s="2" t="str">
        <f t="shared" si="41"/>
        <v>Error?</v>
      </c>
    </row>
    <row r="2719" spans="1:4" x14ac:dyDescent="0.2">
      <c r="A2719" s="5">
        <v>2658</v>
      </c>
      <c r="B2719" s="138">
        <f>'Expenditures 15-22'!D51</f>
        <v>174</v>
      </c>
      <c r="D2719" s="2" t="str">
        <f t="shared" si="41"/>
        <v>Error?</v>
      </c>
    </row>
    <row r="2720" spans="1:4" x14ac:dyDescent="0.2">
      <c r="A2720" s="5">
        <v>2659</v>
      </c>
      <c r="B2720" s="138">
        <f>'Expenditures 15-22'!E51</f>
        <v>1727</v>
      </c>
      <c r="D2720" s="2" t="str">
        <f t="shared" si="41"/>
        <v>Error?</v>
      </c>
    </row>
    <row r="2721" spans="1:4" x14ac:dyDescent="0.2">
      <c r="A2721" s="5">
        <v>2660</v>
      </c>
      <c r="B2721" s="138">
        <f>'Expenditures 15-22'!F51</f>
        <v>1622</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40088</v>
      </c>
      <c r="C2724" s="2" t="s">
        <v>593</v>
      </c>
      <c r="D2724" s="2" t="str">
        <f t="shared" si="41"/>
        <v>Error?</v>
      </c>
    </row>
    <row r="2725" spans="1:4" x14ac:dyDescent="0.2">
      <c r="A2725" s="5">
        <v>2664</v>
      </c>
      <c r="B2725" s="138">
        <f>'Expenditures 15-22'!D247</f>
        <v>3659</v>
      </c>
      <c r="D2725" s="2" t="str">
        <f t="shared" si="41"/>
        <v>Error?</v>
      </c>
    </row>
    <row r="2726" spans="1:4" x14ac:dyDescent="0.2">
      <c r="A2726" s="5">
        <v>2665</v>
      </c>
      <c r="B2726" s="138">
        <f>'Expenditures 15-22'!K247</f>
        <v>3659</v>
      </c>
      <c r="C2726" s="2" t="s">
        <v>593</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593</v>
      </c>
      <c r="D2733" s="2" t="str">
        <f t="shared" si="41"/>
        <v>Error?</v>
      </c>
    </row>
    <row r="2734" spans="1:4" x14ac:dyDescent="0.2">
      <c r="A2734" s="5">
        <v>2673</v>
      </c>
      <c r="B2734" s="138">
        <f>'Short-Term Long-Term Debt 24'!F25</f>
        <v>0</v>
      </c>
      <c r="C2734" s="2" t="s">
        <v>593</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4556</v>
      </c>
      <c r="C2789" s="2" t="s">
        <v>593</v>
      </c>
      <c r="D2789" s="2" t="str">
        <f t="shared" si="42"/>
        <v>Error?</v>
      </c>
    </row>
    <row r="2790" spans="1:4" x14ac:dyDescent="0.2">
      <c r="A2790" s="5">
        <v>2729</v>
      </c>
      <c r="B2790" s="138">
        <f>'Expenditures 15-22'!E102</f>
        <v>4556</v>
      </c>
      <c r="C2790" s="2" t="s">
        <v>593</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593</v>
      </c>
      <c r="D2795" s="2" t="str">
        <f t="shared" si="42"/>
        <v>Error?</v>
      </c>
    </row>
    <row r="2796" spans="1:4" x14ac:dyDescent="0.2">
      <c r="A2796" s="5">
        <v>2735</v>
      </c>
      <c r="B2796" s="138">
        <f>'Expenditures 15-22'!K108</f>
        <v>0</v>
      </c>
      <c r="C2796" s="2" t="s">
        <v>593</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593</v>
      </c>
      <c r="D2804" s="2" t="str">
        <f t="shared" si="42"/>
        <v>OK</v>
      </c>
    </row>
    <row r="2805" spans="1:4" x14ac:dyDescent="0.2">
      <c r="A2805" s="5">
        <v>2744</v>
      </c>
      <c r="B2805" s="138">
        <f>'Expenditures 15-22'!K130</f>
        <v>0</v>
      </c>
      <c r="C2805" s="2" t="s">
        <v>593</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593</v>
      </c>
      <c r="D2809" s="2" t="str">
        <f t="shared" si="42"/>
        <v>OK</v>
      </c>
    </row>
    <row r="2810" spans="1:4" x14ac:dyDescent="0.2">
      <c r="A2810" s="5">
        <v>2749</v>
      </c>
      <c r="B2810" s="138">
        <f>'Expenditures 15-22'!K144</f>
        <v>0</v>
      </c>
      <c r="C2810" s="2" t="s">
        <v>593</v>
      </c>
      <c r="D2810" s="2" t="str">
        <f t="shared" si="42"/>
        <v>Error?</v>
      </c>
    </row>
    <row r="2811" spans="1:4" x14ac:dyDescent="0.2">
      <c r="A2811" s="5">
        <v>2750</v>
      </c>
      <c r="B2811" s="138">
        <f>'Expenditures 15-22'!K145</f>
        <v>0</v>
      </c>
      <c r="C2811" s="2" t="s">
        <v>593</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593</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593</v>
      </c>
      <c r="D2818" s="2" t="str">
        <f t="shared" si="43"/>
        <v>Error?</v>
      </c>
    </row>
    <row r="2819" spans="1:4" x14ac:dyDescent="0.2">
      <c r="A2819" s="5">
        <v>2758</v>
      </c>
      <c r="B2819" s="138">
        <f>'Expenditures 15-22'!K166</f>
        <v>0</v>
      </c>
      <c r="C2819" s="2" t="s">
        <v>593</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593</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593</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593</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593</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593</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593</v>
      </c>
      <c r="D2841" s="2" t="str">
        <f t="shared" si="43"/>
        <v>Error?</v>
      </c>
    </row>
    <row r="2842" spans="1:5" x14ac:dyDescent="0.2">
      <c r="A2842" s="5">
        <v>2781</v>
      </c>
      <c r="B2842" s="138">
        <f>'Expenditures 15-22'!K202</f>
        <v>0</v>
      </c>
      <c r="C2842" s="2" t="s">
        <v>593</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593</v>
      </c>
      <c r="D2845" s="2" t="str">
        <f t="shared" si="43"/>
        <v>Error?</v>
      </c>
    </row>
    <row r="2846" spans="1:5" x14ac:dyDescent="0.2">
      <c r="A2846" s="5">
        <v>2785</v>
      </c>
      <c r="B2846" s="138">
        <f>'Expenditures 15-22'!K291</f>
        <v>0</v>
      </c>
      <c r="C2846" s="2" t="s">
        <v>593</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1960720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604438</v>
      </c>
      <c r="C2888" s="2" t="s">
        <v>593</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376254</v>
      </c>
      <c r="C2895" s="2" t="s">
        <v>593</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593</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604438</v>
      </c>
      <c r="D2912" s="2" t="str">
        <f t="shared" si="44"/>
        <v>Error?</v>
      </c>
    </row>
    <row r="2913" spans="1:4" x14ac:dyDescent="0.2">
      <c r="A2913" s="5">
        <v>2852</v>
      </c>
      <c r="B2913" s="138">
        <f>'Assets-Liab 5-6'!I41</f>
        <v>604438</v>
      </c>
      <c r="C2913" s="2" t="s">
        <v>593</v>
      </c>
      <c r="D2913" s="2" t="str">
        <f t="shared" si="44"/>
        <v>Error?</v>
      </c>
    </row>
    <row r="2914" spans="1:4" x14ac:dyDescent="0.2">
      <c r="A2914" s="5">
        <v>2853</v>
      </c>
      <c r="B2914" s="138">
        <f>'Assets-Liab 5-6'!L33</f>
        <v>376254</v>
      </c>
      <c r="D2914" s="2" t="str">
        <f t="shared" si="44"/>
        <v>Error?</v>
      </c>
    </row>
    <row r="2915" spans="1:4" x14ac:dyDescent="0.2">
      <c r="A2915" s="10">
        <v>2854</v>
      </c>
      <c r="D2915" s="2" t="str">
        <f t="shared" si="44"/>
        <v>OK</v>
      </c>
    </row>
    <row r="2916" spans="1:4" x14ac:dyDescent="0.2">
      <c r="A2916" s="5">
        <v>2855</v>
      </c>
      <c r="B2916" s="138">
        <f>'Assets-Liab 5-6'!L34</f>
        <v>376254</v>
      </c>
      <c r="C2916" s="2" t="s">
        <v>593</v>
      </c>
      <c r="D2916" s="2" t="str">
        <f t="shared" si="44"/>
        <v>Error?</v>
      </c>
    </row>
    <row r="2917" spans="1:4" x14ac:dyDescent="0.2">
      <c r="A2917" s="5">
        <v>2856</v>
      </c>
      <c r="B2917" s="138">
        <f>'Assets-Liab 5-6'!L41</f>
        <v>376254</v>
      </c>
      <c r="C2917" s="2" t="s">
        <v>593</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4556</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4556</v>
      </c>
      <c r="C2973" s="2" t="s">
        <v>593</v>
      </c>
      <c r="D2973" s="2" t="str">
        <f t="shared" si="45"/>
        <v>Error?</v>
      </c>
    </row>
    <row r="2974" spans="1:4" x14ac:dyDescent="0.2">
      <c r="A2974" s="5">
        <v>2913</v>
      </c>
      <c r="B2974" s="138">
        <f>'Expenditures 15-22'!K79</f>
        <v>0</v>
      </c>
      <c r="C2974" s="2" t="s">
        <v>593</v>
      </c>
      <c r="D2974" s="2" t="str">
        <f t="shared" si="45"/>
        <v>Error?</v>
      </c>
    </row>
    <row r="2975" spans="1:4" x14ac:dyDescent="0.2">
      <c r="A2975" s="5">
        <v>2914</v>
      </c>
      <c r="B2975" s="138">
        <f>'Expenditures 15-22'!K80</f>
        <v>0</v>
      </c>
      <c r="C2975" s="2" t="s">
        <v>593</v>
      </c>
      <c r="D2975" s="2" t="str">
        <f t="shared" si="45"/>
        <v>Error?</v>
      </c>
    </row>
    <row r="2976" spans="1:4" x14ac:dyDescent="0.2">
      <c r="A2976" s="5">
        <v>2915</v>
      </c>
      <c r="B2976" s="138">
        <f>'Expenditures 15-22'!K81</f>
        <v>0</v>
      </c>
      <c r="C2976" s="2" t="s">
        <v>593</v>
      </c>
      <c r="D2976" s="2" t="str">
        <f t="shared" si="45"/>
        <v>Error?</v>
      </c>
    </row>
    <row r="2977" spans="1:4" x14ac:dyDescent="0.2">
      <c r="A2977" s="5">
        <v>2916</v>
      </c>
      <c r="B2977" s="138">
        <f>'Expenditures 15-22'!K82</f>
        <v>0</v>
      </c>
      <c r="C2977" s="2" t="s">
        <v>593</v>
      </c>
      <c r="D2977" s="2" t="str">
        <f t="shared" si="45"/>
        <v>Error?</v>
      </c>
    </row>
    <row r="2978" spans="1:4" x14ac:dyDescent="0.2">
      <c r="A2978" s="5">
        <v>2917</v>
      </c>
      <c r="B2978" s="138">
        <f>'Expenditures 15-22'!K83</f>
        <v>0</v>
      </c>
      <c r="C2978" s="2" t="s">
        <v>593</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593</v>
      </c>
      <c r="D2985" s="2" t="str">
        <f t="shared" si="45"/>
        <v>OK</v>
      </c>
    </row>
    <row r="2986" spans="1:4" x14ac:dyDescent="0.2">
      <c r="A2986" s="5">
        <v>2925</v>
      </c>
      <c r="B2986" s="138">
        <f>'Expenditures 15-22'!K134</f>
        <v>0</v>
      </c>
      <c r="C2986" s="2" t="s">
        <v>593</v>
      </c>
      <c r="D2986" s="2" t="str">
        <f t="shared" si="45"/>
        <v>Error?</v>
      </c>
    </row>
    <row r="2987" spans="1:4" x14ac:dyDescent="0.2">
      <c r="A2987" s="5">
        <v>2926</v>
      </c>
      <c r="B2987" s="138">
        <f>'Expenditures 15-22'!K135</f>
        <v>0</v>
      </c>
      <c r="C2987" s="2" t="s">
        <v>593</v>
      </c>
      <c r="D2987" s="2" t="str">
        <f t="shared" si="45"/>
        <v>Error?</v>
      </c>
    </row>
    <row r="2988" spans="1:4" x14ac:dyDescent="0.2">
      <c r="A2988" s="5">
        <v>2927</v>
      </c>
      <c r="B2988" s="138">
        <f>'Expenditures 15-22'!K136</f>
        <v>0</v>
      </c>
      <c r="C2988" s="2" t="s">
        <v>593</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593</v>
      </c>
      <c r="D3007" s="2" t="str">
        <f t="shared" ref="D3007:D3070" si="46">IF(ISBLANK(B3007),"OK",IF(A3007-B3007=0,"OK","Error?"))</f>
        <v>Error?</v>
      </c>
    </row>
    <row r="3008" spans="1:4" x14ac:dyDescent="0.2">
      <c r="A3008" s="5">
        <v>2947</v>
      </c>
      <c r="B3008" s="138">
        <f>'Expenditures 15-22'!K189</f>
        <v>0</v>
      </c>
      <c r="C3008" s="2" t="s">
        <v>593</v>
      </c>
      <c r="D3008" s="2" t="str">
        <f t="shared" si="46"/>
        <v>Error?</v>
      </c>
    </row>
    <row r="3009" spans="1:4" x14ac:dyDescent="0.2">
      <c r="A3009" s="5">
        <v>2948</v>
      </c>
      <c r="B3009" s="138">
        <f>'Expenditures 15-22'!K190</f>
        <v>0</v>
      </c>
      <c r="C3009" s="2" t="s">
        <v>593</v>
      </c>
      <c r="D3009" s="2" t="str">
        <f t="shared" si="46"/>
        <v>Error?</v>
      </c>
    </row>
    <row r="3010" spans="1:4" x14ac:dyDescent="0.2">
      <c r="A3010" s="5">
        <v>2949</v>
      </c>
      <c r="B3010" s="138">
        <f>'Expenditures 15-22'!K191</f>
        <v>0</v>
      </c>
      <c r="C3010" s="2" t="s">
        <v>593</v>
      </c>
      <c r="D3010" s="2" t="str">
        <f t="shared" si="46"/>
        <v>Error?</v>
      </c>
    </row>
    <row r="3011" spans="1:4" x14ac:dyDescent="0.2">
      <c r="A3011" s="5">
        <v>2950</v>
      </c>
      <c r="B3011" s="138">
        <f>'Expenditures 15-22'!K192</f>
        <v>0</v>
      </c>
      <c r="C3011" s="2" t="s">
        <v>593</v>
      </c>
      <c r="D3011" s="2" t="str">
        <f t="shared" si="46"/>
        <v>Error?</v>
      </c>
    </row>
    <row r="3012" spans="1:4" x14ac:dyDescent="0.2">
      <c r="A3012" s="5">
        <v>2951</v>
      </c>
      <c r="B3012" s="138">
        <f>'Expenditures 15-22'!K193</f>
        <v>0</v>
      </c>
      <c r="C3012" s="2" t="s">
        <v>593</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255163</v>
      </c>
      <c r="D3055" s="2" t="str">
        <f t="shared" si="46"/>
        <v>Error?</v>
      </c>
    </row>
    <row r="3056" spans="1:4" x14ac:dyDescent="0.2">
      <c r="A3056" s="5">
        <v>2995</v>
      </c>
      <c r="B3056" s="138">
        <f>'Expenditures 15-22'!D10</f>
        <v>30199</v>
      </c>
      <c r="D3056" s="2" t="str">
        <f t="shared" si="46"/>
        <v>Error?</v>
      </c>
    </row>
    <row r="3057" spans="1:4" x14ac:dyDescent="0.2">
      <c r="A3057" s="5">
        <v>2996</v>
      </c>
      <c r="B3057" s="138">
        <f>'Expenditures 15-22'!E10</f>
        <v>2165</v>
      </c>
      <c r="D3057" s="2" t="str">
        <f t="shared" si="46"/>
        <v>Error?</v>
      </c>
    </row>
    <row r="3058" spans="1:4" x14ac:dyDescent="0.2">
      <c r="A3058" s="5">
        <v>2997</v>
      </c>
      <c r="B3058" s="138">
        <f>'Expenditures 15-22'!F10</f>
        <v>40067</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327594</v>
      </c>
      <c r="C3062" s="2" t="s">
        <v>593</v>
      </c>
      <c r="D3062" s="2" t="str">
        <f t="shared" si="46"/>
        <v>Error?</v>
      </c>
    </row>
    <row r="3063" spans="1:4" x14ac:dyDescent="0.2">
      <c r="A3063" s="10">
        <v>3002</v>
      </c>
      <c r="D3063" s="2" t="str">
        <f t="shared" si="46"/>
        <v>OK</v>
      </c>
    </row>
    <row r="3064" spans="1:4" x14ac:dyDescent="0.2">
      <c r="A3064" s="5">
        <v>3003</v>
      </c>
      <c r="B3064" s="138">
        <f>'Expenditures 15-22'!D219</f>
        <v>38641</v>
      </c>
      <c r="D3064" s="2" t="str">
        <f t="shared" si="46"/>
        <v>Error?</v>
      </c>
    </row>
    <row r="3065" spans="1:4" x14ac:dyDescent="0.2">
      <c r="A3065" s="5">
        <v>3004</v>
      </c>
      <c r="B3065" s="138">
        <f>'Expenditures 15-22'!K219</f>
        <v>38641</v>
      </c>
      <c r="C3065" s="2" t="s">
        <v>593</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593</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152462</v>
      </c>
      <c r="C3225" s="2" t="s">
        <v>593</v>
      </c>
      <c r="D3225" s="2" t="str">
        <f t="shared" si="49"/>
        <v>Error?</v>
      </c>
    </row>
    <row r="3226" spans="1:4" x14ac:dyDescent="0.2">
      <c r="A3226" s="5">
        <v>3165</v>
      </c>
      <c r="B3226" s="138">
        <f>'Acct Summary 7-8'!I8</f>
        <v>152462</v>
      </c>
      <c r="C3226" s="2" t="s">
        <v>593</v>
      </c>
      <c r="D3226" s="2" t="str">
        <f t="shared" si="49"/>
        <v>Error?</v>
      </c>
    </row>
    <row r="3227" spans="1:4" x14ac:dyDescent="0.2">
      <c r="A3227" s="5">
        <v>3166</v>
      </c>
      <c r="B3227" s="138">
        <f>'Acct Summary 7-8'!I20</f>
        <v>152462</v>
      </c>
      <c r="C3227" s="2" t="s">
        <v>593</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593</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40000</v>
      </c>
      <c r="C3231" s="2" t="s">
        <v>593</v>
      </c>
      <c r="D3231" s="2" t="str">
        <f t="shared" si="49"/>
        <v>Error?</v>
      </c>
    </row>
    <row r="3232" spans="1:4" x14ac:dyDescent="0.2">
      <c r="A3232" s="5">
        <v>3171</v>
      </c>
      <c r="B3232" s="138">
        <f>'Acct Summary 7-8'!C77</f>
        <v>-40000</v>
      </c>
      <c r="C3232" s="2" t="s">
        <v>593</v>
      </c>
      <c r="D3232" s="2" t="str">
        <f t="shared" si="49"/>
        <v>Error?</v>
      </c>
    </row>
    <row r="3233" spans="1:4" x14ac:dyDescent="0.2">
      <c r="A3233" s="5">
        <v>3172</v>
      </c>
      <c r="B3233" s="138">
        <f>'Acct Summary 7-8'!C78</f>
        <v>617639</v>
      </c>
      <c r="C3233" s="2" t="s">
        <v>593</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593</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593</v>
      </c>
      <c r="D3237" s="2" t="str">
        <f t="shared" si="49"/>
        <v>Error?</v>
      </c>
    </row>
    <row r="3238" spans="1:4" x14ac:dyDescent="0.2">
      <c r="A3238" s="5">
        <v>3177</v>
      </c>
      <c r="B3238" s="138">
        <f>'Acct Summary 7-8'!D77</f>
        <v>0</v>
      </c>
      <c r="C3238" s="2" t="s">
        <v>593</v>
      </c>
      <c r="D3238" s="2" t="str">
        <f t="shared" si="49"/>
        <v>Error?</v>
      </c>
    </row>
    <row r="3239" spans="1:4" x14ac:dyDescent="0.2">
      <c r="A3239" s="5">
        <v>3178</v>
      </c>
      <c r="B3239" s="138">
        <f>'Acct Summary 7-8'!D78</f>
        <v>-214182</v>
      </c>
      <c r="C3239" s="2" t="s">
        <v>593</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593</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593</v>
      </c>
      <c r="D3254" s="2" t="str">
        <f t="shared" si="49"/>
        <v>Error?</v>
      </c>
    </row>
    <row r="3255" spans="1:4" x14ac:dyDescent="0.2">
      <c r="A3255" s="5">
        <v>3194</v>
      </c>
      <c r="B3255" s="138">
        <f>'Acct Summary 7-8'!F77</f>
        <v>0</v>
      </c>
      <c r="C3255" s="2" t="s">
        <v>593</v>
      </c>
      <c r="D3255" s="2" t="str">
        <f t="shared" si="49"/>
        <v>Error?</v>
      </c>
    </row>
    <row r="3256" spans="1:4" x14ac:dyDescent="0.2">
      <c r="A3256" s="5">
        <v>3195</v>
      </c>
      <c r="B3256" s="138">
        <f>'Acct Summary 7-8'!F78</f>
        <v>433631</v>
      </c>
      <c r="C3256" s="2" t="s">
        <v>593</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593</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593</v>
      </c>
      <c r="D3260" s="2" t="str">
        <f t="shared" si="49"/>
        <v>Error?</v>
      </c>
    </row>
    <row r="3261" spans="1:4" x14ac:dyDescent="0.2">
      <c r="A3261" s="5">
        <v>3200</v>
      </c>
      <c r="B3261" s="138">
        <f>'Acct Summary 7-8'!G77</f>
        <v>0</v>
      </c>
      <c r="C3261" s="2" t="s">
        <v>593</v>
      </c>
      <c r="D3261" s="2" t="str">
        <f t="shared" si="49"/>
        <v>Error?</v>
      </c>
    </row>
    <row r="3262" spans="1:4" x14ac:dyDescent="0.2">
      <c r="A3262" s="5">
        <v>3201</v>
      </c>
      <c r="B3262" s="138">
        <f>'Acct Summary 7-8'!G78</f>
        <v>218462</v>
      </c>
      <c r="C3262" s="2" t="s">
        <v>593</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269731</v>
      </c>
      <c r="D3273" s="2" t="str">
        <f t="shared" si="50"/>
        <v>Error?</v>
      </c>
    </row>
    <row r="3274" spans="1:4" x14ac:dyDescent="0.2">
      <c r="A3274" s="5">
        <v>3213</v>
      </c>
      <c r="B3274" s="138">
        <f>'Acct Summary 7-8'!E44</f>
        <v>309731</v>
      </c>
      <c r="C3274" s="2" t="s">
        <v>593</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593</v>
      </c>
      <c r="D3276" s="2" t="str">
        <f t="shared" si="50"/>
        <v>Error?</v>
      </c>
    </row>
    <row r="3277" spans="1:4" x14ac:dyDescent="0.2">
      <c r="A3277" s="5">
        <v>3216</v>
      </c>
      <c r="B3277" s="138">
        <f>'Acct Summary 7-8'!E77</f>
        <v>309731</v>
      </c>
      <c r="C3277" s="2" t="s">
        <v>593</v>
      </c>
      <c r="D3277" s="2" t="str">
        <f t="shared" si="50"/>
        <v>Error?</v>
      </c>
    </row>
    <row r="3278" spans="1:4" x14ac:dyDescent="0.2">
      <c r="A3278" s="5">
        <v>3217</v>
      </c>
      <c r="B3278" s="138">
        <f>'Acct Summary 7-8'!E78</f>
        <v>74259</v>
      </c>
      <c r="C3278" s="2" t="s">
        <v>593</v>
      </c>
      <c r="D3278" s="2" t="str">
        <f t="shared" si="50"/>
        <v>Error?</v>
      </c>
    </row>
    <row r="3279" spans="1:4" x14ac:dyDescent="0.2">
      <c r="A3279" s="10">
        <v>3218</v>
      </c>
      <c r="D3279" s="2" t="str">
        <f t="shared" si="50"/>
        <v>OK</v>
      </c>
    </row>
    <row r="3280" spans="1:4" x14ac:dyDescent="0.2">
      <c r="A3280" s="10">
        <v>3219</v>
      </c>
      <c r="C3280" s="2" t="s">
        <v>593</v>
      </c>
      <c r="D3280" s="2" t="str">
        <f t="shared" si="50"/>
        <v>OK</v>
      </c>
    </row>
    <row r="3281" spans="1:4" x14ac:dyDescent="0.2">
      <c r="A3281" s="10">
        <v>3220</v>
      </c>
      <c r="D3281" s="2" t="str">
        <f t="shared" si="50"/>
        <v>OK</v>
      </c>
    </row>
    <row r="3282" spans="1:4" x14ac:dyDescent="0.2">
      <c r="A3282" s="10">
        <v>3221</v>
      </c>
      <c r="C3282" s="2" t="s">
        <v>593</v>
      </c>
      <c r="D3282" s="2" t="str">
        <f t="shared" si="50"/>
        <v>OK</v>
      </c>
    </row>
    <row r="3283" spans="1:4" x14ac:dyDescent="0.2">
      <c r="A3283" s="10">
        <v>3222</v>
      </c>
      <c r="C3283" s="2" t="s">
        <v>593</v>
      </c>
      <c r="D3283" s="2" t="str">
        <f t="shared" si="50"/>
        <v>OK</v>
      </c>
    </row>
    <row r="3284" spans="1:4" x14ac:dyDescent="0.2">
      <c r="A3284" s="10">
        <v>3223</v>
      </c>
      <c r="C3284" s="2" t="s">
        <v>593</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6286261</v>
      </c>
      <c r="C3296" s="2" t="s">
        <v>593</v>
      </c>
      <c r="D3296" s="2" t="str">
        <f t="shared" si="50"/>
        <v>Error?</v>
      </c>
    </row>
    <row r="3297" spans="1:4" x14ac:dyDescent="0.2">
      <c r="A3297" s="5">
        <v>3236</v>
      </c>
      <c r="B3297" s="138">
        <f>'Acct Summary 7-8'!H75</f>
        <v>182420</v>
      </c>
      <c r="D3297" s="2" t="str">
        <f t="shared" si="50"/>
        <v>Error?</v>
      </c>
    </row>
    <row r="3298" spans="1:4" x14ac:dyDescent="0.2">
      <c r="A3298" s="5">
        <v>3237</v>
      </c>
      <c r="B3298" s="138">
        <f>'Acct Summary 7-8'!H76</f>
        <v>182420</v>
      </c>
      <c r="C3298" s="2" t="s">
        <v>593</v>
      </c>
      <c r="D3298" s="2" t="str">
        <f t="shared" si="50"/>
        <v>Error?</v>
      </c>
    </row>
    <row r="3299" spans="1:4" x14ac:dyDescent="0.2">
      <c r="A3299" s="5">
        <v>3238</v>
      </c>
      <c r="B3299" s="138">
        <f>'Acct Summary 7-8'!H77</f>
        <v>6103841</v>
      </c>
      <c r="C3299" s="2" t="s">
        <v>593</v>
      </c>
      <c r="D3299" s="2" t="str">
        <f t="shared" si="50"/>
        <v>Error?</v>
      </c>
    </row>
    <row r="3300" spans="1:4" x14ac:dyDescent="0.2">
      <c r="A3300" s="5">
        <v>3239</v>
      </c>
      <c r="B3300" s="138">
        <f>'Acct Summary 7-8'!H78</f>
        <v>6170025</v>
      </c>
      <c r="C3300" s="2" t="s">
        <v>593</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593</v>
      </c>
      <c r="D3317" s="2" t="str">
        <f t="shared" si="50"/>
        <v>Error?</v>
      </c>
    </row>
    <row r="3318" spans="1:4" x14ac:dyDescent="0.2">
      <c r="A3318" s="5">
        <v>3257</v>
      </c>
      <c r="B3318" s="138">
        <f>'Acct Summary 7-8'!I76</f>
        <v>0</v>
      </c>
      <c r="C3318" s="2" t="s">
        <v>593</v>
      </c>
      <c r="D3318" s="2" t="str">
        <f t="shared" si="50"/>
        <v>Error?</v>
      </c>
    </row>
    <row r="3319" spans="1:4" x14ac:dyDescent="0.2">
      <c r="A3319" s="5">
        <v>3258</v>
      </c>
      <c r="B3319" s="138">
        <f>'Acct Summary 7-8'!I77</f>
        <v>0</v>
      </c>
      <c r="C3319" s="2" t="s">
        <v>593</v>
      </c>
      <c r="D3319" s="2" t="str">
        <f t="shared" si="50"/>
        <v>Error?</v>
      </c>
    </row>
    <row r="3320" spans="1:4" x14ac:dyDescent="0.2">
      <c r="A3320" s="5">
        <v>3259</v>
      </c>
      <c r="B3320" s="138">
        <f>'Acct Summary 7-8'!I78</f>
        <v>152462</v>
      </c>
      <c r="C3320" s="2" t="s">
        <v>593</v>
      </c>
      <c r="D3320" s="2" t="str">
        <f t="shared" si="50"/>
        <v>Error?</v>
      </c>
    </row>
    <row r="3321" spans="1:4" x14ac:dyDescent="0.2">
      <c r="A3321" s="5">
        <v>3260</v>
      </c>
      <c r="B3321" s="138">
        <f>'Acct Summary 7-8'!I79</f>
        <v>451976</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604438</v>
      </c>
      <c r="C3323" s="2" t="s">
        <v>593</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2264194</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265816</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10277</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14788</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2555075</v>
      </c>
      <c r="C3380" s="2" t="s">
        <v>593</v>
      </c>
      <c r="D3380" s="2" t="str">
        <f t="shared" si="51"/>
        <v>Error?</v>
      </c>
    </row>
    <row r="3381" spans="1:4" x14ac:dyDescent="0.2">
      <c r="A3381" s="5">
        <v>3320</v>
      </c>
      <c r="B3381" s="138">
        <f>'Expenditures 15-22'!K19</f>
        <v>0</v>
      </c>
      <c r="C3381" s="2" t="s">
        <v>593</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125891</v>
      </c>
      <c r="D3387" s="2" t="str">
        <f t="shared" si="51"/>
        <v>Error?</v>
      </c>
    </row>
    <row r="3388" spans="1:4" x14ac:dyDescent="0.2">
      <c r="A3388" s="5">
        <v>3327</v>
      </c>
      <c r="B3388" s="138">
        <f>'Expenditures 15-22'!D217</f>
        <v>124442</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125891</v>
      </c>
      <c r="C3390" s="2" t="s">
        <v>593</v>
      </c>
      <c r="D3390" s="2" t="str">
        <f t="shared" si="51"/>
        <v>Error?</v>
      </c>
    </row>
    <row r="3391" spans="1:4" x14ac:dyDescent="0.2">
      <c r="A3391" s="5">
        <v>3330</v>
      </c>
      <c r="B3391" s="138">
        <f>'Expenditures 15-22'!K217</f>
        <v>124442</v>
      </c>
      <c r="C3391" s="2" t="s">
        <v>593</v>
      </c>
      <c r="D3391" s="2" t="str">
        <f t="shared" ref="D3391:D3454" si="52">IF(ISBLANK(B3391),"OK",IF(A3391-B3391=0,"OK","Error?"))</f>
        <v>Error?</v>
      </c>
    </row>
    <row r="3392" spans="1:4" x14ac:dyDescent="0.2">
      <c r="A3392" s="5">
        <v>3331</v>
      </c>
      <c r="B3392" s="138">
        <f>'Expenditures 15-22'!K228</f>
        <v>0</v>
      </c>
      <c r="C3392" s="2" t="s">
        <v>593</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593</v>
      </c>
      <c r="D3405" s="2" t="str">
        <f t="shared" si="52"/>
        <v>Error?</v>
      </c>
    </row>
    <row r="3406" spans="1:4" x14ac:dyDescent="0.2">
      <c r="A3406" s="5">
        <v>3345</v>
      </c>
      <c r="B3406" s="138">
        <f>'Acct Summary 7-8'!D5</f>
        <v>0</v>
      </c>
      <c r="C3406" s="2" t="s">
        <v>593</v>
      </c>
      <c r="D3406" s="2" t="str">
        <f t="shared" si="52"/>
        <v>Error?</v>
      </c>
    </row>
    <row r="3407" spans="1:4" x14ac:dyDescent="0.2">
      <c r="A3407" s="10">
        <v>3346</v>
      </c>
      <c r="D3407" s="2" t="str">
        <f t="shared" si="52"/>
        <v>OK</v>
      </c>
    </row>
    <row r="3408" spans="1:4" x14ac:dyDescent="0.2">
      <c r="A3408" s="5">
        <v>3347</v>
      </c>
      <c r="B3408" s="138">
        <f>'Acct Summary 7-8'!F5</f>
        <v>0</v>
      </c>
      <c r="C3408" s="2" t="s">
        <v>593</v>
      </c>
      <c r="D3408" s="2" t="str">
        <f t="shared" si="52"/>
        <v>Error?</v>
      </c>
    </row>
    <row r="3409" spans="1:4" x14ac:dyDescent="0.2">
      <c r="A3409" s="5">
        <v>3348</v>
      </c>
      <c r="B3409" s="138">
        <f>'Acct Summary 7-8'!G5</f>
        <v>0</v>
      </c>
      <c r="C3409" s="2" t="s">
        <v>593</v>
      </c>
      <c r="D3409" s="2" t="str">
        <f t="shared" si="52"/>
        <v>Error?</v>
      </c>
    </row>
    <row r="3410" spans="1:4" x14ac:dyDescent="0.2">
      <c r="A3410" s="10">
        <v>3349</v>
      </c>
      <c r="D3410" s="2" t="str">
        <f t="shared" si="52"/>
        <v>OK</v>
      </c>
    </row>
    <row r="3411" spans="1:4" x14ac:dyDescent="0.2">
      <c r="A3411" s="5">
        <v>3350</v>
      </c>
      <c r="B3411" s="138">
        <f>'Assets-Liab 5-6'!C4</f>
        <v>3904100</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303624</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261849</v>
      </c>
      <c r="D3417" s="2" t="str">
        <f t="shared" si="52"/>
        <v>Error?</v>
      </c>
    </row>
    <row r="3418" spans="1:4" x14ac:dyDescent="0.2">
      <c r="A3418" s="10">
        <v>3357</v>
      </c>
      <c r="D3418" s="2" t="str">
        <f t="shared" si="52"/>
        <v>OK</v>
      </c>
    </row>
    <row r="3419" spans="1:4" x14ac:dyDescent="0.2">
      <c r="A3419" s="5">
        <v>3358</v>
      </c>
      <c r="B3419" s="138">
        <f>'Assets-Liab 5-6'!F4</f>
        <v>1215649</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1650344</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6365950</v>
      </c>
      <c r="D3425" s="2" t="str">
        <f t="shared" si="52"/>
        <v>Error?</v>
      </c>
    </row>
    <row r="3426" spans="1:4" x14ac:dyDescent="0.2">
      <c r="A3426" s="10">
        <v>3365</v>
      </c>
      <c r="D3426" s="2" t="str">
        <f t="shared" si="52"/>
        <v>OK</v>
      </c>
    </row>
    <row r="3427" spans="1:4" x14ac:dyDescent="0.2">
      <c r="A3427" s="5">
        <v>3366</v>
      </c>
      <c r="B3427" s="138">
        <f>'Assets-Liab 5-6'!I4</f>
        <v>604438</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376254</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593</v>
      </c>
      <c r="D3444" s="2" t="str">
        <f t="shared" si="52"/>
        <v>OK</v>
      </c>
    </row>
    <row r="3445" spans="1:4" x14ac:dyDescent="0.2">
      <c r="A3445" s="10">
        <v>3384</v>
      </c>
      <c r="C3445" s="2" t="s">
        <v>593</v>
      </c>
      <c r="D3445" s="2" t="str">
        <f t="shared" si="52"/>
        <v>OK</v>
      </c>
    </row>
    <row r="3446" spans="1:4" x14ac:dyDescent="0.2">
      <c r="A3446" s="5">
        <v>3385</v>
      </c>
      <c r="B3446" s="138">
        <f>'Tax Sched 23'!B16</f>
        <v>514233</v>
      </c>
      <c r="C3446" s="2" t="s">
        <v>593</v>
      </c>
      <c r="D3446" s="2" t="str">
        <f t="shared" si="52"/>
        <v>Error?</v>
      </c>
    </row>
    <row r="3447" spans="1:4" x14ac:dyDescent="0.2">
      <c r="A3447" s="5">
        <v>3386</v>
      </c>
      <c r="B3447" s="138">
        <f>'Tax Sched 23'!D16</f>
        <v>514233</v>
      </c>
      <c r="C3447" s="2" t="s">
        <v>593</v>
      </c>
      <c r="D3447" s="2" t="str">
        <f t="shared" si="52"/>
        <v>Error?</v>
      </c>
    </row>
    <row r="3448" spans="1:4" x14ac:dyDescent="0.2">
      <c r="A3448" s="5">
        <v>3387</v>
      </c>
      <c r="B3448" s="138">
        <f>'Tax Sched 23'!C16</f>
        <v>0</v>
      </c>
      <c r="D3448" s="2" t="str">
        <f t="shared" si="52"/>
        <v>Error?</v>
      </c>
    </row>
    <row r="3449" spans="1:4" x14ac:dyDescent="0.2">
      <c r="A3449" s="5">
        <v>3388</v>
      </c>
      <c r="B3449" s="138">
        <f>'Tax Sched 23'!F16</f>
        <v>438406</v>
      </c>
      <c r="C3449" s="2" t="s">
        <v>593</v>
      </c>
      <c r="D3449" s="2" t="str">
        <f t="shared" si="52"/>
        <v>Error?</v>
      </c>
    </row>
    <row r="3450" spans="1:4" x14ac:dyDescent="0.2">
      <c r="A3450" s="5">
        <v>3389</v>
      </c>
      <c r="B3450" s="138">
        <f>'Tax Sched 23'!E16</f>
        <v>438406</v>
      </c>
      <c r="D3450" s="2" t="str">
        <f t="shared" si="52"/>
        <v>Error?</v>
      </c>
    </row>
    <row r="3451" spans="1:4" x14ac:dyDescent="0.2">
      <c r="A3451" s="5">
        <v>3390</v>
      </c>
      <c r="B3451" s="138">
        <f>'Cap Outlay Deprec 26'!C15</f>
        <v>55434</v>
      </c>
      <c r="D3451" s="2" t="str">
        <f t="shared" si="52"/>
        <v>Error?</v>
      </c>
    </row>
    <row r="3452" spans="1:4" x14ac:dyDescent="0.2">
      <c r="A3452" s="5">
        <v>3391</v>
      </c>
      <c r="B3452" s="138">
        <f>'Cap Outlay Deprec 26'!D15</f>
        <v>1905286</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1960720</v>
      </c>
      <c r="C3454" s="2" t="s">
        <v>593</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1960720</v>
      </c>
      <c r="C3459" s="2" t="s">
        <v>593</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593</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6253921</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6253921</v>
      </c>
      <c r="C3552" s="2" t="s">
        <v>593</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593</v>
      </c>
      <c r="D3565" s="2" t="str">
        <f t="shared" si="54"/>
        <v>Error?</v>
      </c>
    </row>
    <row r="3566" spans="1:4" x14ac:dyDescent="0.2">
      <c r="A3566" s="5">
        <v>3505</v>
      </c>
      <c r="B3566" s="138">
        <f>'Assets-Liab 5-6'!K38</f>
        <v>5452295</v>
      </c>
      <c r="D3566" s="2" t="str">
        <f t="shared" si="54"/>
        <v>Error?</v>
      </c>
    </row>
    <row r="3567" spans="1:4" x14ac:dyDescent="0.2">
      <c r="A3567" s="5">
        <v>3506</v>
      </c>
      <c r="B3567" s="138">
        <f>'Assets-Liab 5-6'!K39</f>
        <v>801626</v>
      </c>
      <c r="D3567" s="2" t="str">
        <f t="shared" si="54"/>
        <v>Error?</v>
      </c>
    </row>
    <row r="3568" spans="1:4" x14ac:dyDescent="0.2">
      <c r="A3568" s="5">
        <v>3507</v>
      </c>
      <c r="B3568" s="138">
        <f>'Assets-Liab 5-6'!K41</f>
        <v>6253921</v>
      </c>
      <c r="C3568" s="2" t="s">
        <v>593</v>
      </c>
      <c r="D3568" s="2" t="str">
        <f t="shared" si="54"/>
        <v>Error?</v>
      </c>
    </row>
    <row r="3569" spans="1:4" x14ac:dyDescent="0.2">
      <c r="A3569" s="5">
        <v>3508</v>
      </c>
      <c r="B3569" s="138">
        <f>'Acct Summary 7-8'!K4</f>
        <v>152566</v>
      </c>
      <c r="C3569" s="2" t="s">
        <v>593</v>
      </c>
      <c r="D3569" s="2" t="str">
        <f t="shared" si="54"/>
        <v>Error?</v>
      </c>
    </row>
    <row r="3570" spans="1:4" x14ac:dyDescent="0.2">
      <c r="A3570" s="5">
        <v>3509</v>
      </c>
      <c r="B3570" s="138">
        <f>'Acct Summary 7-8'!K6</f>
        <v>0</v>
      </c>
      <c r="C3570" s="2" t="s">
        <v>593</v>
      </c>
      <c r="D3570" s="2" t="str">
        <f t="shared" si="54"/>
        <v>Error?</v>
      </c>
    </row>
    <row r="3571" spans="1:4" x14ac:dyDescent="0.2">
      <c r="A3571" s="5">
        <v>3510</v>
      </c>
      <c r="B3571" s="138">
        <f>'Acct Summary 7-8'!K8</f>
        <v>152566</v>
      </c>
      <c r="C3571" s="2" t="s">
        <v>593</v>
      </c>
      <c r="D3571" s="2" t="str">
        <f t="shared" si="54"/>
        <v>Error?</v>
      </c>
    </row>
    <row r="3572" spans="1:4" x14ac:dyDescent="0.2">
      <c r="A3572" s="5">
        <v>3511</v>
      </c>
      <c r="B3572" s="138">
        <f>'Acct Summary 7-8'!K13</f>
        <v>888645</v>
      </c>
      <c r="C3572" s="2" t="s">
        <v>593</v>
      </c>
      <c r="D3572" s="2" t="str">
        <f t="shared" si="54"/>
        <v>Error?</v>
      </c>
    </row>
    <row r="3573" spans="1:4" x14ac:dyDescent="0.2">
      <c r="A3573" s="5">
        <v>3512</v>
      </c>
      <c r="B3573" s="138">
        <f>'Acct Summary 7-8'!K15</f>
        <v>0</v>
      </c>
      <c r="C3573" s="2" t="s">
        <v>593</v>
      </c>
      <c r="D3573" s="2" t="str">
        <f t="shared" si="54"/>
        <v>Error?</v>
      </c>
    </row>
    <row r="3574" spans="1:4" x14ac:dyDescent="0.2">
      <c r="A3574" s="5">
        <v>3513</v>
      </c>
      <c r="B3574" s="138">
        <f>'Acct Summary 7-8'!K16</f>
        <v>0</v>
      </c>
      <c r="C3574" s="2" t="s">
        <v>593</v>
      </c>
      <c r="D3574" s="2" t="str">
        <f t="shared" si="54"/>
        <v>Error?</v>
      </c>
    </row>
    <row r="3575" spans="1:4" x14ac:dyDescent="0.2">
      <c r="A3575" s="5">
        <v>3514</v>
      </c>
      <c r="B3575" s="138">
        <f>'Acct Summary 7-8'!K17</f>
        <v>888645</v>
      </c>
      <c r="C3575" s="2" t="s">
        <v>593</v>
      </c>
      <c r="D3575" s="2" t="str">
        <f t="shared" si="54"/>
        <v>Error?</v>
      </c>
    </row>
    <row r="3576" spans="1:4" x14ac:dyDescent="0.2">
      <c r="A3576" s="5">
        <v>3515</v>
      </c>
      <c r="B3576" s="138">
        <f>'Acct Summary 7-8'!K20</f>
        <v>-736079</v>
      </c>
      <c r="C3576" s="2" t="s">
        <v>593</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6335000</v>
      </c>
      <c r="D3579" s="2" t="str">
        <f t="shared" si="54"/>
        <v>Error?</v>
      </c>
    </row>
    <row r="3580" spans="1:4" x14ac:dyDescent="0.2">
      <c r="A3580" s="5">
        <v>3519</v>
      </c>
      <c r="B3580" s="138">
        <f>'Acct Summary 7-8'!K34</f>
        <v>552607</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6887607</v>
      </c>
      <c r="C3584" s="2" t="s">
        <v>593</v>
      </c>
      <c r="D3584" s="2" t="str">
        <f t="shared" si="55"/>
        <v>Error?</v>
      </c>
    </row>
    <row r="3585" spans="1:4" x14ac:dyDescent="0.2">
      <c r="A3585" s="12">
        <v>3524</v>
      </c>
      <c r="B3585" s="138">
        <f>'Acct Summary 7-8'!K75</f>
        <v>87311</v>
      </c>
      <c r="D3585" s="2" t="str">
        <f t="shared" si="55"/>
        <v>Error?</v>
      </c>
    </row>
    <row r="3586" spans="1:4" x14ac:dyDescent="0.2">
      <c r="A3586" s="5">
        <v>3525</v>
      </c>
      <c r="B3586" s="138">
        <f>'Acct Summary 7-8'!K76</f>
        <v>87311</v>
      </c>
      <c r="C3586" s="2" t="s">
        <v>593</v>
      </c>
      <c r="D3586" s="2" t="str">
        <f t="shared" si="55"/>
        <v>Error?</v>
      </c>
    </row>
    <row r="3587" spans="1:4" x14ac:dyDescent="0.2">
      <c r="A3587" s="5">
        <v>3526</v>
      </c>
      <c r="B3587" s="138">
        <f>'Acct Summary 7-8'!K77</f>
        <v>6800296</v>
      </c>
      <c r="C3587" s="2" t="s">
        <v>593</v>
      </c>
      <c r="D3587" s="2" t="str">
        <f t="shared" si="55"/>
        <v>Error?</v>
      </c>
    </row>
    <row r="3588" spans="1:4" x14ac:dyDescent="0.2">
      <c r="A3588" s="5">
        <v>3527</v>
      </c>
      <c r="B3588" s="138">
        <f>'Acct Summary 7-8'!K78</f>
        <v>6064217</v>
      </c>
      <c r="C3588" s="2" t="s">
        <v>593</v>
      </c>
      <c r="D3588" s="2" t="str">
        <f t="shared" si="55"/>
        <v>Error?</v>
      </c>
    </row>
    <row r="3589" spans="1:4" x14ac:dyDescent="0.2">
      <c r="A3589" s="5">
        <v>3528</v>
      </c>
      <c r="B3589" s="138">
        <f>'Acct Summary 7-8'!K79</f>
        <v>189704</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6253921</v>
      </c>
      <c r="C3591" s="2" t="s">
        <v>593</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593</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593</v>
      </c>
      <c r="D3621" s="2" t="str">
        <f t="shared" si="55"/>
        <v>Error?</v>
      </c>
    </row>
    <row r="3622" spans="1:4" x14ac:dyDescent="0.2">
      <c r="A3622" s="5">
        <v>3561</v>
      </c>
      <c r="B3622" s="138">
        <f>'Expenditures 15-22'!C367</f>
        <v>0</v>
      </c>
      <c r="C3622" s="2" t="s">
        <v>593</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593</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593</v>
      </c>
      <c r="D3628" s="2" t="str">
        <f t="shared" si="55"/>
        <v>Error?</v>
      </c>
    </row>
    <row r="3629" spans="1:4" x14ac:dyDescent="0.2">
      <c r="A3629" s="5">
        <v>3568</v>
      </c>
      <c r="B3629" s="138">
        <f>'Expenditures 15-22'!D367</f>
        <v>0</v>
      </c>
      <c r="C3629" s="2" t="s">
        <v>593</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20</v>
      </c>
      <c r="D3632" s="2" t="str">
        <f t="shared" si="55"/>
        <v>Error?</v>
      </c>
    </row>
    <row r="3633" spans="1:4" x14ac:dyDescent="0.2">
      <c r="A3633" s="5">
        <v>3572</v>
      </c>
      <c r="B3633" s="138">
        <f>'Expenditures 15-22'!E350</f>
        <v>20</v>
      </c>
      <c r="C3633" s="2" t="s">
        <v>593</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20</v>
      </c>
      <c r="C3635" s="2" t="s">
        <v>593</v>
      </c>
      <c r="D3635" s="2" t="str">
        <f t="shared" si="55"/>
        <v>Error?</v>
      </c>
    </row>
    <row r="3636" spans="1:4" x14ac:dyDescent="0.2">
      <c r="A3636" s="5">
        <v>3575</v>
      </c>
      <c r="B3636" s="138">
        <f>'Expenditures 15-22'!E367</f>
        <v>20</v>
      </c>
      <c r="C3636" s="2" t="s">
        <v>593</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593</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593</v>
      </c>
      <c r="D3642" s="2" t="str">
        <f t="shared" si="55"/>
        <v>Error?</v>
      </c>
    </row>
    <row r="3643" spans="1:4" x14ac:dyDescent="0.2">
      <c r="A3643" s="5">
        <v>3582</v>
      </c>
      <c r="B3643" s="138">
        <f>'Expenditures 15-22'!F367</f>
        <v>0</v>
      </c>
      <c r="C3643" s="2" t="s">
        <v>593</v>
      </c>
      <c r="D3643" s="2" t="str">
        <f t="shared" si="55"/>
        <v>Error?</v>
      </c>
    </row>
    <row r="3644" spans="1:4" x14ac:dyDescent="0.2">
      <c r="A3644" s="10">
        <v>3583</v>
      </c>
      <c r="D3644" s="2" t="str">
        <f t="shared" si="55"/>
        <v>OK</v>
      </c>
    </row>
    <row r="3645" spans="1:4" x14ac:dyDescent="0.2">
      <c r="A3645" s="5">
        <v>3584</v>
      </c>
      <c r="B3645" s="138">
        <f>'Expenditures 15-22'!G348</f>
        <v>882705</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882705</v>
      </c>
      <c r="C3647" s="2" t="s">
        <v>593</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882705</v>
      </c>
      <c r="C3649" s="2" t="s">
        <v>593</v>
      </c>
      <c r="D3649" s="2" t="str">
        <f t="shared" si="56"/>
        <v>Error?</v>
      </c>
    </row>
    <row r="3650" spans="1:4" x14ac:dyDescent="0.2">
      <c r="A3650" s="5">
        <v>3589</v>
      </c>
      <c r="B3650" s="138">
        <f>'Expenditures 15-22'!G367</f>
        <v>882705</v>
      </c>
      <c r="C3650" s="2" t="s">
        <v>593</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593</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593</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593</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593</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888625</v>
      </c>
      <c r="C3668" s="2" t="s">
        <v>593</v>
      </c>
      <c r="D3668" s="2" t="str">
        <f t="shared" si="56"/>
        <v>Error?</v>
      </c>
    </row>
    <row r="3669" spans="1:4" x14ac:dyDescent="0.2">
      <c r="A3669" s="5">
        <v>3608</v>
      </c>
      <c r="B3669" s="138">
        <f>'Expenditures 15-22'!K349</f>
        <v>20</v>
      </c>
      <c r="C3669" s="2" t="s">
        <v>593</v>
      </c>
      <c r="D3669" s="2" t="str">
        <f t="shared" si="56"/>
        <v>Error?</v>
      </c>
    </row>
    <row r="3670" spans="1:4" x14ac:dyDescent="0.2">
      <c r="A3670" s="5">
        <v>3609</v>
      </c>
      <c r="B3670" s="138">
        <f>'Expenditures 15-22'!K350</f>
        <v>888645</v>
      </c>
      <c r="C3670" s="2" t="s">
        <v>593</v>
      </c>
      <c r="D3670" s="2" t="str">
        <f t="shared" si="56"/>
        <v>Error?</v>
      </c>
    </row>
    <row r="3671" spans="1:4" x14ac:dyDescent="0.2">
      <c r="A3671" s="5">
        <v>3610</v>
      </c>
      <c r="B3671" s="138">
        <f>'Expenditures 15-22'!K351</f>
        <v>0</v>
      </c>
      <c r="C3671" s="2" t="s">
        <v>593</v>
      </c>
      <c r="D3671" s="2" t="str">
        <f t="shared" si="56"/>
        <v>Error?</v>
      </c>
    </row>
    <row r="3672" spans="1:4" x14ac:dyDescent="0.2">
      <c r="A3672" s="5">
        <v>3611</v>
      </c>
      <c r="B3672" s="138">
        <f>'Expenditures 15-22'!K352</f>
        <v>888645</v>
      </c>
      <c r="C3672" s="2" t="s">
        <v>593</v>
      </c>
      <c r="D3672" s="2" t="str">
        <f t="shared" si="56"/>
        <v>Error?</v>
      </c>
    </row>
    <row r="3673" spans="1:4" x14ac:dyDescent="0.2">
      <c r="A3673" s="5">
        <v>3612</v>
      </c>
      <c r="B3673" s="138">
        <f>'Expenditures 15-22'!K354</f>
        <v>0</v>
      </c>
      <c r="C3673" s="2" t="s">
        <v>593</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593</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888645</v>
      </c>
      <c r="C3678" s="2" t="s">
        <v>593</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-736079</v>
      </c>
      <c r="C3681" s="2" t="s">
        <v>593</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593</v>
      </c>
      <c r="D3688" s="2" t="str">
        <f t="shared" si="56"/>
        <v>Error?</v>
      </c>
    </row>
    <row r="3689" spans="1:4" x14ac:dyDescent="0.2">
      <c r="A3689" s="5">
        <v>3628</v>
      </c>
      <c r="B3689" s="138">
        <f>'Short-Term Long-Term Debt 24'!F19</f>
        <v>0</v>
      </c>
      <c r="C3689" s="2" t="s">
        <v>593</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593</v>
      </c>
      <c r="D3702" s="2" t="str">
        <f t="shared" si="56"/>
        <v>Error?</v>
      </c>
    </row>
    <row r="3703" spans="1:4" x14ac:dyDescent="0.2">
      <c r="A3703" s="5">
        <v>3642</v>
      </c>
      <c r="B3703" s="138">
        <f>'Acct Summary 7-8'!K53</f>
        <v>0</v>
      </c>
      <c r="C3703" s="2" t="s">
        <v>593</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593</v>
      </c>
      <c r="D3717" s="2" t="str">
        <f t="shared" si="57"/>
        <v>Error?</v>
      </c>
    </row>
    <row r="3718" spans="1:4" x14ac:dyDescent="0.2">
      <c r="A3718" s="5">
        <v>3657</v>
      </c>
      <c r="B3718" s="138">
        <f>'Acct Summary 7-8'!K7</f>
        <v>0</v>
      </c>
      <c r="C3718" s="2" t="s">
        <v>593</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593</v>
      </c>
      <c r="D3722" s="2" t="str">
        <f t="shared" si="57"/>
        <v>Error?</v>
      </c>
    </row>
    <row r="3723" spans="1:4" x14ac:dyDescent="0.2">
      <c r="A3723" s="5">
        <v>3662</v>
      </c>
      <c r="B3723" s="138">
        <f>'Expenditures 15-22'!K283</f>
        <v>0</v>
      </c>
      <c r="C3723" s="2" t="s">
        <v>593</v>
      </c>
      <c r="D3723" s="2" t="str">
        <f t="shared" si="57"/>
        <v>Error?</v>
      </c>
    </row>
    <row r="3724" spans="1:4" x14ac:dyDescent="0.2">
      <c r="A3724" s="5">
        <v>3663</v>
      </c>
      <c r="B3724" s="138">
        <f>'Expenditures 15-22'!K285</f>
        <v>0</v>
      </c>
      <c r="C3724" s="2" t="s">
        <v>593</v>
      </c>
      <c r="D3724" s="2" t="str">
        <f t="shared" si="57"/>
        <v>Error?</v>
      </c>
    </row>
    <row r="3725" spans="1:4" x14ac:dyDescent="0.2">
      <c r="A3725" s="5">
        <v>3664</v>
      </c>
      <c r="B3725" s="138">
        <f>'Tax Sched 23'!B13</f>
        <v>0</v>
      </c>
      <c r="C3725" s="2" t="s">
        <v>593</v>
      </c>
      <c r="D3725" s="2" t="str">
        <f t="shared" si="57"/>
        <v>Error?</v>
      </c>
    </row>
    <row r="3726" spans="1:4" x14ac:dyDescent="0.2">
      <c r="A3726" s="5">
        <v>3665</v>
      </c>
      <c r="B3726" s="138">
        <f>'Tax Sched 23'!D13</f>
        <v>0</v>
      </c>
      <c r="C3726" s="2" t="s">
        <v>593</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593</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454367</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593</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593</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593</v>
      </c>
      <c r="D4098" s="2" t="str">
        <f t="shared" si="63"/>
        <v>OK</v>
      </c>
    </row>
    <row r="4099" spans="1:4" x14ac:dyDescent="0.2">
      <c r="A4099" s="5">
        <v>4038</v>
      </c>
      <c r="B4099" s="138">
        <f>'Expenditures 15-22'!K307</f>
        <v>0</v>
      </c>
      <c r="C4099" s="2" t="s">
        <v>593</v>
      </c>
      <c r="D4099" s="2" t="str">
        <f t="shared" si="63"/>
        <v>Error?</v>
      </c>
    </row>
    <row r="4100" spans="1:4" x14ac:dyDescent="0.2">
      <c r="A4100" s="5">
        <v>4039</v>
      </c>
      <c r="B4100" s="138">
        <f>'Expenditures 15-22'!K308</f>
        <v>0</v>
      </c>
      <c r="C4100" s="2" t="s">
        <v>593</v>
      </c>
      <c r="D4100" s="2" t="str">
        <f t="shared" si="63"/>
        <v>Error?</v>
      </c>
    </row>
    <row r="4101" spans="1:4" x14ac:dyDescent="0.2">
      <c r="A4101" s="10">
        <v>4040</v>
      </c>
      <c r="C4101" s="2" t="s">
        <v>593</v>
      </c>
      <c r="D4101" s="2" t="str">
        <f t="shared" si="63"/>
        <v>OK</v>
      </c>
    </row>
    <row r="4102" spans="1:4" x14ac:dyDescent="0.2">
      <c r="A4102" s="5">
        <v>4041</v>
      </c>
      <c r="B4102" s="138">
        <f>'Tax Sched 23'!B17</f>
        <v>0</v>
      </c>
      <c r="C4102" s="2" t="s">
        <v>593</v>
      </c>
      <c r="D4102" s="2" t="str">
        <f t="shared" si="63"/>
        <v>Error?</v>
      </c>
    </row>
    <row r="4103" spans="1:4" x14ac:dyDescent="0.2">
      <c r="A4103" s="5">
        <v>4042</v>
      </c>
      <c r="B4103" s="138">
        <f>'Tax Sched 23'!B18</f>
        <v>0</v>
      </c>
      <c r="C4103" s="2" t="s">
        <v>593</v>
      </c>
      <c r="D4103" s="2" t="str">
        <f t="shared" si="63"/>
        <v>Error?</v>
      </c>
    </row>
    <row r="4104" spans="1:4" x14ac:dyDescent="0.2">
      <c r="A4104" s="5">
        <v>4043</v>
      </c>
      <c r="B4104" s="138">
        <f>'Tax Sched 23'!D17</f>
        <v>0</v>
      </c>
      <c r="C4104" s="2" t="s">
        <v>593</v>
      </c>
      <c r="D4104" s="2" t="str">
        <f t="shared" si="63"/>
        <v>Error?</v>
      </c>
    </row>
    <row r="4105" spans="1:4" x14ac:dyDescent="0.2">
      <c r="A4105" s="5">
        <v>4044</v>
      </c>
      <c r="B4105" s="138">
        <f>'Tax Sched 23'!D18</f>
        <v>0</v>
      </c>
      <c r="C4105" s="2" t="s">
        <v>593</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593</v>
      </c>
      <c r="D4108" s="2" t="str">
        <f t="shared" si="63"/>
        <v>Error?</v>
      </c>
    </row>
    <row r="4109" spans="1:4" x14ac:dyDescent="0.2">
      <c r="A4109" s="5">
        <v>4048</v>
      </c>
      <c r="B4109" s="138">
        <f>'Tax Sched 23'!F18</f>
        <v>0</v>
      </c>
      <c r="C4109" s="2" t="s">
        <v>593</v>
      </c>
      <c r="D4109" s="2" t="str">
        <f t="shared" si="63"/>
        <v>Error?</v>
      </c>
    </row>
    <row r="4110" spans="1:4" x14ac:dyDescent="0.2">
      <c r="A4110" s="5">
        <v>4049</v>
      </c>
      <c r="B4110" s="138">
        <f>'Tax Sched 23'!E17</f>
        <v>0</v>
      </c>
      <c r="C4110" s="2" t="s">
        <v>593</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5350804</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22647428</v>
      </c>
      <c r="C4122" s="2" t="s">
        <v>593</v>
      </c>
      <c r="D4122" s="2" t="str">
        <f t="shared" si="63"/>
        <v>Error?</v>
      </c>
    </row>
    <row r="4123" spans="1:4" x14ac:dyDescent="0.2">
      <c r="A4123" s="5">
        <v>4062</v>
      </c>
      <c r="B4123" s="138">
        <f>'Acct Summary 7-8'!D10</f>
        <v>1663639</v>
      </c>
      <c r="C4123" s="2" t="s">
        <v>593</v>
      </c>
      <c r="D4123" s="2" t="str">
        <f t="shared" si="63"/>
        <v>Error?</v>
      </c>
    </row>
    <row r="4124" spans="1:4" x14ac:dyDescent="0.2">
      <c r="A4124" s="5">
        <v>4063</v>
      </c>
      <c r="B4124" s="138">
        <f>'Acct Summary 7-8'!E10</f>
        <v>3143088</v>
      </c>
      <c r="C4124" s="2" t="s">
        <v>593</v>
      </c>
      <c r="D4124" s="2" t="str">
        <f t="shared" si="63"/>
        <v>Error?</v>
      </c>
    </row>
    <row r="4125" spans="1:4" x14ac:dyDescent="0.2">
      <c r="A4125" s="5">
        <v>4064</v>
      </c>
      <c r="B4125" s="138">
        <f>'Acct Summary 7-8'!F10</f>
        <v>2436852</v>
      </c>
      <c r="C4125" s="2" t="s">
        <v>593</v>
      </c>
      <c r="D4125" s="2" t="str">
        <f t="shared" si="63"/>
        <v>Error?</v>
      </c>
    </row>
    <row r="4126" spans="1:4" x14ac:dyDescent="0.2">
      <c r="A4126" s="5">
        <v>4065</v>
      </c>
      <c r="B4126" s="138">
        <f>'Acct Summary 7-8'!G10</f>
        <v>1254737</v>
      </c>
      <c r="C4126" s="2" t="s">
        <v>593</v>
      </c>
      <c r="D4126" s="2" t="str">
        <f t="shared" si="63"/>
        <v>Error?</v>
      </c>
    </row>
    <row r="4127" spans="1:4" x14ac:dyDescent="0.2">
      <c r="A4127" s="5">
        <v>4066</v>
      </c>
      <c r="B4127" s="138">
        <f>'Acct Summary 7-8'!H10</f>
        <v>1248217</v>
      </c>
      <c r="C4127" s="2" t="s">
        <v>593</v>
      </c>
      <c r="D4127" s="2" t="str">
        <f t="shared" si="63"/>
        <v>Error?</v>
      </c>
    </row>
    <row r="4128" spans="1:4" x14ac:dyDescent="0.2">
      <c r="A4128" s="5">
        <v>4067</v>
      </c>
      <c r="B4128" s="138">
        <f>'Acct Summary 7-8'!I10</f>
        <v>152462</v>
      </c>
      <c r="C4128" s="2" t="s">
        <v>593</v>
      </c>
      <c r="D4128" s="2" t="str">
        <f t="shared" si="63"/>
        <v>Error?</v>
      </c>
    </row>
    <row r="4129" spans="1:4" x14ac:dyDescent="0.2">
      <c r="A4129" s="10">
        <v>4068</v>
      </c>
      <c r="C4129" s="2" t="s">
        <v>593</v>
      </c>
      <c r="D4129" s="2" t="str">
        <f t="shared" si="63"/>
        <v>OK</v>
      </c>
    </row>
    <row r="4130" spans="1:4" x14ac:dyDescent="0.2">
      <c r="A4130" s="5">
        <v>4069</v>
      </c>
      <c r="B4130" s="138">
        <f>'Acct Summary 7-8'!K10</f>
        <v>152566</v>
      </c>
      <c r="C4130" s="2" t="s">
        <v>593</v>
      </c>
      <c r="D4130" s="2" t="str">
        <f t="shared" si="63"/>
        <v>Error?</v>
      </c>
    </row>
    <row r="4131" spans="1:4" x14ac:dyDescent="0.2">
      <c r="A4131" s="5">
        <v>4070</v>
      </c>
      <c r="B4131" s="138">
        <f>'Acct Summary 7-8'!C18</f>
        <v>5350804</v>
      </c>
      <c r="C4131" s="2" t="s">
        <v>593</v>
      </c>
      <c r="D4131" s="2" t="str">
        <f t="shared" si="63"/>
        <v>Error?</v>
      </c>
    </row>
    <row r="4132" spans="1:4" x14ac:dyDescent="0.2">
      <c r="A4132" s="5">
        <v>4071</v>
      </c>
      <c r="B4132" s="138">
        <f>'Acct Summary 7-8'!D18</f>
        <v>0</v>
      </c>
      <c r="C4132" s="2" t="s">
        <v>593</v>
      </c>
      <c r="D4132" s="2" t="str">
        <f t="shared" si="63"/>
        <v>Error?</v>
      </c>
    </row>
    <row r="4133" spans="1:4" x14ac:dyDescent="0.2">
      <c r="A4133" s="5">
        <v>4072</v>
      </c>
      <c r="B4133" s="138">
        <f>'Acct Summary 7-8'!F18</f>
        <v>0</v>
      </c>
      <c r="C4133" s="2" t="s">
        <v>593</v>
      </c>
      <c r="D4133" s="2" t="str">
        <f t="shared" si="63"/>
        <v>Error?</v>
      </c>
    </row>
    <row r="4134" spans="1:4" x14ac:dyDescent="0.2">
      <c r="A4134" s="5">
        <v>4073</v>
      </c>
      <c r="B4134" s="138">
        <f>'Acct Summary 7-8'!H18</f>
        <v>0</v>
      </c>
      <c r="C4134" s="2" t="s">
        <v>593</v>
      </c>
      <c r="D4134" s="2" t="str">
        <f t="shared" si="63"/>
        <v>Error?</v>
      </c>
    </row>
    <row r="4135" spans="1:4" x14ac:dyDescent="0.2">
      <c r="A4135" s="5">
        <v>4074</v>
      </c>
      <c r="B4135" s="138">
        <f>'Acct Summary 7-8'!K18</f>
        <v>0</v>
      </c>
      <c r="C4135" s="2" t="s">
        <v>593</v>
      </c>
      <c r="D4135" s="2" t="str">
        <f t="shared" si="63"/>
        <v>Error?</v>
      </c>
    </row>
    <row r="4136" spans="1:4" x14ac:dyDescent="0.2">
      <c r="A4136" s="5">
        <v>4075</v>
      </c>
      <c r="B4136" s="138">
        <f>'Acct Summary 7-8'!C19</f>
        <v>21989789</v>
      </c>
      <c r="C4136" s="2" t="s">
        <v>593</v>
      </c>
      <c r="D4136" s="2" t="str">
        <f t="shared" si="63"/>
        <v>Error?</v>
      </c>
    </row>
    <row r="4137" spans="1:4" x14ac:dyDescent="0.2">
      <c r="A4137" s="5">
        <v>4076</v>
      </c>
      <c r="B4137" s="138">
        <f>'Acct Summary 7-8'!D19</f>
        <v>1877821</v>
      </c>
      <c r="C4137" s="2" t="s">
        <v>593</v>
      </c>
      <c r="D4137" s="2" t="str">
        <f t="shared" si="63"/>
        <v>Error?</v>
      </c>
    </row>
    <row r="4138" spans="1:4" x14ac:dyDescent="0.2">
      <c r="A4138" s="5">
        <v>4077</v>
      </c>
      <c r="B4138" s="138">
        <f>'Acct Summary 7-8'!E19</f>
        <v>3378560</v>
      </c>
      <c r="C4138" s="2" t="s">
        <v>593</v>
      </c>
      <c r="D4138" s="2" t="str">
        <f t="shared" si="63"/>
        <v>Error?</v>
      </c>
    </row>
    <row r="4139" spans="1:4" x14ac:dyDescent="0.2">
      <c r="A4139" s="5">
        <v>4078</v>
      </c>
      <c r="B4139" s="138">
        <f>'Acct Summary 7-8'!F19</f>
        <v>2003221</v>
      </c>
      <c r="C4139" s="2" t="s">
        <v>593</v>
      </c>
      <c r="D4139" s="2" t="str">
        <f t="shared" si="63"/>
        <v>Error?</v>
      </c>
    </row>
    <row r="4140" spans="1:4" x14ac:dyDescent="0.2">
      <c r="A4140" s="5">
        <v>4079</v>
      </c>
      <c r="B4140" s="138">
        <f>'Acct Summary 7-8'!G19</f>
        <v>1036275</v>
      </c>
      <c r="C4140" s="2" t="s">
        <v>593</v>
      </c>
      <c r="D4140" s="2" t="str">
        <f t="shared" si="63"/>
        <v>Error?</v>
      </c>
    </row>
    <row r="4141" spans="1:4" x14ac:dyDescent="0.2">
      <c r="A4141" s="5">
        <v>4080</v>
      </c>
      <c r="B4141" s="138">
        <f>'Acct Summary 7-8'!H19</f>
        <v>1182033</v>
      </c>
      <c r="C4141" s="2" t="s">
        <v>593</v>
      </c>
      <c r="D4141" s="2" t="str">
        <f t="shared" si="63"/>
        <v>Error?</v>
      </c>
    </row>
    <row r="4142" spans="1:4" x14ac:dyDescent="0.2">
      <c r="A4142" s="10">
        <v>4081</v>
      </c>
      <c r="D4142" s="2" t="str">
        <f t="shared" si="63"/>
        <v>OK</v>
      </c>
    </row>
    <row r="4143" spans="1:4" x14ac:dyDescent="0.2">
      <c r="A4143" s="10">
        <v>4082</v>
      </c>
      <c r="C4143" s="2" t="s">
        <v>593</v>
      </c>
      <c r="D4143" s="2" t="str">
        <f t="shared" si="63"/>
        <v>OK</v>
      </c>
    </row>
    <row r="4144" spans="1:4" x14ac:dyDescent="0.2">
      <c r="A4144" s="5">
        <v>4083</v>
      </c>
      <c r="B4144" s="138">
        <f>'Acct Summary 7-8'!K19</f>
        <v>888645</v>
      </c>
      <c r="C4144" s="2" t="s">
        <v>593</v>
      </c>
      <c r="D4144" s="2" t="str">
        <f t="shared" si="63"/>
        <v>Error?</v>
      </c>
    </row>
    <row r="4145" spans="1:4" x14ac:dyDescent="0.2">
      <c r="A4145" s="10">
        <v>4084</v>
      </c>
      <c r="C4145" s="2" t="s">
        <v>593</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593</v>
      </c>
      <c r="D4150" s="2" t="str">
        <f t="shared" si="63"/>
        <v>OK</v>
      </c>
    </row>
    <row r="4151" spans="1:4" x14ac:dyDescent="0.2">
      <c r="A4151" s="10">
        <v>4090</v>
      </c>
      <c r="C4151" s="2" t="s">
        <v>593</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593</v>
      </c>
      <c r="D4156" s="2" t="str">
        <f t="shared" si="63"/>
        <v>Error?</v>
      </c>
    </row>
    <row r="4157" spans="1:4" x14ac:dyDescent="0.2">
      <c r="A4157" s="5">
        <v>4096</v>
      </c>
      <c r="B4157" s="138">
        <f>'Expenditures 15-22'!K204</f>
        <v>0</v>
      </c>
      <c r="C4157" s="2" t="s">
        <v>593</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593</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593</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593</v>
      </c>
      <c r="D4170" s="2" t="str">
        <f t="shared" si="64"/>
        <v>OK</v>
      </c>
    </row>
    <row r="4171" spans="1:4" x14ac:dyDescent="0.2">
      <c r="A4171" s="5">
        <v>4110</v>
      </c>
      <c r="B4171" s="138">
        <f>'Short-Term Long-Term Debt 24'!I49</f>
        <v>26278697</v>
      </c>
      <c r="C4171" s="2" t="s">
        <v>593</v>
      </c>
      <c r="D4171" s="2" t="str">
        <f t="shared" si="64"/>
        <v>Error?</v>
      </c>
    </row>
    <row r="4172" spans="1:4" x14ac:dyDescent="0.2">
      <c r="A4172" s="5">
        <v>4111</v>
      </c>
      <c r="B4172" s="138">
        <f>'Short-Term Long-Term Debt 24'!J49</f>
        <v>25421749</v>
      </c>
      <c r="C4172" s="2" t="s">
        <v>593</v>
      </c>
      <c r="D4172" s="2" t="str">
        <f t="shared" si="64"/>
        <v>Error?</v>
      </c>
    </row>
    <row r="4173" spans="1:4" x14ac:dyDescent="0.2">
      <c r="A4173" s="5">
        <v>4112</v>
      </c>
      <c r="B4173" s="138">
        <f>'Short-Term Long-Term Debt 24'!H49</f>
        <v>1851575</v>
      </c>
      <c r="C4173" s="2" t="s">
        <v>593</v>
      </c>
      <c r="D4173" s="2" t="str">
        <f t="shared" si="64"/>
        <v>Error?</v>
      </c>
    </row>
    <row r="4174" spans="1:4" x14ac:dyDescent="0.2">
      <c r="A4174" s="10">
        <v>4113</v>
      </c>
      <c r="C4174" s="2" t="s">
        <v>593</v>
      </c>
      <c r="D4174" s="2" t="str">
        <f t="shared" si="64"/>
        <v>OK</v>
      </c>
    </row>
    <row r="4175" spans="1:4" x14ac:dyDescent="0.2">
      <c r="A4175" s="5">
        <v>4114</v>
      </c>
      <c r="B4175" s="138">
        <f>'Acct Summary 7-8'!E18</f>
        <v>0</v>
      </c>
      <c r="C4175" s="2" t="s">
        <v>593</v>
      </c>
      <c r="D4175" s="2" t="str">
        <f t="shared" si="64"/>
        <v>Error?</v>
      </c>
    </row>
    <row r="4176" spans="1:4" x14ac:dyDescent="0.2">
      <c r="A4176" s="5">
        <v>4115</v>
      </c>
      <c r="B4176" s="138">
        <f>'Acct Summary 7-8'!G18</f>
        <v>0</v>
      </c>
      <c r="C4176" s="2" t="s">
        <v>593</v>
      </c>
      <c r="D4176" s="2" t="str">
        <f t="shared" si="64"/>
        <v>Error?</v>
      </c>
    </row>
    <row r="4177" spans="1:4" x14ac:dyDescent="0.2">
      <c r="A4177" s="5">
        <v>4116</v>
      </c>
      <c r="B4177" s="138">
        <f>'Short-Term Long-Term Debt 24'!G49</f>
        <v>0</v>
      </c>
      <c r="D4177" s="2" t="str">
        <f t="shared" si="64"/>
        <v>Error?</v>
      </c>
    </row>
    <row r="4178" spans="1:4" x14ac:dyDescent="0.2">
      <c r="A4178" s="10">
        <v>4117</v>
      </c>
      <c r="C4178" s="2" t="s">
        <v>593</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593</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593</v>
      </c>
      <c r="D4202" s="2" t="str">
        <f t="shared" si="64"/>
        <v>Error?</v>
      </c>
    </row>
    <row r="4203" spans="1:4" x14ac:dyDescent="0.2">
      <c r="A4203" s="5">
        <v>4142</v>
      </c>
      <c r="B4203" s="138">
        <f>'Expenditures 15-22'!E139</f>
        <v>0</v>
      </c>
      <c r="C4203" s="2" t="s">
        <v>593</v>
      </c>
      <c r="D4203" s="2" t="str">
        <f t="shared" si="64"/>
        <v>Error?</v>
      </c>
    </row>
    <row r="4204" spans="1:4" x14ac:dyDescent="0.2">
      <c r="A4204" s="10">
        <v>4143</v>
      </c>
      <c r="D4204" s="2" t="str">
        <f t="shared" si="64"/>
        <v>OK</v>
      </c>
    </row>
    <row r="4205" spans="1:4" x14ac:dyDescent="0.2">
      <c r="A4205" s="10">
        <v>4144</v>
      </c>
      <c r="C4205" s="2" t="s">
        <v>593</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183259</v>
      </c>
      <c r="D4210" s="2" t="str">
        <f t="shared" si="64"/>
        <v>Error?</v>
      </c>
    </row>
    <row r="4211" spans="1:4" x14ac:dyDescent="0.2">
      <c r="A4211" s="5">
        <v>4150</v>
      </c>
      <c r="B4211" s="138">
        <f>'Expenditures 15-22'!K206</f>
        <v>183259</v>
      </c>
      <c r="C4211" s="2" t="s">
        <v>593</v>
      </c>
      <c r="D4211" s="2" t="str">
        <f t="shared" si="64"/>
        <v>Error?</v>
      </c>
    </row>
    <row r="4212" spans="1:4" x14ac:dyDescent="0.2">
      <c r="A4212" s="10">
        <v>4151</v>
      </c>
      <c r="D4212" s="2" t="str">
        <f t="shared" si="64"/>
        <v>OK</v>
      </c>
    </row>
    <row r="4213" spans="1:4" x14ac:dyDescent="0.2">
      <c r="A4213" s="10">
        <v>4152</v>
      </c>
      <c r="C4213" s="2" t="s">
        <v>593</v>
      </c>
      <c r="D4213" s="2" t="str">
        <f t="shared" si="64"/>
        <v>OK</v>
      </c>
    </row>
    <row r="4214" spans="1:4" x14ac:dyDescent="0.2">
      <c r="A4214" s="10">
        <v>4153</v>
      </c>
      <c r="C4214" s="2" t="s">
        <v>593</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593</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1840</v>
      </c>
      <c r="C4265" s="2" t="s">
        <v>593</v>
      </c>
      <c r="D4265" s="2" t="str">
        <f t="shared" si="65"/>
        <v>Error?</v>
      </c>
      <c r="E4265" s="128"/>
    </row>
    <row r="4266" spans="1:5" x14ac:dyDescent="0.2">
      <c r="A4266" s="12">
        <v>4205</v>
      </c>
      <c r="B4266" s="138">
        <f>('FP Info 3'!F10)*100000</f>
        <v>500</v>
      </c>
      <c r="C4266" s="2" t="s">
        <v>593</v>
      </c>
      <c r="D4266" s="2" t="str">
        <f t="shared" si="65"/>
        <v>Error?</v>
      </c>
      <c r="E4266" s="128"/>
    </row>
    <row r="4267" spans="1:5" x14ac:dyDescent="0.2">
      <c r="A4267" s="12">
        <v>4206</v>
      </c>
      <c r="B4267" s="138">
        <f>('FP Info 3'!H10)*100000</f>
        <v>200</v>
      </c>
      <c r="C4267" s="2" t="s">
        <v>593</v>
      </c>
      <c r="D4267" s="2" t="str">
        <f t="shared" si="65"/>
        <v>Error?</v>
      </c>
      <c r="E4267" s="128"/>
    </row>
    <row r="4268" spans="1:5" x14ac:dyDescent="0.2">
      <c r="A4268" s="12">
        <v>4207</v>
      </c>
      <c r="B4268" s="138">
        <f>('FP Info 3'!J10)*100000</f>
        <v>2540</v>
      </c>
      <c r="C4268" s="2" t="s">
        <v>593</v>
      </c>
      <c r="D4268" s="2" t="str">
        <f t="shared" si="65"/>
        <v>Error?</v>
      </c>
    </row>
    <row r="4269" spans="1:5" x14ac:dyDescent="0.2">
      <c r="A4269" s="12">
        <v>4208</v>
      </c>
      <c r="B4269" s="138">
        <f>'FP Info 3'!J16</f>
        <v>5852741</v>
      </c>
      <c r="C4269" s="2" t="s">
        <v>593</v>
      </c>
      <c r="D4269" s="2" t="str">
        <f t="shared" si="65"/>
        <v>Error?</v>
      </c>
    </row>
    <row r="4270" spans="1:5" x14ac:dyDescent="0.2">
      <c r="A4270" s="12">
        <v>4209</v>
      </c>
      <c r="B4270" s="138">
        <f>'FP Info 3'!D24</f>
        <v>0</v>
      </c>
      <c r="D4270" s="2" t="str">
        <f t="shared" si="65"/>
        <v>Error?</v>
      </c>
    </row>
    <row r="4271" spans="1:5" x14ac:dyDescent="0.2">
      <c r="A4271" s="10">
        <v>4210</v>
      </c>
      <c r="C4271" s="2" t="s">
        <v>593</v>
      </c>
      <c r="D4271" s="2" t="str">
        <f t="shared" si="65"/>
        <v>OK</v>
      </c>
    </row>
    <row r="4272" spans="1:5" x14ac:dyDescent="0.2">
      <c r="A4272" s="10">
        <v>4211</v>
      </c>
      <c r="D4272" s="2" t="str">
        <f t="shared" si="65"/>
        <v>OK</v>
      </c>
      <c r="E4272" s="2" t="s">
        <v>883</v>
      </c>
    </row>
    <row r="4273" spans="1:5" x14ac:dyDescent="0.2">
      <c r="A4273" s="10">
        <v>4212</v>
      </c>
      <c r="D4273" s="2" t="str">
        <f t="shared" si="65"/>
        <v>OK</v>
      </c>
      <c r="E4273" s="2" t="s">
        <v>977</v>
      </c>
    </row>
    <row r="4274" spans="1:5" x14ac:dyDescent="0.2">
      <c r="A4274" s="10">
        <v>4213</v>
      </c>
      <c r="C4274" s="2" t="s">
        <v>593</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593</v>
      </c>
      <c r="D4295" s="2" t="str">
        <f t="shared" si="66"/>
        <v>OK</v>
      </c>
    </row>
    <row r="4296" spans="1:4" x14ac:dyDescent="0.2">
      <c r="A4296" s="10">
        <v>4235</v>
      </c>
      <c r="C4296" s="2" t="s">
        <v>593</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593</v>
      </c>
      <c r="D4357" s="2" t="str">
        <f t="shared" si="67"/>
        <v>Error?</v>
      </c>
    </row>
    <row r="4358" spans="1:4" x14ac:dyDescent="0.2">
      <c r="A4358" s="5">
        <v>4297</v>
      </c>
      <c r="B4358" s="138">
        <f>'Revenues 9-14'!C270</f>
        <v>30766</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33063</v>
      </c>
      <c r="D4362" s="2" t="str">
        <f t="shared" si="67"/>
        <v>Error?</v>
      </c>
    </row>
    <row r="4363" spans="1:4" x14ac:dyDescent="0.2">
      <c r="A4363" s="5">
        <v>4302</v>
      </c>
      <c r="B4363" s="138">
        <f>'Revenues 9-14'!I172</f>
        <v>0</v>
      </c>
      <c r="C4363" s="2" t="s">
        <v>593</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593</v>
      </c>
      <c r="D4372" s="2" t="str">
        <f t="shared" si="67"/>
        <v>Error?</v>
      </c>
    </row>
    <row r="4373" spans="1:4" x14ac:dyDescent="0.2">
      <c r="A4373" s="5">
        <v>4312</v>
      </c>
      <c r="B4373" s="138">
        <f>'Revenues 9-14'!I178</f>
        <v>0</v>
      </c>
      <c r="C4373" s="2" t="s">
        <v>593</v>
      </c>
      <c r="D4373" s="2" t="str">
        <f t="shared" si="67"/>
        <v>Error?</v>
      </c>
    </row>
    <row r="4374" spans="1:4" x14ac:dyDescent="0.2">
      <c r="A4374" s="10">
        <v>4313</v>
      </c>
      <c r="C4374" s="2" t="s">
        <v>593</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593</v>
      </c>
      <c r="D4395" s="2" t="str">
        <f t="shared" si="67"/>
        <v>Error?</v>
      </c>
    </row>
    <row r="4396" spans="1:4" x14ac:dyDescent="0.2">
      <c r="A4396" s="5">
        <v>4335</v>
      </c>
      <c r="B4396" s="138">
        <f>'Revenues 9-14'!D191</f>
        <v>0</v>
      </c>
      <c r="C4396" s="2" t="s">
        <v>593</v>
      </c>
      <c r="D4396" s="2" t="str">
        <f t="shared" si="67"/>
        <v>Error?</v>
      </c>
    </row>
    <row r="4397" spans="1:4" x14ac:dyDescent="0.2">
      <c r="A4397" s="5">
        <v>4336</v>
      </c>
      <c r="B4397" s="138">
        <f>'Revenues 9-14'!F191</f>
        <v>0</v>
      </c>
      <c r="C4397" s="2" t="s">
        <v>593</v>
      </c>
      <c r="D4397" s="2" t="str">
        <f t="shared" si="67"/>
        <v>Error?</v>
      </c>
    </row>
    <row r="4398" spans="1:4" x14ac:dyDescent="0.2">
      <c r="A4398" s="5">
        <v>4337</v>
      </c>
      <c r="B4398" s="138">
        <f>'Revenues 9-14'!G191</f>
        <v>0</v>
      </c>
      <c r="C4398" s="2" t="s">
        <v>593</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0</v>
      </c>
      <c r="C4411" s="2" t="s">
        <v>593</v>
      </c>
      <c r="D4411" s="2" t="str">
        <f t="shared" si="67"/>
        <v>Error?</v>
      </c>
    </row>
    <row r="4412" spans="1:4" x14ac:dyDescent="0.2">
      <c r="A4412" s="5">
        <v>4351</v>
      </c>
      <c r="B4412" s="138">
        <f>'Revenues 9-14'!D216</f>
        <v>0</v>
      </c>
      <c r="C4412" s="2" t="s">
        <v>593</v>
      </c>
      <c r="D4412" s="2" t="str">
        <f t="shared" si="67"/>
        <v>Error?</v>
      </c>
    </row>
    <row r="4413" spans="1:4" x14ac:dyDescent="0.2">
      <c r="A4413" s="5">
        <v>4352</v>
      </c>
      <c r="B4413" s="138">
        <f>'Revenues 9-14'!F216</f>
        <v>0</v>
      </c>
      <c r="C4413" s="2" t="s">
        <v>593</v>
      </c>
      <c r="D4413" s="2" t="str">
        <f t="shared" si="67"/>
        <v>Error?</v>
      </c>
    </row>
    <row r="4414" spans="1:4" x14ac:dyDescent="0.2">
      <c r="A4414" s="5">
        <v>4353</v>
      </c>
      <c r="B4414" s="138">
        <f>'Revenues 9-14'!G216</f>
        <v>0</v>
      </c>
      <c r="C4414" s="2" t="s">
        <v>593</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0</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593</v>
      </c>
      <c r="D4434" s="2" t="str">
        <f t="shared" si="68"/>
        <v>Error?</v>
      </c>
    </row>
    <row r="4435" spans="1:5" x14ac:dyDescent="0.2">
      <c r="A4435" s="5">
        <v>4374</v>
      </c>
      <c r="B4435" s="138">
        <f>'Revenues 9-14'!I274</f>
        <v>0</v>
      </c>
      <c r="C4435" s="2" t="s">
        <v>593</v>
      </c>
      <c r="D4435" s="2" t="str">
        <f t="shared" si="68"/>
        <v>Error?</v>
      </c>
    </row>
    <row r="4436" spans="1:5" x14ac:dyDescent="0.2">
      <c r="A4436" s="10">
        <v>4375</v>
      </c>
      <c r="C4436" s="2" t="s">
        <v>593</v>
      </c>
      <c r="D4436" s="2" t="str">
        <f t="shared" si="68"/>
        <v>OK</v>
      </c>
      <c r="E4436" s="128"/>
    </row>
    <row r="4437" spans="1:5" x14ac:dyDescent="0.2">
      <c r="A4437" s="12">
        <v>4376</v>
      </c>
      <c r="B4437" s="138">
        <f>('FP Info 3'!L10)*100000</f>
        <v>50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593</v>
      </c>
      <c r="D4441" s="2" t="str">
        <f t="shared" si="68"/>
        <v>Error?</v>
      </c>
    </row>
    <row r="4442" spans="1:5" x14ac:dyDescent="0.2">
      <c r="A4442" s="5">
        <v>4381</v>
      </c>
      <c r="B4442" s="138">
        <f>'Revenues 9-14'!K273</f>
        <v>0</v>
      </c>
      <c r="C4442" s="2" t="s">
        <v>593</v>
      </c>
      <c r="D4442" s="2" t="str">
        <f t="shared" si="68"/>
        <v>Error?</v>
      </c>
    </row>
    <row r="4443" spans="1:5" x14ac:dyDescent="0.2">
      <c r="A4443" s="5">
        <v>4382</v>
      </c>
      <c r="B4443" s="138">
        <f>'Acct Summary 7-8'!E7</f>
        <v>0</v>
      </c>
      <c r="C4443" s="2" t="s">
        <v>593</v>
      </c>
      <c r="D4443" s="2" t="str">
        <f t="shared" si="68"/>
        <v>Error?</v>
      </c>
    </row>
    <row r="4444" spans="1:5" x14ac:dyDescent="0.2">
      <c r="A4444" s="5">
        <v>4383</v>
      </c>
      <c r="B4444" s="138">
        <f>'Acct Summary 7-8'!I7</f>
        <v>0</v>
      </c>
      <c r="C4444" s="2" t="s">
        <v>593</v>
      </c>
      <c r="D4444" s="2" t="str">
        <f t="shared" si="68"/>
        <v>Error?</v>
      </c>
    </row>
    <row r="4445" spans="1:5" x14ac:dyDescent="0.2">
      <c r="A4445" s="10">
        <v>4384</v>
      </c>
      <c r="C4445" s="2" t="s">
        <v>593</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593</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4371</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97203</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593</v>
      </c>
      <c r="D4950" s="2" t="str">
        <f t="shared" si="76"/>
        <v>Error?</v>
      </c>
    </row>
    <row r="4951" spans="1:4" x14ac:dyDescent="0.2">
      <c r="A4951" s="5">
        <v>4890</v>
      </c>
      <c r="B4951" s="138">
        <f>'Revenues 9-14'!K178</f>
        <v>0</v>
      </c>
      <c r="C4951" s="2" t="s">
        <v>593</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307458989</v>
      </c>
      <c r="D4995" s="2" t="str">
        <f t="shared" si="77"/>
        <v>Error?</v>
      </c>
    </row>
    <row r="4996" spans="1:4" x14ac:dyDescent="0.2">
      <c r="A4996" s="12">
        <v>4935</v>
      </c>
      <c r="B4996" s="138">
        <f>'FP Info 3'!H31</f>
        <v>42429340.482000001</v>
      </c>
      <c r="D4996" s="2" t="str">
        <f t="shared" si="77"/>
        <v>Error?</v>
      </c>
    </row>
    <row r="4997" spans="1:4" x14ac:dyDescent="0.2">
      <c r="A4997" s="12">
        <v>4936</v>
      </c>
      <c r="B4997" s="138">
        <f>'FP Info 3'!H37</f>
        <v>26278697</v>
      </c>
      <c r="D4997" s="2" t="str">
        <f t="shared" si="77"/>
        <v>Error?</v>
      </c>
    </row>
    <row r="4998" spans="1:4" x14ac:dyDescent="0.2">
      <c r="A4998" s="10">
        <v>4937</v>
      </c>
      <c r="D4998" s="2" t="str">
        <f t="shared" si="77"/>
        <v>OK</v>
      </c>
    </row>
    <row r="4999" spans="1:4" x14ac:dyDescent="0.2">
      <c r="A4999" s="10">
        <v>4938</v>
      </c>
      <c r="C4999" s="2" t="s">
        <v>593</v>
      </c>
      <c r="D4999" s="2" t="str">
        <f t="shared" si="77"/>
        <v>OK</v>
      </c>
    </row>
    <row r="5000" spans="1:4" x14ac:dyDescent="0.2">
      <c r="A5000" s="5">
        <v>4939</v>
      </c>
      <c r="B5000" s="138">
        <f>'Revenues 9-14'!K172</f>
        <v>0</v>
      </c>
      <c r="C5000" s="2" t="s">
        <v>593</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593</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593</v>
      </c>
      <c r="D5009" s="2" t="str">
        <f t="shared" si="77"/>
        <v>OK</v>
      </c>
    </row>
    <row r="5010" spans="1:4" x14ac:dyDescent="0.2">
      <c r="A5010" s="10">
        <v>4949</v>
      </c>
      <c r="C5010" s="2" t="s">
        <v>593</v>
      </c>
      <c r="D5010" s="2" t="str">
        <f t="shared" si="77"/>
        <v>OK</v>
      </c>
    </row>
    <row r="5011" spans="1:4" x14ac:dyDescent="0.2">
      <c r="A5011" s="5">
        <v>4950</v>
      </c>
      <c r="B5011" s="138">
        <f>'Acct Summary 7-8'!I6</f>
        <v>0</v>
      </c>
      <c r="C5011" s="2" t="s">
        <v>593</v>
      </c>
      <c r="D5011" s="2" t="str">
        <f t="shared" si="77"/>
        <v>Error?</v>
      </c>
    </row>
    <row r="5012" spans="1:4" x14ac:dyDescent="0.2">
      <c r="A5012" s="5">
        <v>4951</v>
      </c>
      <c r="B5012" s="138">
        <f>'Acct Summary 7-8'!C27</f>
        <v>0</v>
      </c>
      <c r="C5012" s="2" t="s">
        <v>593</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593</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593</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5589683</v>
      </c>
      <c r="D5061" s="2" t="str">
        <f t="shared" si="78"/>
        <v>Error?</v>
      </c>
    </row>
    <row r="5062" spans="1:4" x14ac:dyDescent="0.2">
      <c r="A5062" s="10">
        <v>5001</v>
      </c>
      <c r="D5062" s="2" t="str">
        <f t="shared" si="78"/>
        <v>OK</v>
      </c>
    </row>
    <row r="5063" spans="1:4" x14ac:dyDescent="0.2">
      <c r="A5063" s="5">
        <v>5002</v>
      </c>
      <c r="B5063" s="138">
        <f>'Revenues 9-14'!C7</f>
        <v>121519</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5711202</v>
      </c>
      <c r="C5066" s="2" t="s">
        <v>593</v>
      </c>
      <c r="D5066" s="2" t="str">
        <f t="shared" si="78"/>
        <v>Error?</v>
      </c>
    </row>
    <row r="5067" spans="1:4" x14ac:dyDescent="0.2">
      <c r="A5067" s="5">
        <v>5006</v>
      </c>
      <c r="B5067" s="138">
        <f>'Revenues 9-14'!C14</f>
        <v>9875</v>
      </c>
      <c r="D5067" s="2" t="str">
        <f t="shared" si="78"/>
        <v>Error?</v>
      </c>
    </row>
    <row r="5068" spans="1:4" x14ac:dyDescent="0.2">
      <c r="A5068" s="5">
        <v>5007</v>
      </c>
      <c r="B5068" s="138">
        <f>'Revenues 9-14'!C15</f>
        <v>0</v>
      </c>
      <c r="D5068" s="2" t="str">
        <f t="shared" si="78"/>
        <v>Error?</v>
      </c>
    </row>
    <row r="5069" spans="1:4" x14ac:dyDescent="0.2">
      <c r="A5069" s="5">
        <v>5008</v>
      </c>
      <c r="B5069" s="138">
        <f>'Revenues 9-14'!C16</f>
        <v>171565</v>
      </c>
      <c r="D5069" s="2" t="str">
        <f t="shared" si="78"/>
        <v>Error?</v>
      </c>
    </row>
    <row r="5070" spans="1:4" x14ac:dyDescent="0.2">
      <c r="A5070" s="5">
        <v>5009</v>
      </c>
      <c r="B5070" s="138">
        <f>'Revenues 9-14'!C17</f>
        <v>0</v>
      </c>
      <c r="D5070" s="2" t="str">
        <f t="shared" si="78"/>
        <v>Error?</v>
      </c>
    </row>
    <row r="5071" spans="1:4" x14ac:dyDescent="0.2">
      <c r="A5071" s="5">
        <v>5010</v>
      </c>
      <c r="B5071" s="138">
        <f>'Revenues 9-14'!C18</f>
        <v>181440</v>
      </c>
      <c r="C5071" s="2" t="s">
        <v>593</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10435</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68821</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79256</v>
      </c>
      <c r="C5087" s="2" t="s">
        <v>593</v>
      </c>
      <c r="D5087" s="2" t="str">
        <f t="shared" si="78"/>
        <v>Error?</v>
      </c>
    </row>
    <row r="5088" spans="1:4" x14ac:dyDescent="0.2">
      <c r="A5088" s="5">
        <v>5027</v>
      </c>
      <c r="B5088" s="138">
        <f>'Revenues 9-14'!C65</f>
        <v>6023</v>
      </c>
      <c r="D5088" s="2" t="str">
        <f t="shared" si="78"/>
        <v>Error?</v>
      </c>
    </row>
    <row r="5089" spans="1:4" x14ac:dyDescent="0.2">
      <c r="A5089" s="5">
        <v>5028</v>
      </c>
      <c r="B5089" s="138">
        <f>'Revenues 9-14'!C66</f>
        <v>0</v>
      </c>
      <c r="D5089" s="2" t="str">
        <f t="shared" si="78"/>
        <v>Error?</v>
      </c>
    </row>
    <row r="5090" spans="1:4" x14ac:dyDescent="0.2">
      <c r="A5090" s="5">
        <v>5029</v>
      </c>
      <c r="B5090" s="138">
        <f>'Revenues 9-14'!C67</f>
        <v>6023</v>
      </c>
      <c r="C5090" s="2" t="s">
        <v>593</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0</v>
      </c>
      <c r="D5094" s="2" t="str">
        <f t="shared" si="78"/>
        <v>Error?</v>
      </c>
    </row>
    <row r="5095" spans="1:4" x14ac:dyDescent="0.2">
      <c r="A5095" s="5">
        <v>5034</v>
      </c>
      <c r="B5095" s="138">
        <f>'Revenues 9-14'!C74</f>
        <v>0</v>
      </c>
      <c r="D5095" s="2" t="str">
        <f t="shared" si="78"/>
        <v>Error?</v>
      </c>
    </row>
    <row r="5096" spans="1:4" x14ac:dyDescent="0.2">
      <c r="A5096" s="5">
        <v>5035</v>
      </c>
      <c r="B5096" s="138">
        <f>'Revenues 9-14'!C75</f>
        <v>389793</v>
      </c>
      <c r="C5096" s="2" t="s">
        <v>593</v>
      </c>
      <c r="D5096" s="2" t="str">
        <f t="shared" si="78"/>
        <v>Error?</v>
      </c>
    </row>
    <row r="5097" spans="1:4" x14ac:dyDescent="0.2">
      <c r="A5097" s="5">
        <v>5036</v>
      </c>
      <c r="B5097" s="138">
        <f>'Revenues 9-14'!C77</f>
        <v>36574</v>
      </c>
      <c r="D5097" s="2" t="str">
        <f t="shared" si="78"/>
        <v>Error?</v>
      </c>
    </row>
    <row r="5098" spans="1:4" x14ac:dyDescent="0.2">
      <c r="A5098" s="5">
        <v>5037</v>
      </c>
      <c r="B5098" s="138">
        <f>'Revenues 9-14'!C78</f>
        <v>0</v>
      </c>
      <c r="D5098" s="2" t="str">
        <f t="shared" si="78"/>
        <v>Error?</v>
      </c>
    </row>
    <row r="5099" spans="1:4" x14ac:dyDescent="0.2">
      <c r="A5099" s="5">
        <v>5038</v>
      </c>
      <c r="B5099" s="138">
        <f>'Revenues 9-14'!C79</f>
        <v>117347</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153921</v>
      </c>
      <c r="C5102" s="2" t="s">
        <v>593</v>
      </c>
      <c r="D5102" s="2" t="str">
        <f t="shared" si="78"/>
        <v>Error?</v>
      </c>
    </row>
    <row r="5103" spans="1:4" x14ac:dyDescent="0.2">
      <c r="A5103" s="5">
        <v>5042</v>
      </c>
      <c r="B5103" s="138">
        <f>'Revenues 9-14'!C84</f>
        <v>131625</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131625</v>
      </c>
      <c r="C5112" s="2" t="s">
        <v>593</v>
      </c>
      <c r="D5112" s="2" t="str">
        <f t="shared" si="78"/>
        <v>Error?</v>
      </c>
    </row>
    <row r="5113" spans="1:4" x14ac:dyDescent="0.2">
      <c r="A5113" s="5">
        <v>5052</v>
      </c>
      <c r="B5113" s="138">
        <f>'Revenues 9-14'!C95</f>
        <v>0</v>
      </c>
      <c r="D5113" s="2" t="str">
        <f t="shared" si="78"/>
        <v>Error?</v>
      </c>
    </row>
    <row r="5114" spans="1:4" x14ac:dyDescent="0.2">
      <c r="A5114" s="5">
        <v>5053</v>
      </c>
      <c r="B5114" s="138">
        <f>'Revenues 9-14'!C96</f>
        <v>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108060</v>
      </c>
      <c r="D5119" s="2" t="str">
        <f t="shared" ref="D5119:D5182" si="79">IF(ISBLANK(B5119),"OK",IF(A5119-B5119=0,"OK","Error?"))</f>
        <v>Error?</v>
      </c>
    </row>
    <row r="5120" spans="1:4" x14ac:dyDescent="0.2">
      <c r="A5120" s="5">
        <v>5059</v>
      </c>
      <c r="B5120" s="138">
        <f>'Revenues 9-14'!C108</f>
        <v>132921</v>
      </c>
      <c r="C5120" s="2" t="s">
        <v>593</v>
      </c>
      <c r="D5120" s="2" t="str">
        <f t="shared" si="79"/>
        <v>Error?</v>
      </c>
    </row>
    <row r="5121" spans="1:4" x14ac:dyDescent="0.2">
      <c r="A5121" s="5">
        <v>5060</v>
      </c>
      <c r="B5121" s="138">
        <f>'Revenues 9-14'!C109</f>
        <v>6786181</v>
      </c>
      <c r="C5121" s="2" t="s">
        <v>593</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593</v>
      </c>
      <c r="D5125" s="2" t="str">
        <f t="shared" si="79"/>
        <v>Error?</v>
      </c>
    </row>
    <row r="5126" spans="1:4" x14ac:dyDescent="0.2">
      <c r="A5126" s="5">
        <v>5065</v>
      </c>
      <c r="B5126" s="138">
        <f>'Revenues 9-14'!C117</f>
        <v>7036571</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7036571</v>
      </c>
      <c r="C5132" s="2" t="s">
        <v>593</v>
      </c>
      <c r="D5132" s="2" t="str">
        <f t="shared" si="79"/>
        <v>Error?</v>
      </c>
    </row>
    <row r="5133" spans="1:4" x14ac:dyDescent="0.2">
      <c r="A5133" s="5">
        <v>5072</v>
      </c>
      <c r="B5133" s="138">
        <f>'Revenues 9-14'!C124</f>
        <v>62457</v>
      </c>
      <c r="D5133" s="2" t="str">
        <f t="shared" si="79"/>
        <v>Error?</v>
      </c>
    </row>
    <row r="5134" spans="1:4" x14ac:dyDescent="0.2">
      <c r="A5134" s="5">
        <v>5073</v>
      </c>
      <c r="B5134" s="138">
        <f>'Revenues 9-14'!C125</f>
        <v>167005</v>
      </c>
      <c r="D5134" s="2" t="str">
        <f t="shared" si="79"/>
        <v>Error?</v>
      </c>
    </row>
    <row r="5135" spans="1:4" x14ac:dyDescent="0.2">
      <c r="A5135" s="5">
        <v>5074</v>
      </c>
      <c r="B5135" s="138">
        <f>'Revenues 9-14'!C126</f>
        <v>169846</v>
      </c>
      <c r="D5135" s="2" t="str">
        <f t="shared" si="79"/>
        <v>Error?</v>
      </c>
    </row>
    <row r="5136" spans="1:4" x14ac:dyDescent="0.2">
      <c r="A5136" s="10">
        <v>5075</v>
      </c>
      <c r="D5136" s="2" t="str">
        <f t="shared" si="79"/>
        <v>OK</v>
      </c>
    </row>
    <row r="5137" spans="1:4" x14ac:dyDescent="0.2">
      <c r="A5137" s="5">
        <v>5076</v>
      </c>
      <c r="B5137" s="138">
        <f>'Revenues 9-14'!C127</f>
        <v>26985</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426293</v>
      </c>
      <c r="C5147" s="2" t="s">
        <v>593</v>
      </c>
      <c r="D5147" s="2" t="str">
        <f t="shared" si="79"/>
        <v>Error?</v>
      </c>
    </row>
    <row r="5148" spans="1:4" x14ac:dyDescent="0.2">
      <c r="A5148" s="5">
        <v>5087</v>
      </c>
      <c r="B5148" s="138">
        <f>'Revenues 9-14'!C133</f>
        <v>113851</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0</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115265</v>
      </c>
      <c r="C5161" s="2" t="s">
        <v>593</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593</v>
      </c>
      <c r="D5165" s="2" t="str">
        <f t="shared" si="79"/>
        <v>Error?</v>
      </c>
    </row>
    <row r="5166" spans="1:4" x14ac:dyDescent="0.2">
      <c r="A5166" s="10">
        <v>5105</v>
      </c>
      <c r="D5166" s="2" t="str">
        <f t="shared" si="79"/>
        <v>OK</v>
      </c>
    </row>
    <row r="5167" spans="1:4" x14ac:dyDescent="0.2">
      <c r="A5167" s="5">
        <v>5106</v>
      </c>
      <c r="B5167" s="138">
        <f>'Revenues 9-14'!C145</f>
        <v>8691</v>
      </c>
      <c r="D5167" s="2" t="str">
        <f t="shared" si="79"/>
        <v>Error?</v>
      </c>
    </row>
    <row r="5168" spans="1:4" x14ac:dyDescent="0.2">
      <c r="A5168" s="5">
        <v>5107</v>
      </c>
      <c r="B5168" s="138">
        <f>'Revenues 9-14'!C147</f>
        <v>37158</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593</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1105371</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1697149</v>
      </c>
      <c r="C5214" s="2" t="s">
        <v>593</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8733720</v>
      </c>
      <c r="C5223" s="2" t="s">
        <v>593</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593</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593</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397155</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143441</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540596</v>
      </c>
      <c r="C5246" s="2" t="s">
        <v>593</v>
      </c>
      <c r="D5246" s="2" t="str">
        <f t="shared" si="80"/>
        <v>Error?</v>
      </c>
    </row>
    <row r="5247" spans="1:4" x14ac:dyDescent="0.2">
      <c r="A5247" s="5">
        <v>5186</v>
      </c>
      <c r="B5247" s="138">
        <f>'Revenues 9-14'!C203</f>
        <v>370729</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370729</v>
      </c>
      <c r="C5260" s="2" t="s">
        <v>593</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24967</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580481</v>
      </c>
      <c r="D5278" s="2" t="str">
        <f t="shared" si="81"/>
        <v>Error?</v>
      </c>
    </row>
    <row r="5279" spans="1:4" x14ac:dyDescent="0.2">
      <c r="A5279" s="5">
        <v>5218</v>
      </c>
      <c r="B5279" s="138">
        <f>'Revenues 9-14'!C221</f>
        <v>0</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605448</v>
      </c>
      <c r="C5286" s="2" t="s">
        <v>593</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28681</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28681</v>
      </c>
      <c r="C5304" s="2" t="s">
        <v>593</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70237</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1776723</v>
      </c>
      <c r="C5320" s="2" t="s">
        <v>593</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1776723</v>
      </c>
      <c r="C5326" s="2" t="s">
        <v>593</v>
      </c>
      <c r="D5326" s="2" t="str">
        <f t="shared" si="82"/>
        <v>Error?</v>
      </c>
    </row>
    <row r="5327" spans="1:4" x14ac:dyDescent="0.2">
      <c r="A5327" s="5">
        <v>5266</v>
      </c>
      <c r="B5327" s="138">
        <f>'Revenues 9-14'!C275</f>
        <v>17296624</v>
      </c>
      <c r="C5327" s="2" t="s">
        <v>593</v>
      </c>
      <c r="D5327" s="2" t="str">
        <f t="shared" si="82"/>
        <v>Error?</v>
      </c>
    </row>
    <row r="5328" spans="1:4" x14ac:dyDescent="0.2">
      <c r="A5328" s="5">
        <v>5267</v>
      </c>
      <c r="B5328" s="138">
        <f>'Revenues 9-14'!D5</f>
        <v>1518936</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1518936</v>
      </c>
      <c r="C5334" s="2" t="s">
        <v>593</v>
      </c>
      <c r="D5334" s="2" t="str">
        <f t="shared" si="82"/>
        <v>Error?</v>
      </c>
    </row>
    <row r="5335" spans="1:4" x14ac:dyDescent="0.2">
      <c r="A5335" s="5">
        <v>5274</v>
      </c>
      <c r="B5335" s="138">
        <f>'Revenues 9-14'!D14</f>
        <v>2626</v>
      </c>
      <c r="D5335" s="2" t="str">
        <f t="shared" si="82"/>
        <v>Error?</v>
      </c>
    </row>
    <row r="5336" spans="1:4" x14ac:dyDescent="0.2">
      <c r="A5336" s="5">
        <v>5275</v>
      </c>
      <c r="B5336" s="138">
        <f>'Revenues 9-14'!D15</f>
        <v>0</v>
      </c>
      <c r="D5336" s="2" t="str">
        <f t="shared" si="82"/>
        <v>Error?</v>
      </c>
    </row>
    <row r="5337" spans="1:4" x14ac:dyDescent="0.2">
      <c r="A5337" s="5">
        <v>5276</v>
      </c>
      <c r="B5337" s="138">
        <f>'Revenues 9-14'!D16</f>
        <v>100000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102626</v>
      </c>
      <c r="C5339" s="2" t="s">
        <v>593</v>
      </c>
      <c r="D5339" s="2" t="str">
        <f t="shared" si="82"/>
        <v>Error?</v>
      </c>
    </row>
    <row r="5340" spans="1:4" x14ac:dyDescent="0.2">
      <c r="A5340" s="5">
        <v>5279</v>
      </c>
      <c r="B5340" s="138">
        <f>'Revenues 9-14'!D65</f>
        <v>1115</v>
      </c>
      <c r="D5340" s="2" t="str">
        <f t="shared" si="82"/>
        <v>Error?</v>
      </c>
    </row>
    <row r="5341" spans="1:4" x14ac:dyDescent="0.2">
      <c r="A5341" s="5">
        <v>5280</v>
      </c>
      <c r="B5341" s="138">
        <f>'Revenues 9-14'!D66</f>
        <v>0</v>
      </c>
      <c r="D5341" s="2" t="str">
        <f t="shared" si="82"/>
        <v>Error?</v>
      </c>
    </row>
    <row r="5342" spans="1:4" x14ac:dyDescent="0.2">
      <c r="A5342" s="5">
        <v>5281</v>
      </c>
      <c r="B5342" s="138">
        <f>'Revenues 9-14'!D67</f>
        <v>1115</v>
      </c>
      <c r="C5342" s="2" t="s">
        <v>593</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593</v>
      </c>
      <c r="D5348" s="2" t="str">
        <f t="shared" si="82"/>
        <v>Error?</v>
      </c>
    </row>
    <row r="5349" spans="1:4" x14ac:dyDescent="0.2">
      <c r="A5349" s="5">
        <v>5288</v>
      </c>
      <c r="B5349" s="138">
        <f>'Revenues 9-14'!D95</f>
        <v>35340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5622</v>
      </c>
      <c r="D5354" s="2" t="str">
        <f t="shared" si="82"/>
        <v>Error?</v>
      </c>
    </row>
    <row r="5355" spans="1:4" x14ac:dyDescent="0.2">
      <c r="A5355" s="5">
        <v>5294</v>
      </c>
      <c r="B5355" s="138">
        <f>'Revenues 9-14'!D108</f>
        <v>40962</v>
      </c>
      <c r="C5355" s="2" t="s">
        <v>593</v>
      </c>
      <c r="D5355" s="2" t="str">
        <f t="shared" si="82"/>
        <v>Error?</v>
      </c>
    </row>
    <row r="5356" spans="1:4" x14ac:dyDescent="0.2">
      <c r="A5356" s="5">
        <v>5295</v>
      </c>
      <c r="B5356" s="138">
        <f>'Revenues 9-14'!D109</f>
        <v>1663639</v>
      </c>
      <c r="C5356" s="2" t="s">
        <v>593</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593</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593</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593</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593</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593</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593</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0</v>
      </c>
      <c r="C5421" s="2" t="s">
        <v>593</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593</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593</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593</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593</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593</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593</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593</v>
      </c>
      <c r="D5507" s="2" t="str">
        <f t="shared" si="85"/>
        <v>Error?</v>
      </c>
    </row>
    <row r="5508" spans="1:4" x14ac:dyDescent="0.2">
      <c r="A5508" s="5">
        <v>5447</v>
      </c>
      <c r="B5508" s="138">
        <f>'Revenues 9-14'!D275</f>
        <v>1663639</v>
      </c>
      <c r="C5508" s="2" t="s">
        <v>593</v>
      </c>
      <c r="D5508" s="2" t="str">
        <f t="shared" si="85"/>
        <v>Error?</v>
      </c>
    </row>
    <row r="5509" spans="1:4" x14ac:dyDescent="0.2">
      <c r="A5509" s="5">
        <v>5448</v>
      </c>
      <c r="B5509" s="138">
        <f>'Revenues 9-14'!E5</f>
        <v>3124947</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3124947</v>
      </c>
      <c r="C5513" s="2" t="s">
        <v>593</v>
      </c>
      <c r="D5513" s="2" t="str">
        <f t="shared" si="85"/>
        <v>Error?</v>
      </c>
    </row>
    <row r="5514" spans="1:4" x14ac:dyDescent="0.2">
      <c r="A5514" s="5">
        <v>5453</v>
      </c>
      <c r="B5514" s="138">
        <f>'Revenues 9-14'!E14</f>
        <v>5385</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5385</v>
      </c>
      <c r="C5518" s="2" t="s">
        <v>593</v>
      </c>
      <c r="D5518" s="2" t="str">
        <f t="shared" si="85"/>
        <v>Error?</v>
      </c>
    </row>
    <row r="5519" spans="1:4" x14ac:dyDescent="0.2">
      <c r="A5519" s="5">
        <v>5458</v>
      </c>
      <c r="B5519" s="138">
        <f>'Revenues 9-14'!E65</f>
        <v>12756</v>
      </c>
      <c r="D5519" s="2" t="str">
        <f t="shared" si="85"/>
        <v>Error?</v>
      </c>
    </row>
    <row r="5520" spans="1:4" x14ac:dyDescent="0.2">
      <c r="A5520" s="5">
        <v>5459</v>
      </c>
      <c r="B5520" s="138">
        <f>'Revenues 9-14'!E66</f>
        <v>0</v>
      </c>
      <c r="D5520" s="2" t="str">
        <f t="shared" si="85"/>
        <v>Error?</v>
      </c>
    </row>
    <row r="5521" spans="1:4" x14ac:dyDescent="0.2">
      <c r="A5521" s="5">
        <v>5460</v>
      </c>
      <c r="B5521" s="138">
        <f>'Revenues 9-14'!E67</f>
        <v>12756</v>
      </c>
      <c r="C5521" s="2" t="s">
        <v>593</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593</v>
      </c>
      <c r="D5526" s="2" t="str">
        <f t="shared" si="85"/>
        <v>Error?</v>
      </c>
    </row>
    <row r="5527" spans="1:4" x14ac:dyDescent="0.2">
      <c r="A5527" s="5">
        <v>5466</v>
      </c>
      <c r="B5527" s="138">
        <f>'Revenues 9-14'!E109</f>
        <v>3143088</v>
      </c>
      <c r="C5527" s="2" t="s">
        <v>593</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593</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593</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593</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3143088</v>
      </c>
      <c r="C5552" s="2" t="s">
        <v>593</v>
      </c>
      <c r="D5552" s="2" t="str">
        <f t="shared" si="85"/>
        <v>Error?</v>
      </c>
    </row>
    <row r="5553" spans="1:4" x14ac:dyDescent="0.2">
      <c r="A5553" s="5">
        <v>5492</v>
      </c>
      <c r="B5553" s="138">
        <f>'Revenues 9-14'!F5</f>
        <v>607580</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607580</v>
      </c>
      <c r="C5557" s="2" t="s">
        <v>593</v>
      </c>
      <c r="D5557" s="2" t="str">
        <f t="shared" si="85"/>
        <v>Error?</v>
      </c>
    </row>
    <row r="5558" spans="1:4" x14ac:dyDescent="0.2">
      <c r="A5558" s="5">
        <v>5497</v>
      </c>
      <c r="B5558" s="138">
        <f>'Revenues 9-14'!F14</f>
        <v>1051</v>
      </c>
      <c r="D5558" s="2" t="str">
        <f t="shared" si="85"/>
        <v>Error?</v>
      </c>
    </row>
    <row r="5559" spans="1:4" x14ac:dyDescent="0.2">
      <c r="A5559" s="5">
        <v>5498</v>
      </c>
      <c r="B5559" s="138">
        <f>'Revenues 9-14'!F15</f>
        <v>0</v>
      </c>
      <c r="D5559" s="2" t="str">
        <f t="shared" si="85"/>
        <v>Error?</v>
      </c>
    </row>
    <row r="5560" spans="1:4" x14ac:dyDescent="0.2">
      <c r="A5560" s="5">
        <v>5499</v>
      </c>
      <c r="B5560" s="138">
        <f>'Revenues 9-14'!F16</f>
        <v>166100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167151</v>
      </c>
      <c r="C5562" s="2" t="s">
        <v>593</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11975</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11975</v>
      </c>
      <c r="C5579" s="2" t="s">
        <v>593</v>
      </c>
      <c r="D5579" s="2" t="str">
        <f t="shared" si="86"/>
        <v>Error?</v>
      </c>
    </row>
    <row r="5580" spans="1:4" x14ac:dyDescent="0.2">
      <c r="A5580" s="5">
        <v>5519</v>
      </c>
      <c r="B5580" s="138">
        <f>'Revenues 9-14'!F65</f>
        <v>1435</v>
      </c>
      <c r="D5580" s="2" t="str">
        <f t="shared" si="86"/>
        <v>Error?</v>
      </c>
    </row>
    <row r="5581" spans="1:4" x14ac:dyDescent="0.2">
      <c r="A5581" s="5">
        <v>5520</v>
      </c>
      <c r="B5581" s="138">
        <f>'Revenues 9-14'!F66</f>
        <v>0</v>
      </c>
      <c r="D5581" s="2" t="str">
        <f t="shared" si="86"/>
        <v>Error?</v>
      </c>
    </row>
    <row r="5582" spans="1:4" x14ac:dyDescent="0.2">
      <c r="A5582" s="5">
        <v>5521</v>
      </c>
      <c r="B5582" s="138">
        <f>'Revenues 9-14'!F67</f>
        <v>1435</v>
      </c>
      <c r="C5582" s="2" t="s">
        <v>593</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272805</v>
      </c>
      <c r="D5586" s="2" t="str">
        <f t="shared" si="86"/>
        <v>Error?</v>
      </c>
    </row>
    <row r="5587" spans="1:4" x14ac:dyDescent="0.2">
      <c r="A5587" s="5">
        <v>5526</v>
      </c>
      <c r="B5587" s="138">
        <f>'Revenues 9-14'!F108</f>
        <v>272805</v>
      </c>
      <c r="C5587" s="2" t="s">
        <v>593</v>
      </c>
      <c r="D5587" s="2" t="str">
        <f t="shared" si="86"/>
        <v>Error?</v>
      </c>
    </row>
    <row r="5588" spans="1:4" x14ac:dyDescent="0.2">
      <c r="A5588" s="5">
        <v>5527</v>
      </c>
      <c r="B5588" s="138">
        <f>'Revenues 9-14'!F109</f>
        <v>1060946</v>
      </c>
      <c r="C5588" s="2" t="s">
        <v>593</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593</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593</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593</v>
      </c>
      <c r="D5614" s="2" t="str">
        <f t="shared" si="86"/>
        <v>Error?</v>
      </c>
    </row>
    <row r="5615" spans="1:4" x14ac:dyDescent="0.2">
      <c r="A5615" s="5">
        <v>5554</v>
      </c>
      <c r="B5615" s="138">
        <f>'Revenues 9-14'!F151</f>
        <v>849336</v>
      </c>
      <c r="D5615" s="2" t="str">
        <f t="shared" si="86"/>
        <v>Error?</v>
      </c>
    </row>
    <row r="5616" spans="1:4" x14ac:dyDescent="0.2">
      <c r="A5616" s="10">
        <v>5555</v>
      </c>
      <c r="D5616" s="2" t="str">
        <f t="shared" si="86"/>
        <v>OK</v>
      </c>
    </row>
    <row r="5617" spans="1:4" x14ac:dyDescent="0.2">
      <c r="A5617" s="5">
        <v>5556</v>
      </c>
      <c r="B5617" s="138">
        <f>'Revenues 9-14'!F152</f>
        <v>526570</v>
      </c>
      <c r="D5617" s="2" t="str">
        <f t="shared" si="86"/>
        <v>Error?</v>
      </c>
    </row>
    <row r="5618" spans="1:4" x14ac:dyDescent="0.2">
      <c r="A5618" s="5">
        <v>5557</v>
      </c>
      <c r="B5618" s="138">
        <f>'Revenues 9-14'!F154</f>
        <v>1375906</v>
      </c>
      <c r="C5618" s="2" t="s">
        <v>593</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1375906</v>
      </c>
      <c r="C5644" s="2" t="s">
        <v>593</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1375906</v>
      </c>
      <c r="C5653" s="2" t="s">
        <v>593</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593</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593</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593</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593</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593</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593</v>
      </c>
      <c r="D5719" s="2" t="str">
        <f t="shared" si="88"/>
        <v>Error?</v>
      </c>
    </row>
    <row r="5720" spans="1:4" x14ac:dyDescent="0.2">
      <c r="A5720" s="5">
        <v>5659</v>
      </c>
      <c r="B5720" s="138">
        <f>'Revenues 9-14'!F275</f>
        <v>2436852</v>
      </c>
      <c r="C5720" s="2" t="s">
        <v>593</v>
      </c>
      <c r="D5720" s="2" t="str">
        <f t="shared" si="88"/>
        <v>Error?</v>
      </c>
    </row>
    <row r="5721" spans="1:4" x14ac:dyDescent="0.2">
      <c r="A5721" s="5">
        <v>5660</v>
      </c>
      <c r="B5721" s="138">
        <f>'Revenues 9-14'!G5</f>
        <v>657392</v>
      </c>
      <c r="D5721" s="2" t="str">
        <f t="shared" si="88"/>
        <v>Error?</v>
      </c>
    </row>
    <row r="5722" spans="1:4" x14ac:dyDescent="0.2">
      <c r="A5722" s="5">
        <v>5661</v>
      </c>
      <c r="B5722" s="138">
        <f>'Revenues 9-14'!G7</f>
        <v>0</v>
      </c>
      <c r="D5722" s="2" t="str">
        <f t="shared" si="88"/>
        <v>Error?</v>
      </c>
    </row>
    <row r="5723" spans="1:4" x14ac:dyDescent="0.2">
      <c r="A5723" s="5">
        <v>5662</v>
      </c>
      <c r="B5723" s="138">
        <f>'Revenues 9-14'!G8</f>
        <v>514233</v>
      </c>
      <c r="D5723" s="2" t="str">
        <f t="shared" si="88"/>
        <v>Error?</v>
      </c>
    </row>
    <row r="5724" spans="1:4" x14ac:dyDescent="0.2">
      <c r="A5724" s="5">
        <v>5663</v>
      </c>
      <c r="B5724" s="138">
        <f>'Revenues 9-14'!G11</f>
        <v>0</v>
      </c>
      <c r="D5724" s="2" t="str">
        <f t="shared" si="88"/>
        <v>Error?</v>
      </c>
    </row>
    <row r="5725" spans="1:4" x14ac:dyDescent="0.2">
      <c r="A5725" s="5">
        <v>5664</v>
      </c>
      <c r="B5725" s="138">
        <f>'Revenues 9-14'!G12</f>
        <v>1171625</v>
      </c>
      <c r="C5725" s="2" t="s">
        <v>593</v>
      </c>
      <c r="D5725" s="2" t="str">
        <f t="shared" si="88"/>
        <v>Error?</v>
      </c>
    </row>
    <row r="5726" spans="1:4" x14ac:dyDescent="0.2">
      <c r="A5726" s="5">
        <v>5665</v>
      </c>
      <c r="B5726" s="138">
        <f>'Revenues 9-14'!G14</f>
        <v>2026</v>
      </c>
      <c r="D5726" s="2" t="str">
        <f t="shared" si="88"/>
        <v>Error?</v>
      </c>
    </row>
    <row r="5727" spans="1:4" x14ac:dyDescent="0.2">
      <c r="A5727" s="5">
        <v>5666</v>
      </c>
      <c r="B5727" s="138">
        <f>'Revenues 9-14'!G15</f>
        <v>0</v>
      </c>
      <c r="D5727" s="2" t="str">
        <f t="shared" si="88"/>
        <v>Error?</v>
      </c>
    </row>
    <row r="5728" spans="1:4" x14ac:dyDescent="0.2">
      <c r="A5728" s="5">
        <v>5667</v>
      </c>
      <c r="B5728" s="138">
        <f>'Revenues 9-14'!G16</f>
        <v>78980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81006</v>
      </c>
      <c r="C5730" s="2" t="s">
        <v>593</v>
      </c>
      <c r="D5730" s="2" t="str">
        <f t="shared" si="88"/>
        <v>Error?</v>
      </c>
    </row>
    <row r="5731" spans="1:4" x14ac:dyDescent="0.2">
      <c r="A5731" s="5">
        <v>5670</v>
      </c>
      <c r="B5731" s="138">
        <f>'Revenues 9-14'!G65</f>
        <v>2106</v>
      </c>
      <c r="D5731" s="2" t="str">
        <f t="shared" si="88"/>
        <v>Error?</v>
      </c>
    </row>
    <row r="5732" spans="1:4" x14ac:dyDescent="0.2">
      <c r="A5732" s="5">
        <v>5671</v>
      </c>
      <c r="B5732" s="138">
        <f>'Revenues 9-14'!G66</f>
        <v>0</v>
      </c>
      <c r="D5732" s="2" t="str">
        <f t="shared" si="88"/>
        <v>Error?</v>
      </c>
    </row>
    <row r="5733" spans="1:4" x14ac:dyDescent="0.2">
      <c r="A5733" s="5">
        <v>5672</v>
      </c>
      <c r="B5733" s="138">
        <f>'Revenues 9-14'!G67</f>
        <v>2106</v>
      </c>
      <c r="C5733" s="2" t="s">
        <v>593</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593</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593</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593</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593</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593</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593</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593</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593</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593</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593</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593</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593</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593</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593</v>
      </c>
      <c r="D5869" s="2" t="str">
        <f t="shared" si="90"/>
        <v>Error?</v>
      </c>
    </row>
    <row r="5870" spans="1:4" x14ac:dyDescent="0.2">
      <c r="A5870" s="5">
        <v>5809</v>
      </c>
      <c r="B5870" s="138">
        <f>'Revenues 9-14'!G275</f>
        <v>1254737</v>
      </c>
      <c r="C5870" s="2" t="s">
        <v>593</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593</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593</v>
      </c>
      <c r="D5878" s="2" t="str">
        <f t="shared" si="90"/>
        <v>Error?</v>
      </c>
    </row>
    <row r="5879" spans="1:4" x14ac:dyDescent="0.2">
      <c r="A5879" s="5">
        <v>5818</v>
      </c>
      <c r="B5879" s="138">
        <f>'Revenues 9-14'!H65</f>
        <v>451</v>
      </c>
      <c r="D5879" s="2" t="str">
        <f t="shared" si="90"/>
        <v>Error?</v>
      </c>
    </row>
    <row r="5880" spans="1:4" x14ac:dyDescent="0.2">
      <c r="A5880" s="5">
        <v>5819</v>
      </c>
      <c r="B5880" s="138">
        <f>'Revenues 9-14'!H66</f>
        <v>0</v>
      </c>
      <c r="D5880" s="2" t="str">
        <f t="shared" si="90"/>
        <v>Error?</v>
      </c>
    </row>
    <row r="5881" spans="1:4" x14ac:dyDescent="0.2">
      <c r="A5881" s="5">
        <v>5820</v>
      </c>
      <c r="B5881" s="138">
        <f>'Revenues 9-14'!H67</f>
        <v>451</v>
      </c>
      <c r="C5881" s="2" t="s">
        <v>593</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1247766</v>
      </c>
      <c r="C5886" s="2" t="s">
        <v>593</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593</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593</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593</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593</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593</v>
      </c>
      <c r="D5914" s="2" t="str">
        <f t="shared" si="91"/>
        <v>Error?</v>
      </c>
    </row>
    <row r="5915" spans="1:4" x14ac:dyDescent="0.2">
      <c r="A5915" s="5">
        <v>5854</v>
      </c>
      <c r="B5915" s="138">
        <f>'Revenues 9-14'!H275</f>
        <v>1248217</v>
      </c>
      <c r="C5915" s="2" t="s">
        <v>593</v>
      </c>
      <c r="D5915" s="2" t="str">
        <f t="shared" si="91"/>
        <v>Error?</v>
      </c>
    </row>
    <row r="5916" spans="1:4" x14ac:dyDescent="0.2">
      <c r="A5916" s="5">
        <v>5855</v>
      </c>
      <c r="B5916" s="138">
        <f>'Revenues 9-14'!I5</f>
        <v>151888</v>
      </c>
      <c r="D5916" s="2" t="str">
        <f t="shared" si="91"/>
        <v>Error?</v>
      </c>
    </row>
    <row r="5917" spans="1:4" x14ac:dyDescent="0.2">
      <c r="A5917" s="5">
        <v>5856</v>
      </c>
      <c r="B5917" s="138">
        <f>'Revenues 9-14'!I11</f>
        <v>0</v>
      </c>
      <c r="D5917" s="2" t="str">
        <f t="shared" si="91"/>
        <v>Error?</v>
      </c>
    </row>
    <row r="5918" spans="1:4" x14ac:dyDescent="0.2">
      <c r="A5918" s="5">
        <v>5857</v>
      </c>
      <c r="B5918" s="138">
        <f>'Revenues 9-14'!I12</f>
        <v>151888</v>
      </c>
      <c r="C5918" s="2" t="s">
        <v>593</v>
      </c>
      <c r="D5918" s="2" t="str">
        <f t="shared" si="91"/>
        <v>Error?</v>
      </c>
    </row>
    <row r="5919" spans="1:4" x14ac:dyDescent="0.2">
      <c r="A5919" s="5">
        <v>5858</v>
      </c>
      <c r="B5919" s="138">
        <f>'Revenues 9-14'!I14</f>
        <v>263</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263</v>
      </c>
      <c r="C5923" s="2" t="s">
        <v>593</v>
      </c>
      <c r="D5923" s="2" t="str">
        <f t="shared" si="91"/>
        <v>Error?</v>
      </c>
    </row>
    <row r="5924" spans="1:4" x14ac:dyDescent="0.2">
      <c r="A5924" s="5">
        <v>5863</v>
      </c>
      <c r="B5924" s="138">
        <f>'Revenues 9-14'!I65</f>
        <v>311</v>
      </c>
      <c r="D5924" s="2" t="str">
        <f t="shared" si="91"/>
        <v>Error?</v>
      </c>
    </row>
    <row r="5925" spans="1:4" x14ac:dyDescent="0.2">
      <c r="A5925" s="5">
        <v>5864</v>
      </c>
      <c r="B5925" s="138">
        <f>'Revenues 9-14'!I66</f>
        <v>0</v>
      </c>
      <c r="D5925" s="2" t="str">
        <f t="shared" si="91"/>
        <v>Error?</v>
      </c>
    </row>
    <row r="5926" spans="1:4" x14ac:dyDescent="0.2">
      <c r="A5926" s="5">
        <v>5865</v>
      </c>
      <c r="B5926" s="138">
        <f>'Revenues 9-14'!I67</f>
        <v>311</v>
      </c>
      <c r="C5926" s="2" t="s">
        <v>593</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593</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152462</v>
      </c>
      <c r="C5946" s="2" t="s">
        <v>593</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593</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593</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593</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593</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593</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593</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593</v>
      </c>
      <c r="D5984" s="2" t="str">
        <f t="shared" si="92"/>
        <v>OK</v>
      </c>
    </row>
    <row r="5985" spans="1:4" x14ac:dyDescent="0.2">
      <c r="A5985" s="5">
        <v>5924</v>
      </c>
      <c r="B5985" s="138">
        <f>'Revenues 9-14'!K5</f>
        <v>151888</v>
      </c>
      <c r="D5985" s="2" t="str">
        <f t="shared" si="92"/>
        <v>Error?</v>
      </c>
    </row>
    <row r="5986" spans="1:4" x14ac:dyDescent="0.2">
      <c r="A5986" s="5">
        <v>5925</v>
      </c>
      <c r="B5986" s="138">
        <f>'Revenues 9-14'!K11</f>
        <v>0</v>
      </c>
      <c r="D5986" s="2" t="str">
        <f t="shared" si="92"/>
        <v>Error?</v>
      </c>
    </row>
    <row r="5987" spans="1:4" x14ac:dyDescent="0.2">
      <c r="A5987" s="5">
        <v>5926</v>
      </c>
      <c r="B5987" s="138">
        <f>'Revenues 9-14'!K12</f>
        <v>151888</v>
      </c>
      <c r="C5987" s="2" t="s">
        <v>593</v>
      </c>
      <c r="D5987" s="2" t="str">
        <f t="shared" si="92"/>
        <v>Error?</v>
      </c>
    </row>
    <row r="5988" spans="1:4" x14ac:dyDescent="0.2">
      <c r="A5988" s="5">
        <v>5927</v>
      </c>
      <c r="B5988" s="138">
        <f>'Revenues 9-14'!K14</f>
        <v>263</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263</v>
      </c>
      <c r="C5992" s="2" t="s">
        <v>593</v>
      </c>
      <c r="D5992" s="2" t="str">
        <f t="shared" si="92"/>
        <v>Error?</v>
      </c>
    </row>
    <row r="5993" spans="1:4" x14ac:dyDescent="0.2">
      <c r="A5993" s="5">
        <v>5932</v>
      </c>
      <c r="B5993" s="138">
        <f>'Revenues 9-14'!K65</f>
        <v>415</v>
      </c>
      <c r="D5993" s="2" t="str">
        <f t="shared" si="92"/>
        <v>Error?</v>
      </c>
    </row>
    <row r="5994" spans="1:4" x14ac:dyDescent="0.2">
      <c r="A5994" s="5">
        <v>5933</v>
      </c>
      <c r="B5994" s="138">
        <f>'Revenues 9-14'!K66</f>
        <v>0</v>
      </c>
      <c r="D5994" s="2" t="str">
        <f t="shared" si="92"/>
        <v>Error?</v>
      </c>
    </row>
    <row r="5995" spans="1:4" x14ac:dyDescent="0.2">
      <c r="A5995" s="5">
        <v>5934</v>
      </c>
      <c r="B5995" s="138">
        <f>'Revenues 9-14'!K67</f>
        <v>415</v>
      </c>
      <c r="C5995" s="2" t="s">
        <v>593</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593</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593</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593</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593</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593</v>
      </c>
      <c r="D6022" s="2" t="str">
        <f t="shared" si="93"/>
        <v>Error?</v>
      </c>
    </row>
    <row r="6023" spans="1:5" x14ac:dyDescent="0.2">
      <c r="A6023" s="5">
        <v>5962</v>
      </c>
      <c r="B6023" s="138">
        <f>'Revenues 9-14'!K275</f>
        <v>152566</v>
      </c>
      <c r="C6023" s="2" t="s">
        <v>593</v>
      </c>
      <c r="D6023" s="2" t="str">
        <f t="shared" si="93"/>
        <v>Error?</v>
      </c>
    </row>
    <row r="6024" spans="1:5" x14ac:dyDescent="0.2">
      <c r="A6024" s="5">
        <v>5963</v>
      </c>
      <c r="B6024" s="138">
        <f>'Revenues 9-14'!G109</f>
        <v>1254737</v>
      </c>
      <c r="C6024" s="2" t="s">
        <v>593</v>
      </c>
      <c r="D6024" s="2" t="str">
        <f t="shared" si="93"/>
        <v>Error?</v>
      </c>
    </row>
    <row r="6025" spans="1:5" x14ac:dyDescent="0.2">
      <c r="A6025" s="5">
        <v>5964</v>
      </c>
      <c r="B6025" s="138">
        <f>'Revenues 9-14'!H109</f>
        <v>1248217</v>
      </c>
      <c r="C6025" s="2" t="s">
        <v>593</v>
      </c>
      <c r="D6025" s="2" t="str">
        <f t="shared" si="93"/>
        <v>Error?</v>
      </c>
    </row>
    <row r="6026" spans="1:5" x14ac:dyDescent="0.2">
      <c r="A6026" s="5">
        <v>5965</v>
      </c>
      <c r="B6026" s="138">
        <f>'Revenues 9-14'!I109</f>
        <v>152462</v>
      </c>
      <c r="C6026" s="2" t="s">
        <v>593</v>
      </c>
      <c r="D6026" s="2" t="str">
        <f t="shared" si="93"/>
        <v>Error?</v>
      </c>
    </row>
    <row r="6027" spans="1:5" x14ac:dyDescent="0.2">
      <c r="A6027" s="10">
        <v>5966</v>
      </c>
      <c r="C6027" s="2" t="s">
        <v>593</v>
      </c>
      <c r="D6027" s="2" t="str">
        <f t="shared" si="93"/>
        <v>OK</v>
      </c>
    </row>
    <row r="6028" spans="1:5" x14ac:dyDescent="0.2">
      <c r="A6028" s="5">
        <v>5967</v>
      </c>
      <c r="B6028" s="138">
        <f>'Revenues 9-14'!K109</f>
        <v>152566</v>
      </c>
      <c r="C6028" s="2" t="s">
        <v>593</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389793</v>
      </c>
      <c r="D6031" s="2" t="str">
        <f t="shared" si="93"/>
        <v>Error?</v>
      </c>
    </row>
    <row r="6032" spans="1:5" x14ac:dyDescent="0.2">
      <c r="A6032" s="5">
        <v>5971</v>
      </c>
      <c r="B6032" s="138">
        <f>'Acct Summary 7-8'!G15</f>
        <v>0</v>
      </c>
      <c r="C6032" s="2" t="s">
        <v>593</v>
      </c>
      <c r="D6032" s="2" t="str">
        <f t="shared" si="93"/>
        <v>Error?</v>
      </c>
      <c r="E6032" s="2" t="s">
        <v>104</v>
      </c>
    </row>
    <row r="6033" spans="1:5" x14ac:dyDescent="0.2">
      <c r="A6033" s="10">
        <v>5972</v>
      </c>
      <c r="C6033" s="2" t="s">
        <v>593</v>
      </c>
      <c r="D6033" s="2" t="str">
        <f t="shared" si="93"/>
        <v>OK</v>
      </c>
      <c r="E6033" s="2" t="s">
        <v>104</v>
      </c>
    </row>
    <row r="6034" spans="1:5" x14ac:dyDescent="0.2">
      <c r="A6034" s="35">
        <v>5973</v>
      </c>
      <c r="B6034" s="139"/>
      <c r="C6034" s="2" t="s">
        <v>593</v>
      </c>
      <c r="D6034" s="2" t="str">
        <f t="shared" si="93"/>
        <v>OK</v>
      </c>
      <c r="E6034" s="2" t="s">
        <v>776</v>
      </c>
    </row>
    <row r="6035" spans="1:5" x14ac:dyDescent="0.2">
      <c r="A6035" s="13">
        <v>5974</v>
      </c>
      <c r="B6035" s="139">
        <f>'ICR Computation 30'!E11</f>
        <v>87123</v>
      </c>
      <c r="C6035" s="2" t="s">
        <v>593</v>
      </c>
      <c r="D6035" s="2" t="str">
        <f t="shared" si="93"/>
        <v>Error?</v>
      </c>
      <c r="E6035" s="2" t="s">
        <v>976</v>
      </c>
    </row>
    <row r="6036" spans="1:5" x14ac:dyDescent="0.2">
      <c r="A6036" s="35">
        <v>5975</v>
      </c>
      <c r="B6036" s="139"/>
      <c r="D6036" s="2" t="str">
        <f t="shared" si="93"/>
        <v>OK</v>
      </c>
      <c r="E6036" s="2" t="s">
        <v>976</v>
      </c>
    </row>
    <row r="6037" spans="1:5" x14ac:dyDescent="0.2">
      <c r="A6037" s="35">
        <v>5976</v>
      </c>
      <c r="B6037" s="139"/>
      <c r="D6037" s="2" t="str">
        <f t="shared" si="93"/>
        <v>OK</v>
      </c>
      <c r="E6037" s="2" t="s">
        <v>976</v>
      </c>
    </row>
    <row r="6038" spans="1:5" x14ac:dyDescent="0.2">
      <c r="A6038" s="35">
        <v>5977</v>
      </c>
      <c r="B6038" s="139"/>
      <c r="D6038" s="2" t="str">
        <f t="shared" si="93"/>
        <v>OK</v>
      </c>
      <c r="E6038" s="2" t="s">
        <v>976</v>
      </c>
    </row>
    <row r="6039" spans="1:5" x14ac:dyDescent="0.2">
      <c r="A6039" s="35">
        <v>5978</v>
      </c>
      <c r="B6039" s="139"/>
      <c r="D6039" s="2" t="str">
        <f t="shared" si="93"/>
        <v>OK</v>
      </c>
      <c r="E6039" s="2" t="s">
        <v>976</v>
      </c>
    </row>
    <row r="6040" spans="1:5" x14ac:dyDescent="0.2">
      <c r="A6040" s="35">
        <v>5979</v>
      </c>
      <c r="B6040" s="139"/>
      <c r="D6040" s="2" t="str">
        <f t="shared" si="93"/>
        <v>OK</v>
      </c>
      <c r="E6040" s="2" t="s">
        <v>976</v>
      </c>
    </row>
    <row r="6041" spans="1:5" x14ac:dyDescent="0.2">
      <c r="A6041" s="35">
        <v>5980</v>
      </c>
      <c r="B6041" s="139"/>
      <c r="D6041" s="2" t="str">
        <f t="shared" si="93"/>
        <v>OK</v>
      </c>
      <c r="E6041" s="2" t="s">
        <v>976</v>
      </c>
    </row>
    <row r="6042" spans="1:5" x14ac:dyDescent="0.2">
      <c r="A6042" s="35">
        <v>5981</v>
      </c>
      <c r="B6042" s="139"/>
      <c r="D6042" s="2" t="str">
        <f t="shared" si="93"/>
        <v>OK</v>
      </c>
      <c r="E6042" s="2" t="s">
        <v>976</v>
      </c>
    </row>
    <row r="6043" spans="1:5" x14ac:dyDescent="0.2">
      <c r="A6043" s="35">
        <v>5982</v>
      </c>
      <c r="B6043" s="139"/>
      <c r="D6043" s="2" t="str">
        <f t="shared" si="93"/>
        <v>OK</v>
      </c>
      <c r="E6043" s="2" t="s">
        <v>976</v>
      </c>
    </row>
    <row r="6044" spans="1:5" x14ac:dyDescent="0.2">
      <c r="A6044" s="35">
        <v>5983</v>
      </c>
      <c r="B6044" s="139"/>
      <c r="D6044" s="2" t="str">
        <f t="shared" si="93"/>
        <v>OK</v>
      </c>
      <c r="E6044" s="2" t="s">
        <v>976</v>
      </c>
    </row>
    <row r="6045" spans="1:5" x14ac:dyDescent="0.2">
      <c r="A6045" s="35">
        <v>5984</v>
      </c>
      <c r="B6045" s="139"/>
      <c r="D6045" s="2" t="str">
        <f t="shared" si="93"/>
        <v>OK</v>
      </c>
      <c r="E6045" s="2" t="s">
        <v>976</v>
      </c>
    </row>
    <row r="6046" spans="1:5" x14ac:dyDescent="0.2">
      <c r="A6046" s="35">
        <v>5985</v>
      </c>
      <c r="B6046" s="139"/>
      <c r="D6046" s="2" t="str">
        <f t="shared" si="93"/>
        <v>OK</v>
      </c>
      <c r="E6046" s="2" t="s">
        <v>976</v>
      </c>
    </row>
    <row r="6047" spans="1:5" x14ac:dyDescent="0.2">
      <c r="A6047" s="35">
        <v>5986</v>
      </c>
      <c r="B6047" s="139"/>
      <c r="D6047" s="2" t="str">
        <f t="shared" si="93"/>
        <v>OK</v>
      </c>
      <c r="E6047" s="2" t="s">
        <v>976</v>
      </c>
    </row>
    <row r="6048" spans="1:5" x14ac:dyDescent="0.2">
      <c r="A6048" s="35">
        <v>5987</v>
      </c>
      <c r="B6048" s="139"/>
      <c r="D6048" s="2" t="str">
        <f t="shared" si="93"/>
        <v>OK</v>
      </c>
      <c r="E6048" s="2" t="s">
        <v>976</v>
      </c>
    </row>
    <row r="6049" spans="1:5" x14ac:dyDescent="0.2">
      <c r="A6049" s="35">
        <v>5988</v>
      </c>
      <c r="B6049" s="139"/>
      <c r="D6049" s="2" t="str">
        <f t="shared" si="93"/>
        <v>OK</v>
      </c>
      <c r="E6049" s="2" t="s">
        <v>976</v>
      </c>
    </row>
    <row r="6050" spans="1:5" x14ac:dyDescent="0.2">
      <c r="A6050" s="35">
        <v>5989</v>
      </c>
      <c r="B6050" s="139"/>
      <c r="D6050" s="2" t="str">
        <f t="shared" si="93"/>
        <v>OK</v>
      </c>
      <c r="E6050" s="2" t="s">
        <v>976</v>
      </c>
    </row>
    <row r="6051" spans="1:5" x14ac:dyDescent="0.2">
      <c r="A6051" s="35">
        <v>5990</v>
      </c>
      <c r="B6051" s="139"/>
      <c r="D6051" s="2" t="str">
        <f t="shared" si="93"/>
        <v>OK</v>
      </c>
      <c r="E6051" s="2" t="s">
        <v>976</v>
      </c>
    </row>
    <row r="6052" spans="1:5" x14ac:dyDescent="0.2">
      <c r="A6052" s="35">
        <v>5991</v>
      </c>
      <c r="B6052" s="139"/>
      <c r="D6052" s="2" t="str">
        <f t="shared" si="93"/>
        <v>OK</v>
      </c>
      <c r="E6052" s="2" t="s">
        <v>976</v>
      </c>
    </row>
    <row r="6053" spans="1:5" x14ac:dyDescent="0.2">
      <c r="A6053" s="35">
        <v>5992</v>
      </c>
      <c r="B6053" s="139"/>
      <c r="D6053" s="2" t="str">
        <f t="shared" si="93"/>
        <v>OK</v>
      </c>
      <c r="E6053" s="2" t="s">
        <v>976</v>
      </c>
    </row>
    <row r="6054" spans="1:5" x14ac:dyDescent="0.2">
      <c r="A6054" s="35">
        <v>5993</v>
      </c>
      <c r="B6054" s="139"/>
      <c r="C6054" s="2" t="s">
        <v>593</v>
      </c>
      <c r="D6054" s="2" t="str">
        <f t="shared" si="93"/>
        <v>OK</v>
      </c>
      <c r="E6054" s="2" t="s">
        <v>976</v>
      </c>
    </row>
    <row r="6055" spans="1:5" x14ac:dyDescent="0.2">
      <c r="A6055" s="35">
        <v>5994</v>
      </c>
      <c r="B6055" s="139"/>
      <c r="D6055" s="2" t="str">
        <f t="shared" si="93"/>
        <v>OK</v>
      </c>
      <c r="E6055" s="2" t="s">
        <v>976</v>
      </c>
    </row>
    <row r="6056" spans="1:5" x14ac:dyDescent="0.2">
      <c r="A6056" s="35">
        <v>5995</v>
      </c>
      <c r="B6056" s="139"/>
      <c r="D6056" s="2" t="str">
        <f t="shared" si="93"/>
        <v>OK</v>
      </c>
      <c r="E6056" s="2" t="s">
        <v>976</v>
      </c>
    </row>
    <row r="6057" spans="1:5" x14ac:dyDescent="0.2">
      <c r="A6057" s="35">
        <v>5996</v>
      </c>
      <c r="B6057" s="139"/>
      <c r="D6057" s="2" t="str">
        <f t="shared" si="93"/>
        <v>OK</v>
      </c>
      <c r="E6057" s="2" t="s">
        <v>976</v>
      </c>
    </row>
    <row r="6058" spans="1:5" x14ac:dyDescent="0.2">
      <c r="A6058" s="35">
        <v>5997</v>
      </c>
      <c r="B6058" s="139"/>
      <c r="D6058" s="2" t="str">
        <f t="shared" si="93"/>
        <v>OK</v>
      </c>
      <c r="E6058" s="2" t="s">
        <v>976</v>
      </c>
    </row>
    <row r="6059" spans="1:5" x14ac:dyDescent="0.2">
      <c r="A6059" s="35">
        <v>5998</v>
      </c>
      <c r="B6059" s="139"/>
      <c r="D6059" s="2" t="str">
        <f t="shared" si="93"/>
        <v>OK</v>
      </c>
      <c r="E6059" s="2" t="s">
        <v>976</v>
      </c>
    </row>
    <row r="6060" spans="1:5" x14ac:dyDescent="0.2">
      <c r="A6060" s="35">
        <v>5999</v>
      </c>
      <c r="B6060" s="139"/>
      <c r="D6060" s="2" t="str">
        <f t="shared" si="93"/>
        <v>OK</v>
      </c>
      <c r="E6060" s="2" t="s">
        <v>976</v>
      </c>
    </row>
    <row r="6061" spans="1:5" x14ac:dyDescent="0.2">
      <c r="A6061" s="35">
        <v>6000</v>
      </c>
      <c r="B6061" s="139"/>
      <c r="D6061" s="2" t="str">
        <f t="shared" si="93"/>
        <v>OK</v>
      </c>
      <c r="E6061" s="2" t="s">
        <v>976</v>
      </c>
    </row>
    <row r="6062" spans="1:5" x14ac:dyDescent="0.2">
      <c r="A6062" s="35">
        <v>6001</v>
      </c>
      <c r="B6062" s="139"/>
      <c r="D6062" s="2" t="str">
        <f t="shared" si="93"/>
        <v>OK</v>
      </c>
      <c r="E6062" s="2" t="s">
        <v>976</v>
      </c>
    </row>
    <row r="6063" spans="1:5" x14ac:dyDescent="0.2">
      <c r="A6063" s="35">
        <v>6002</v>
      </c>
      <c r="B6063" s="139"/>
      <c r="D6063" s="2" t="str">
        <f t="shared" si="93"/>
        <v>OK</v>
      </c>
      <c r="E6063" s="2" t="s">
        <v>976</v>
      </c>
    </row>
    <row r="6064" spans="1:5" x14ac:dyDescent="0.2">
      <c r="A6064" s="35">
        <v>6003</v>
      </c>
      <c r="B6064" s="139"/>
      <c r="D6064" s="2" t="str">
        <f t="shared" si="93"/>
        <v>OK</v>
      </c>
      <c r="E6064" s="2" t="s">
        <v>976</v>
      </c>
    </row>
    <row r="6065" spans="1:5" x14ac:dyDescent="0.2">
      <c r="A6065" s="35">
        <v>6004</v>
      </c>
      <c r="B6065" s="139"/>
      <c r="D6065" s="2" t="str">
        <f t="shared" si="93"/>
        <v>OK</v>
      </c>
      <c r="E6065" s="2" t="s">
        <v>976</v>
      </c>
    </row>
    <row r="6066" spans="1:5" x14ac:dyDescent="0.2">
      <c r="A6066" s="35">
        <v>6005</v>
      </c>
      <c r="B6066" s="139"/>
      <c r="D6066" s="2" t="str">
        <f t="shared" si="93"/>
        <v>OK</v>
      </c>
      <c r="E6066" s="2" t="s">
        <v>976</v>
      </c>
    </row>
    <row r="6067" spans="1:5" x14ac:dyDescent="0.2">
      <c r="A6067" s="127">
        <v>6006</v>
      </c>
      <c r="B6067" s="139"/>
      <c r="D6067" s="2" t="str">
        <f t="shared" si="93"/>
        <v>OK</v>
      </c>
      <c r="E6067" s="2" t="s">
        <v>976</v>
      </c>
    </row>
    <row r="6068" spans="1:5" x14ac:dyDescent="0.2">
      <c r="A6068" s="127">
        <v>6007</v>
      </c>
      <c r="B6068" s="139"/>
      <c r="D6068" s="2" t="str">
        <f t="shared" si="93"/>
        <v>OK</v>
      </c>
      <c r="E6068" s="2" t="s">
        <v>976</v>
      </c>
    </row>
    <row r="6069" spans="1:5" x14ac:dyDescent="0.2">
      <c r="A6069" s="127">
        <v>6008</v>
      </c>
      <c r="B6069" s="139"/>
      <c r="D6069" s="2" t="str">
        <f t="shared" si="93"/>
        <v>OK</v>
      </c>
      <c r="E6069" s="2" t="s">
        <v>976</v>
      </c>
    </row>
    <row r="6070" spans="1:5" x14ac:dyDescent="0.2">
      <c r="A6070" s="127">
        <v>6009</v>
      </c>
      <c r="B6070" s="139"/>
      <c r="D6070" s="2" t="str">
        <f t="shared" si="93"/>
        <v>OK</v>
      </c>
      <c r="E6070" s="2" t="s">
        <v>976</v>
      </c>
    </row>
    <row r="6071" spans="1:5" x14ac:dyDescent="0.2">
      <c r="A6071" s="127">
        <v>6010</v>
      </c>
      <c r="B6071" s="139"/>
      <c r="D6071" s="2" t="str">
        <f t="shared" si="93"/>
        <v>OK</v>
      </c>
      <c r="E6071" s="2" t="s">
        <v>976</v>
      </c>
    </row>
    <row r="6072" spans="1:5" x14ac:dyDescent="0.2">
      <c r="A6072" s="127">
        <v>6011</v>
      </c>
      <c r="B6072" s="139"/>
      <c r="D6072" s="2" t="str">
        <f t="shared" si="93"/>
        <v>OK</v>
      </c>
      <c r="E6072" s="2" t="s">
        <v>976</v>
      </c>
    </row>
    <row r="6073" spans="1:5" x14ac:dyDescent="0.2">
      <c r="A6073" s="127">
        <v>6012</v>
      </c>
      <c r="B6073" s="139"/>
      <c r="C6073" s="2" t="s">
        <v>593</v>
      </c>
      <c r="D6073" s="2" t="str">
        <f t="shared" si="93"/>
        <v>OK</v>
      </c>
      <c r="E6073" s="2" t="s">
        <v>976</v>
      </c>
    </row>
    <row r="6074" spans="1:5" x14ac:dyDescent="0.2">
      <c r="A6074" s="8">
        <v>6013</v>
      </c>
      <c r="B6074" s="139">
        <f>'PCTC-OEPP 27-28'!F78</f>
        <v>2247.9899999999998</v>
      </c>
      <c r="D6074" s="2" t="str">
        <f t="shared" si="93"/>
        <v>Error?</v>
      </c>
      <c r="E6074" s="2" t="s">
        <v>986</v>
      </c>
    </row>
    <row r="6075" spans="1:5" x14ac:dyDescent="0.2">
      <c r="A6075" s="127">
        <v>6014</v>
      </c>
      <c r="B6075" s="139"/>
      <c r="D6075" s="2" t="str">
        <f t="shared" si="93"/>
        <v>OK</v>
      </c>
      <c r="E6075" s="2" t="s">
        <v>986</v>
      </c>
    </row>
    <row r="6076" spans="1:5" x14ac:dyDescent="0.2">
      <c r="A6076">
        <v>6015</v>
      </c>
      <c r="B6076" s="138">
        <f>'Short-Term Long-Term Debt 24'!C27</f>
        <v>0</v>
      </c>
      <c r="D6076" s="2" t="str">
        <f t="shared" si="93"/>
        <v>Error?</v>
      </c>
      <c r="E6076" s="2" t="s">
        <v>986</v>
      </c>
    </row>
    <row r="6077" spans="1:5" x14ac:dyDescent="0.2">
      <c r="A6077">
        <v>6016</v>
      </c>
      <c r="B6077" s="138">
        <f>'Short-Term Long-Term Debt 24'!D27</f>
        <v>0</v>
      </c>
      <c r="D6077" s="2" t="str">
        <f t="shared" si="93"/>
        <v>Error?</v>
      </c>
      <c r="E6077" s="2" t="s">
        <v>986</v>
      </c>
    </row>
    <row r="6078" spans="1:5" x14ac:dyDescent="0.2">
      <c r="A6078">
        <v>6017</v>
      </c>
      <c r="B6078" s="138">
        <f>'Short-Term Long-Term Debt 24'!E27</f>
        <v>0</v>
      </c>
      <c r="D6078" s="2" t="str">
        <f t="shared" si="93"/>
        <v>Error?</v>
      </c>
      <c r="E6078" s="2" t="s">
        <v>986</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502</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77782</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1135845</v>
      </c>
      <c r="D6124" s="2" t="str">
        <f t="shared" si="94"/>
        <v>Error?</v>
      </c>
      <c r="E6124" s="2" t="s">
        <v>199</v>
      </c>
    </row>
    <row r="6125" spans="1:5" x14ac:dyDescent="0.2">
      <c r="A6125">
        <v>6064</v>
      </c>
      <c r="B6125" s="138">
        <f>'Assets-Liab 5-6'!C25</f>
        <v>77782</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1135845</v>
      </c>
      <c r="D6215" s="2" t="str">
        <f t="shared" si="96"/>
        <v>Error?</v>
      </c>
      <c r="E6215" s="2" t="s">
        <v>199</v>
      </c>
    </row>
    <row r="6216" spans="1:5" x14ac:dyDescent="0.2">
      <c r="A6216">
        <v>6155</v>
      </c>
      <c r="B6216" s="138">
        <f>'Assets-Liab 5-6'!J41</f>
        <v>1135845</v>
      </c>
      <c r="D6216" s="2" t="str">
        <f t="shared" si="96"/>
        <v>Error?</v>
      </c>
      <c r="E6216" s="2" t="s">
        <v>199</v>
      </c>
    </row>
    <row r="6217" spans="1:5" x14ac:dyDescent="0.2">
      <c r="A6217">
        <v>6156</v>
      </c>
      <c r="B6217" s="138">
        <f>'Assets-Liab 5-6'!J4</f>
        <v>1135845</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1495130</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1495130</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1495130</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1329763</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1329763</v>
      </c>
      <c r="D6229" s="2" t="str">
        <f t="shared" si="96"/>
        <v>Error?</v>
      </c>
      <c r="E6229" s="2" t="s">
        <v>199</v>
      </c>
    </row>
    <row r="6230" spans="1:5" x14ac:dyDescent="0.2">
      <c r="A6230">
        <v>6169</v>
      </c>
      <c r="B6230" s="138">
        <f>'Acct Summary 7-8'!J20</f>
        <v>165367</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165367</v>
      </c>
      <c r="D6263" s="2" t="str">
        <f t="shared" si="96"/>
        <v>Error?</v>
      </c>
      <c r="E6263" s="2" t="s">
        <v>199</v>
      </c>
    </row>
    <row r="6264" spans="1:5" x14ac:dyDescent="0.2">
      <c r="A6264">
        <v>6203</v>
      </c>
      <c r="B6264" s="138">
        <f>'Acct Summary 7-8'!J79</f>
        <v>970478</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1135845</v>
      </c>
      <c r="D6266" s="2" t="str">
        <f t="shared" si="96"/>
        <v>Error?</v>
      </c>
      <c r="E6266" s="2" t="s">
        <v>199</v>
      </c>
    </row>
    <row r="6267" spans="1:5" x14ac:dyDescent="0.2">
      <c r="A6267">
        <v>6206</v>
      </c>
      <c r="B6267" s="138">
        <f>'Acct Summary 7-8'!C82</f>
        <v>617639</v>
      </c>
      <c r="D6267" s="2" t="str">
        <f t="shared" si="96"/>
        <v>Error?</v>
      </c>
      <c r="E6267" s="2" t="s">
        <v>199</v>
      </c>
    </row>
    <row r="6268" spans="1:5" x14ac:dyDescent="0.2">
      <c r="A6268">
        <v>6207</v>
      </c>
      <c r="B6268" s="138">
        <f>'Acct Summary 7-8'!D82</f>
        <v>-214182</v>
      </c>
      <c r="D6268" s="2" t="str">
        <f t="shared" si="96"/>
        <v>Error?</v>
      </c>
      <c r="E6268" s="2" t="s">
        <v>199</v>
      </c>
    </row>
    <row r="6269" spans="1:5" x14ac:dyDescent="0.2">
      <c r="A6269">
        <v>6208</v>
      </c>
      <c r="B6269" s="138">
        <f>'Acct Summary 7-8'!E82</f>
        <v>74259</v>
      </c>
      <c r="D6269" s="2" t="str">
        <f t="shared" si="96"/>
        <v>Error?</v>
      </c>
      <c r="E6269" s="2" t="s">
        <v>199</v>
      </c>
    </row>
    <row r="6270" spans="1:5" x14ac:dyDescent="0.2">
      <c r="A6270">
        <v>6209</v>
      </c>
      <c r="B6270" s="138">
        <f>'Acct Summary 7-8'!F82</f>
        <v>433631</v>
      </c>
      <c r="D6270" s="2" t="str">
        <f t="shared" si="96"/>
        <v>Error?</v>
      </c>
      <c r="E6270" s="2" t="s">
        <v>199</v>
      </c>
    </row>
    <row r="6271" spans="1:5" x14ac:dyDescent="0.2">
      <c r="A6271">
        <v>6210</v>
      </c>
      <c r="B6271" s="138">
        <f>'Acct Summary 7-8'!G82</f>
        <v>218462</v>
      </c>
      <c r="D6271" s="2" t="str">
        <f t="shared" ref="D6271:D6334" si="97">IF(ISBLANK(B6271),"OK",IF(A6271-B6271=0,"OK","Error?"))</f>
        <v>Error?</v>
      </c>
      <c r="E6271" s="2" t="s">
        <v>199</v>
      </c>
    </row>
    <row r="6272" spans="1:5" x14ac:dyDescent="0.2">
      <c r="A6272">
        <v>6211</v>
      </c>
      <c r="B6272" s="138">
        <f>'Acct Summary 7-8'!H82</f>
        <v>6170025</v>
      </c>
      <c r="D6272" s="2" t="str">
        <f t="shared" si="97"/>
        <v>Error?</v>
      </c>
      <c r="E6272" s="2" t="s">
        <v>199</v>
      </c>
    </row>
    <row r="6273" spans="1:5" x14ac:dyDescent="0.2">
      <c r="A6273">
        <v>6212</v>
      </c>
      <c r="B6273" s="138">
        <f>'Acct Summary 7-8'!I82</f>
        <v>152462</v>
      </c>
      <c r="D6273" s="2" t="str">
        <f t="shared" si="97"/>
        <v>Error?</v>
      </c>
      <c r="E6273" s="2" t="s">
        <v>199</v>
      </c>
    </row>
    <row r="6274" spans="1:5" x14ac:dyDescent="0.2">
      <c r="A6274">
        <v>6213</v>
      </c>
      <c r="B6274" s="138">
        <f>'Acct Summary 7-8'!J82</f>
        <v>165367</v>
      </c>
      <c r="D6274" s="2" t="str">
        <f t="shared" si="97"/>
        <v>Error?</v>
      </c>
      <c r="E6274" s="2" t="s">
        <v>199</v>
      </c>
    </row>
    <row r="6275" spans="1:5" x14ac:dyDescent="0.2">
      <c r="A6275">
        <v>6214</v>
      </c>
      <c r="B6275" s="138">
        <f>'Acct Summary 7-8'!K82</f>
        <v>6064217</v>
      </c>
      <c r="D6275" s="2" t="str">
        <f t="shared" si="97"/>
        <v>Error?</v>
      </c>
      <c r="E6275" s="2" t="s">
        <v>199</v>
      </c>
    </row>
    <row r="6276" spans="1:5" x14ac:dyDescent="0.2">
      <c r="A6276">
        <v>6215</v>
      </c>
      <c r="B6276" s="138">
        <f>'Acct Summary 7-8'!C83</f>
        <v>0.16915832613944601</v>
      </c>
      <c r="D6276" s="2" t="str">
        <f t="shared" si="97"/>
        <v>Error?</v>
      </c>
      <c r="E6276" s="2" t="s">
        <v>199</v>
      </c>
    </row>
    <row r="6277" spans="1:5" x14ac:dyDescent="0.2">
      <c r="A6277">
        <v>6216</v>
      </c>
      <c r="B6277" s="138">
        <f>'Acct Summary 7-8'!D83</f>
        <v>-0.70541854398861747</v>
      </c>
      <c r="D6277" s="2" t="str">
        <f t="shared" si="97"/>
        <v>Error?</v>
      </c>
      <c r="E6277" s="2" t="s">
        <v>199</v>
      </c>
    </row>
    <row r="6278" spans="1:5" x14ac:dyDescent="0.2">
      <c r="A6278">
        <v>6217</v>
      </c>
      <c r="B6278" s="138">
        <f>'Acct Summary 7-8'!E83</f>
        <v>8.6655199615379236E-2</v>
      </c>
      <c r="D6278" s="2" t="str">
        <f t="shared" si="97"/>
        <v>Error?</v>
      </c>
      <c r="E6278" s="2" t="s">
        <v>199</v>
      </c>
    </row>
    <row r="6279" spans="1:5" x14ac:dyDescent="0.2">
      <c r="A6279">
        <v>6218</v>
      </c>
      <c r="B6279" s="138">
        <f>'Acct Summary 7-8'!F83</f>
        <v>0.33525638398955954</v>
      </c>
      <c r="D6279" s="2" t="str">
        <f t="shared" si="97"/>
        <v>Error?</v>
      </c>
      <c r="E6279" s="2" t="s">
        <v>199</v>
      </c>
    </row>
    <row r="6280" spans="1:5" x14ac:dyDescent="0.2">
      <c r="A6280">
        <v>6219</v>
      </c>
      <c r="B6280" s="138">
        <f>'Acct Summary 7-8'!G83</f>
        <v>0.13237361422830635</v>
      </c>
      <c r="D6280" s="2" t="str">
        <f t="shared" si="97"/>
        <v>Error?</v>
      </c>
      <c r="E6280" s="2" t="s">
        <v>199</v>
      </c>
    </row>
    <row r="6281" spans="1:5" x14ac:dyDescent="0.2">
      <c r="A6281">
        <v>6220</v>
      </c>
      <c r="B6281" s="138">
        <f>'Acct Summary 7-8'!H83</f>
        <v>0.9692229753611008</v>
      </c>
      <c r="D6281" s="2" t="str">
        <f t="shared" si="97"/>
        <v>Error?</v>
      </c>
      <c r="E6281" s="2" t="s">
        <v>199</v>
      </c>
    </row>
    <row r="6282" spans="1:5" x14ac:dyDescent="0.2">
      <c r="A6282">
        <v>6221</v>
      </c>
      <c r="B6282" s="138">
        <f>'Acct Summary 7-8'!I83</f>
        <v>0.25223761576869752</v>
      </c>
      <c r="D6282" s="2" t="str">
        <f t="shared" si="97"/>
        <v>Error?</v>
      </c>
      <c r="E6282" s="2" t="s">
        <v>199</v>
      </c>
    </row>
    <row r="6283" spans="1:5" x14ac:dyDescent="0.2">
      <c r="A6283">
        <v>6222</v>
      </c>
      <c r="B6283" s="138">
        <f>'Acct Summary 7-8'!J83</f>
        <v>0.14558940700535725</v>
      </c>
      <c r="D6283" s="2" t="str">
        <f t="shared" si="97"/>
        <v>Error?</v>
      </c>
      <c r="E6283" s="2" t="s">
        <v>199</v>
      </c>
    </row>
    <row r="6284" spans="1:5" x14ac:dyDescent="0.2">
      <c r="A6284">
        <v>6223</v>
      </c>
      <c r="B6284" s="138">
        <f>'Acct Summary 7-8'!K83</f>
        <v>0.96966639009351097</v>
      </c>
      <c r="D6284" s="2" t="str">
        <f t="shared" si="97"/>
        <v>Error?</v>
      </c>
      <c r="E6284" s="2" t="s">
        <v>199</v>
      </c>
    </row>
    <row r="6285" spans="1:5" x14ac:dyDescent="0.2">
      <c r="A6285">
        <v>6224</v>
      </c>
      <c r="B6285" s="138">
        <f>'Acct Summary 7-8'!E37</f>
        <v>40000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1490807</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1490807</v>
      </c>
      <c r="D6301" s="2" t="str">
        <f t="shared" si="97"/>
        <v>Error?</v>
      </c>
      <c r="E6301" s="2" t="s">
        <v>199</v>
      </c>
    </row>
    <row r="6302" spans="1:5" x14ac:dyDescent="0.2">
      <c r="A6302">
        <v>6241</v>
      </c>
      <c r="B6302" s="138">
        <f>'Revenues 9-14'!J14</f>
        <v>2577</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2577</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1746</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1746</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18010</v>
      </c>
      <c r="D6339" s="2" t="str">
        <f t="shared" si="98"/>
        <v>Error?</v>
      </c>
      <c r="E6339" s="2" t="s">
        <v>199</v>
      </c>
    </row>
    <row r="6340" spans="1:5" x14ac:dyDescent="0.2">
      <c r="A6340">
        <v>6279</v>
      </c>
      <c r="B6340" s="138">
        <f>'Revenues 9-14'!C102</f>
        <v>6851</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0</v>
      </c>
      <c r="D6351" s="2" t="str">
        <f t="shared" si="98"/>
        <v>Error?</v>
      </c>
      <c r="E6351" s="2" t="s">
        <v>199</v>
      </c>
    </row>
    <row r="6352" spans="1:5" x14ac:dyDescent="0.2">
      <c r="A6352">
        <v>6291</v>
      </c>
      <c r="B6352" s="138">
        <f>'Revenues 9-14'!J109</f>
        <v>1495130</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1414</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349380</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111356</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2796</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404441</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20146</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50249</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100544</v>
      </c>
      <c r="D6880" s="2" t="str">
        <f t="shared" si="106"/>
        <v>Error?</v>
      </c>
    </row>
    <row r="6881" spans="1:4" x14ac:dyDescent="0.2">
      <c r="A6881">
        <v>6820</v>
      </c>
      <c r="B6881" s="138">
        <f>'Expenditures 15-22'!K22</f>
        <v>100544</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134298</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1458</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1458</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1458</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550520</v>
      </c>
      <c r="D6983" s="2" t="str">
        <f t="shared" si="108"/>
        <v>Error?</v>
      </c>
    </row>
    <row r="6984" spans="1:4" x14ac:dyDescent="0.2">
      <c r="A6984">
        <v>6923</v>
      </c>
      <c r="B6984" s="138">
        <f>'Expenditures 15-22'!K86</f>
        <v>550520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550520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16755</v>
      </c>
      <c r="D7009" s="2" t="str">
        <f t="shared" si="108"/>
        <v>Error?</v>
      </c>
    </row>
    <row r="7010" spans="1:4" x14ac:dyDescent="0.2">
      <c r="A7010">
        <v>6949</v>
      </c>
      <c r="B7010" s="138">
        <f>'Expenditures 15-22'!K99</f>
        <v>16755</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16755</v>
      </c>
      <c r="D7012" s="2" t="str">
        <f t="shared" si="108"/>
        <v>Error?</v>
      </c>
    </row>
    <row r="7013" spans="1:4" x14ac:dyDescent="0.2">
      <c r="A7013">
        <v>6952</v>
      </c>
      <c r="B7013" s="138">
        <f>'Expenditures 15-22'!K100</f>
        <v>16755</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135756</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1329763</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665</v>
      </c>
      <c r="D7049" s="2" t="str">
        <f t="shared" si="109"/>
        <v>Error?</v>
      </c>
    </row>
    <row r="7050" spans="1:5" x14ac:dyDescent="0.2">
      <c r="A7050">
        <v>6989</v>
      </c>
      <c r="B7050" s="138">
        <f>'Expenditures 15-22'!K148</f>
        <v>665</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1495130</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11113</v>
      </c>
      <c r="D7067" s="2" t="str">
        <f t="shared" si="109"/>
        <v>Error?</v>
      </c>
    </row>
    <row r="7068" spans="1:4" x14ac:dyDescent="0.2">
      <c r="A7068">
        <v>7007</v>
      </c>
      <c r="B7068" s="138">
        <f>'Expenditures 15-22'!K205</f>
        <v>11113</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24840</v>
      </c>
      <c r="D7073" s="2" t="str">
        <f t="shared" si="109"/>
        <v>Error?</v>
      </c>
    </row>
    <row r="7074" spans="1:4" x14ac:dyDescent="0.2">
      <c r="A7074">
        <v>7013</v>
      </c>
      <c r="B7074" s="138">
        <f>'Expenditures 15-22'!K216</f>
        <v>24840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498</v>
      </c>
      <c r="D7079" s="2" t="str">
        <f t="shared" si="109"/>
        <v>Error?</v>
      </c>
    </row>
    <row r="7080" spans="1:4" x14ac:dyDescent="0.2">
      <c r="A7080">
        <v>7019</v>
      </c>
      <c r="B7080" s="138">
        <f>'Expenditures 15-22'!K226</f>
        <v>498</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67715</v>
      </c>
      <c r="D7093" s="2" t="str">
        <f t="shared" si="109"/>
        <v>Error?</v>
      </c>
    </row>
    <row r="7094" spans="1:4" x14ac:dyDescent="0.2">
      <c r="A7094">
        <v>7033</v>
      </c>
      <c r="B7094" s="138">
        <f>'Expenditures 15-22'!K254</f>
        <v>67715</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20966</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20966</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20966</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185823</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185823</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2357</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2357</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0</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709007</v>
      </c>
      <c r="D7172" s="2" t="str">
        <f t="shared" si="111"/>
        <v>Error?</v>
      </c>
    </row>
    <row r="7173" spans="1:4" x14ac:dyDescent="0.2">
      <c r="A7173">
        <v>7112</v>
      </c>
      <c r="B7173" s="138">
        <f>'Expenditures 15-22'!D325</f>
        <v>83487</v>
      </c>
      <c r="D7173" s="2" t="str">
        <f t="shared" si="111"/>
        <v>Error?</v>
      </c>
    </row>
    <row r="7174" spans="1:4" x14ac:dyDescent="0.2">
      <c r="A7174">
        <v>7113</v>
      </c>
      <c r="B7174" s="138">
        <f>'Expenditures 15-22'!E325</f>
        <v>129848</v>
      </c>
      <c r="D7174" s="2" t="str">
        <f t="shared" si="111"/>
        <v>Error?</v>
      </c>
    </row>
    <row r="7175" spans="1:4" x14ac:dyDescent="0.2">
      <c r="A7175">
        <v>7114</v>
      </c>
      <c r="B7175" s="138">
        <f>'Expenditures 15-22'!F325</f>
        <v>10753</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21368</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954463</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10293</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10293</v>
      </c>
      <c r="D7198" s="2" t="str">
        <f t="shared" si="111"/>
        <v>Error?</v>
      </c>
    </row>
    <row r="7199" spans="1:4" x14ac:dyDescent="0.2">
      <c r="A7199">
        <v>7138</v>
      </c>
      <c r="B7199" s="138">
        <f>'Expenditures 15-22'!C330</f>
        <v>709007</v>
      </c>
      <c r="D7199" s="2" t="str">
        <f t="shared" si="111"/>
        <v>Error?</v>
      </c>
    </row>
    <row r="7200" spans="1:4" x14ac:dyDescent="0.2">
      <c r="A7200">
        <v>7139</v>
      </c>
      <c r="B7200" s="138">
        <f>'Expenditures 15-22'!D330</f>
        <v>83487</v>
      </c>
      <c r="D7200" s="2" t="str">
        <f t="shared" si="111"/>
        <v>Error?</v>
      </c>
    </row>
    <row r="7201" spans="1:4" x14ac:dyDescent="0.2">
      <c r="A7201">
        <v>7140</v>
      </c>
      <c r="B7201" s="138">
        <f>'Expenditures 15-22'!E330</f>
        <v>505148</v>
      </c>
      <c r="D7201" s="2" t="str">
        <f t="shared" si="111"/>
        <v>Error?</v>
      </c>
    </row>
    <row r="7202" spans="1:4" x14ac:dyDescent="0.2">
      <c r="A7202">
        <v>7141</v>
      </c>
      <c r="B7202" s="138">
        <f>'Expenditures 15-22'!F330</f>
        <v>10753</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21368</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1329763</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709007</v>
      </c>
      <c r="D7216" s="2" t="str">
        <f t="shared" si="111"/>
        <v>Error?</v>
      </c>
    </row>
    <row r="7217" spans="1:4" x14ac:dyDescent="0.2">
      <c r="A7217">
        <v>7156</v>
      </c>
      <c r="B7217" s="138">
        <f>'Expenditures 15-22'!D342</f>
        <v>83487</v>
      </c>
      <c r="D7217" s="2" t="str">
        <f t="shared" si="111"/>
        <v>Error?</v>
      </c>
    </row>
    <row r="7218" spans="1:4" x14ac:dyDescent="0.2">
      <c r="A7218">
        <v>7157</v>
      </c>
      <c r="B7218" s="138">
        <f>'Expenditures 15-22'!E342</f>
        <v>505148</v>
      </c>
      <c r="D7218" s="2" t="str">
        <f t="shared" si="111"/>
        <v>Error?</v>
      </c>
    </row>
    <row r="7219" spans="1:4" x14ac:dyDescent="0.2">
      <c r="A7219">
        <v>7158</v>
      </c>
      <c r="B7219" s="138">
        <f>'Expenditures 15-22'!F342</f>
        <v>10753</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21368</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1329763</v>
      </c>
      <c r="D7224" s="2" t="str">
        <f t="shared" si="111"/>
        <v>Error?</v>
      </c>
    </row>
    <row r="7225" spans="1:4" x14ac:dyDescent="0.2">
      <c r="A7225">
        <v>7164</v>
      </c>
      <c r="B7225" s="138">
        <f>'Expenditures 15-22'!K343</f>
        <v>165367</v>
      </c>
      <c r="D7225" s="2" t="str">
        <f t="shared" si="111"/>
        <v>Error?</v>
      </c>
    </row>
    <row r="7226" spans="1:4" x14ac:dyDescent="0.2">
      <c r="A7226">
        <v>7165</v>
      </c>
      <c r="B7226" s="138">
        <f>'Expenditures 15-22'!I348</f>
        <v>5920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5920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5920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5920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34655</v>
      </c>
      <c r="D7246" s="2" t="str">
        <f t="shared" si="112"/>
        <v>Error?</v>
      </c>
    </row>
    <row r="7247" spans="1:4" x14ac:dyDescent="0.2">
      <c r="A7247">
        <f t="shared" si="113"/>
        <v>7186</v>
      </c>
      <c r="B7247" s="138">
        <f>'Expenditures 15-22'!E7</f>
        <v>2654</v>
      </c>
      <c r="D7247" s="2" t="str">
        <f t="shared" si="112"/>
        <v>Error?</v>
      </c>
    </row>
    <row r="7248" spans="1:4" x14ac:dyDescent="0.2">
      <c r="A7248">
        <f t="shared" si="113"/>
        <v>7187</v>
      </c>
      <c r="B7248" s="138">
        <f>'Expenditures 15-22'!F7</f>
        <v>14956</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35361</v>
      </c>
      <c r="D7263" s="2" t="str">
        <f t="shared" si="112"/>
        <v>Error?</v>
      </c>
    </row>
    <row r="7264" spans="1:4" x14ac:dyDescent="0.2">
      <c r="A7264">
        <f t="shared" si="113"/>
        <v>7203</v>
      </c>
      <c r="B7264" s="138">
        <f>'Expenditures 15-22'!D17</f>
        <v>514</v>
      </c>
      <c r="D7264" s="2" t="str">
        <f t="shared" si="112"/>
        <v>Error?</v>
      </c>
    </row>
    <row r="7265" spans="1:5" x14ac:dyDescent="0.2">
      <c r="A7265">
        <f t="shared" si="113"/>
        <v>7204</v>
      </c>
      <c r="B7265" s="138">
        <f>'Expenditures 15-22'!E17</f>
        <v>9913</v>
      </c>
      <c r="D7265" s="2" t="str">
        <f t="shared" si="112"/>
        <v>Error?</v>
      </c>
    </row>
    <row r="7266" spans="1:5" x14ac:dyDescent="0.2">
      <c r="A7266">
        <f t="shared" si="113"/>
        <v>7205</v>
      </c>
      <c r="B7266" s="138">
        <f>'Expenditures 15-22'!F17</f>
        <v>4461</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184010</v>
      </c>
      <c r="D7624" s="2" t="str">
        <f t="shared" si="124"/>
        <v>Error?</v>
      </c>
      <c r="E7624" s="2" t="s">
        <v>19</v>
      </c>
    </row>
    <row r="7625" spans="1:5" x14ac:dyDescent="0.2">
      <c r="A7625">
        <f t="shared" si="123"/>
        <v>7564</v>
      </c>
      <c r="B7625" s="138">
        <f>'Cap Outlay Deprec 26'!I17</f>
        <v>18401</v>
      </c>
      <c r="D7625" s="2" t="str">
        <f t="shared" si="124"/>
        <v>Error?</v>
      </c>
      <c r="E7625" s="2" t="s">
        <v>19</v>
      </c>
    </row>
    <row r="7626" spans="1:5" x14ac:dyDescent="0.2">
      <c r="A7626">
        <f t="shared" si="123"/>
        <v>7565</v>
      </c>
      <c r="D7626" s="2" t="str">
        <f t="shared" si="124"/>
        <v>OK</v>
      </c>
      <c r="E7626" s="4" t="s">
        <v>1400</v>
      </c>
    </row>
    <row r="7627" spans="1:5" x14ac:dyDescent="0.2">
      <c r="A7627">
        <f t="shared" si="123"/>
        <v>7566</v>
      </c>
      <c r="D7627" s="2" t="str">
        <f t="shared" si="124"/>
        <v>OK</v>
      </c>
      <c r="E7627" s="4" t="s">
        <v>1400</v>
      </c>
    </row>
    <row r="7628" spans="1:5" x14ac:dyDescent="0.2">
      <c r="A7628">
        <f t="shared" si="123"/>
        <v>7567</v>
      </c>
      <c r="D7628" s="2" t="str">
        <f t="shared" si="124"/>
        <v>OK</v>
      </c>
      <c r="E7628" s="2" t="s">
        <v>19</v>
      </c>
    </row>
    <row r="7629" spans="1:5" x14ac:dyDescent="0.2">
      <c r="A7629">
        <f t="shared" si="123"/>
        <v>7568</v>
      </c>
      <c r="D7629" s="2" t="str">
        <f t="shared" si="124"/>
        <v>OK</v>
      </c>
      <c r="E7629" s="4" t="s">
        <v>1400</v>
      </c>
    </row>
    <row r="7630" spans="1:5" x14ac:dyDescent="0.2">
      <c r="A7630">
        <f t="shared" ref="A7630:A7650" si="125">A7629+1</f>
        <v>7569</v>
      </c>
      <c r="D7630" s="2" t="str">
        <f t="shared" si="124"/>
        <v>OK</v>
      </c>
      <c r="E7630" s="4" t="s">
        <v>1400</v>
      </c>
    </row>
    <row r="7631" spans="1:5" x14ac:dyDescent="0.2">
      <c r="A7631">
        <f t="shared" si="125"/>
        <v>7570</v>
      </c>
      <c r="B7631" s="138">
        <f>'Cap Outlay Deprec 26'!I18</f>
        <v>1349953</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1400</v>
      </c>
    </row>
    <row r="7634" spans="1:6" x14ac:dyDescent="0.2">
      <c r="A7634">
        <f t="shared" si="125"/>
        <v>7573</v>
      </c>
      <c r="D7634" s="2" t="str">
        <f t="shared" si="124"/>
        <v>OK</v>
      </c>
      <c r="E7634" s="4" t="s">
        <v>1400</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880</v>
      </c>
    </row>
    <row r="7652" spans="1:5" x14ac:dyDescent="0.2">
      <c r="A7652">
        <v>7591</v>
      </c>
      <c r="B7652" s="138">
        <f>'Acct Summary 7-8'!D55</f>
        <v>0</v>
      </c>
      <c r="D7652" s="2" t="str">
        <f t="shared" si="124"/>
        <v>Error?</v>
      </c>
      <c r="E7652" s="2" t="s">
        <v>880</v>
      </c>
    </row>
    <row r="7653" spans="1:5" x14ac:dyDescent="0.2">
      <c r="A7653">
        <v>7592</v>
      </c>
      <c r="B7653" s="138">
        <f>'Acct Summary 7-8'!H55</f>
        <v>0</v>
      </c>
      <c r="D7653" s="2" t="str">
        <f t="shared" si="124"/>
        <v>Error?</v>
      </c>
      <c r="E7653" s="2" t="s">
        <v>880</v>
      </c>
    </row>
    <row r="7654" spans="1:5" x14ac:dyDescent="0.2">
      <c r="A7654">
        <v>7593</v>
      </c>
      <c r="B7654" s="138">
        <f>'Acct Summary 7-8'!C56</f>
        <v>0</v>
      </c>
      <c r="D7654" s="2" t="str">
        <f t="shared" si="124"/>
        <v>Error?</v>
      </c>
      <c r="E7654" s="2" t="s">
        <v>880</v>
      </c>
    </row>
    <row r="7655" spans="1:5" x14ac:dyDescent="0.2">
      <c r="A7655">
        <v>7594</v>
      </c>
      <c r="B7655" s="138">
        <f>'Acct Summary 7-8'!D56</f>
        <v>0</v>
      </c>
      <c r="D7655" s="2" t="str">
        <f t="shared" si="124"/>
        <v>Error?</v>
      </c>
      <c r="E7655" s="2" t="s">
        <v>880</v>
      </c>
    </row>
    <row r="7656" spans="1:5" x14ac:dyDescent="0.2">
      <c r="A7656">
        <v>7595</v>
      </c>
      <c r="B7656" s="138">
        <f>'Acct Summary 7-8'!H56</f>
        <v>0</v>
      </c>
      <c r="D7656" s="2" t="str">
        <f t="shared" si="124"/>
        <v>Error?</v>
      </c>
      <c r="E7656" s="2" t="s">
        <v>880</v>
      </c>
    </row>
    <row r="7657" spans="1:5" x14ac:dyDescent="0.2">
      <c r="A7657">
        <v>7596</v>
      </c>
      <c r="B7657" s="138">
        <f>'Acct Summary 7-8'!C57</f>
        <v>40000</v>
      </c>
      <c r="D7657" s="2" t="str">
        <f t="shared" si="124"/>
        <v>Error?</v>
      </c>
      <c r="E7657" s="2" t="s">
        <v>880</v>
      </c>
    </row>
    <row r="7658" spans="1:5" x14ac:dyDescent="0.2">
      <c r="A7658">
        <v>7597</v>
      </c>
      <c r="B7658" s="138">
        <f>'Acct Summary 7-8'!D57</f>
        <v>0</v>
      </c>
      <c r="D7658" s="2" t="str">
        <f t="shared" si="124"/>
        <v>Error?</v>
      </c>
      <c r="E7658" s="2" t="s">
        <v>880</v>
      </c>
    </row>
    <row r="7659" spans="1:5" x14ac:dyDescent="0.2">
      <c r="A7659">
        <v>7598</v>
      </c>
      <c r="B7659" s="138">
        <f>'Acct Summary 7-8'!H57</f>
        <v>0</v>
      </c>
      <c r="D7659" s="2" t="str">
        <f t="shared" si="124"/>
        <v>Error?</v>
      </c>
      <c r="E7659" s="2" t="s">
        <v>880</v>
      </c>
    </row>
    <row r="7660" spans="1:5" x14ac:dyDescent="0.2">
      <c r="A7660">
        <v>7599</v>
      </c>
      <c r="B7660" s="138">
        <f>'Acct Summary 7-8'!C59</f>
        <v>0</v>
      </c>
      <c r="D7660" s="2" t="str">
        <f t="shared" si="124"/>
        <v>Error?</v>
      </c>
      <c r="E7660" s="2" t="s">
        <v>880</v>
      </c>
    </row>
    <row r="7661" spans="1:5" x14ac:dyDescent="0.2">
      <c r="A7661">
        <v>7600</v>
      </c>
      <c r="B7661" s="138">
        <f>'Acct Summary 7-8'!D59</f>
        <v>0</v>
      </c>
      <c r="D7661" s="2" t="str">
        <f t="shared" si="124"/>
        <v>Error?</v>
      </c>
      <c r="E7661" s="2" t="s">
        <v>880</v>
      </c>
    </row>
    <row r="7662" spans="1:5" x14ac:dyDescent="0.2">
      <c r="A7662">
        <v>7601</v>
      </c>
      <c r="B7662" s="138">
        <f>'Acct Summary 7-8'!H59</f>
        <v>0</v>
      </c>
      <c r="D7662" s="2" t="str">
        <f t="shared" si="124"/>
        <v>Error?</v>
      </c>
      <c r="E7662" s="2" t="s">
        <v>880</v>
      </c>
    </row>
    <row r="7663" spans="1:5" x14ac:dyDescent="0.2">
      <c r="A7663">
        <v>7602</v>
      </c>
      <c r="B7663" s="138">
        <f>'Acct Summary 7-8'!C60</f>
        <v>0</v>
      </c>
      <c r="D7663" s="2" t="str">
        <f t="shared" si="124"/>
        <v>Error?</v>
      </c>
      <c r="E7663" s="2" t="s">
        <v>880</v>
      </c>
    </row>
    <row r="7664" spans="1:5" x14ac:dyDescent="0.2">
      <c r="A7664">
        <v>7603</v>
      </c>
      <c r="B7664" s="138">
        <f>'Acct Summary 7-8'!D60</f>
        <v>0</v>
      </c>
      <c r="D7664" s="2" t="str">
        <f t="shared" si="124"/>
        <v>Error?</v>
      </c>
      <c r="E7664" s="2" t="s">
        <v>880</v>
      </c>
    </row>
    <row r="7665" spans="1:5" x14ac:dyDescent="0.2">
      <c r="A7665">
        <v>7604</v>
      </c>
      <c r="B7665" s="138">
        <f>'Acct Summary 7-8'!H60</f>
        <v>0</v>
      </c>
      <c r="D7665" s="2" t="str">
        <f t="shared" si="124"/>
        <v>Error?</v>
      </c>
      <c r="E7665" s="2" t="s">
        <v>880</v>
      </c>
    </row>
    <row r="7666" spans="1:5" x14ac:dyDescent="0.2">
      <c r="A7666">
        <v>7605</v>
      </c>
      <c r="B7666" s="138">
        <f>'Acct Summary 7-8'!C61</f>
        <v>0</v>
      </c>
      <c r="D7666" s="2" t="str">
        <f t="shared" si="124"/>
        <v>Error?</v>
      </c>
      <c r="E7666" s="2" t="s">
        <v>880</v>
      </c>
    </row>
    <row r="7667" spans="1:5" x14ac:dyDescent="0.2">
      <c r="A7667">
        <v>7606</v>
      </c>
      <c r="B7667" s="138">
        <f>'Acct Summary 7-8'!D61</f>
        <v>0</v>
      </c>
      <c r="D7667" s="2" t="str">
        <f t="shared" si="124"/>
        <v>Error?</v>
      </c>
      <c r="E7667" s="2" t="s">
        <v>880</v>
      </c>
    </row>
    <row r="7668" spans="1:5" x14ac:dyDescent="0.2">
      <c r="A7668">
        <v>7607</v>
      </c>
      <c r="B7668" s="138">
        <f>'Acct Summary 7-8'!H61</f>
        <v>0</v>
      </c>
      <c r="D7668" s="2" t="str">
        <f t="shared" si="124"/>
        <v>Error?</v>
      </c>
      <c r="E7668" s="2" t="s">
        <v>880</v>
      </c>
    </row>
    <row r="7669" spans="1:5" x14ac:dyDescent="0.2">
      <c r="A7669">
        <v>7608</v>
      </c>
      <c r="B7669" s="138">
        <f>'Acct Summary 7-8'!C63</f>
        <v>0</v>
      </c>
      <c r="D7669" s="2" t="str">
        <f t="shared" si="124"/>
        <v>Error?</v>
      </c>
      <c r="E7669" s="2" t="s">
        <v>880</v>
      </c>
    </row>
    <row r="7670" spans="1:5" x14ac:dyDescent="0.2">
      <c r="A7670">
        <v>7609</v>
      </c>
      <c r="B7670" s="138">
        <f>'Acct Summary 7-8'!D63</f>
        <v>0</v>
      </c>
      <c r="D7670" s="2" t="str">
        <f t="shared" si="124"/>
        <v>Error?</v>
      </c>
      <c r="E7670" s="2" t="s">
        <v>880</v>
      </c>
    </row>
    <row r="7671" spans="1:5" x14ac:dyDescent="0.2">
      <c r="A7671">
        <v>7610</v>
      </c>
      <c r="B7671" s="138">
        <f>'Acct Summary 7-8'!C64</f>
        <v>0</v>
      </c>
      <c r="D7671" s="2" t="str">
        <f t="shared" si="124"/>
        <v>Error?</v>
      </c>
      <c r="E7671" s="2" t="s">
        <v>880</v>
      </c>
    </row>
    <row r="7672" spans="1:5" x14ac:dyDescent="0.2">
      <c r="A7672">
        <v>7611</v>
      </c>
      <c r="B7672" s="138">
        <f>'Acct Summary 7-8'!D64</f>
        <v>0</v>
      </c>
      <c r="D7672" s="2" t="str">
        <f t="shared" si="124"/>
        <v>Error?</v>
      </c>
      <c r="E7672" s="2" t="s">
        <v>880</v>
      </c>
    </row>
    <row r="7673" spans="1:5" x14ac:dyDescent="0.2">
      <c r="A7673">
        <v>7612</v>
      </c>
      <c r="B7673" s="138">
        <f>'Acct Summary 7-8'!C65</f>
        <v>0</v>
      </c>
      <c r="D7673" s="2" t="str">
        <f t="shared" si="124"/>
        <v>Error?</v>
      </c>
      <c r="E7673" s="2" t="s">
        <v>880</v>
      </c>
    </row>
    <row r="7674" spans="1:5" x14ac:dyDescent="0.2">
      <c r="A7674">
        <v>7613</v>
      </c>
      <c r="B7674" s="138">
        <f>'Acct Summary 7-8'!D65</f>
        <v>0</v>
      </c>
      <c r="D7674" s="2" t="str">
        <f t="shared" si="124"/>
        <v>Error?</v>
      </c>
      <c r="E7674" s="2" t="s">
        <v>880</v>
      </c>
    </row>
    <row r="7675" spans="1:5" x14ac:dyDescent="0.2">
      <c r="A7675">
        <v>7614</v>
      </c>
      <c r="B7675" s="138">
        <f>'Acct Summary 7-8'!C67</f>
        <v>0</v>
      </c>
      <c r="D7675" s="2" t="str">
        <f t="shared" si="124"/>
        <v>Error?</v>
      </c>
      <c r="E7675" s="2" t="s">
        <v>880</v>
      </c>
    </row>
    <row r="7676" spans="1:5" x14ac:dyDescent="0.2">
      <c r="A7676">
        <v>7615</v>
      </c>
      <c r="B7676" s="138">
        <f>'Acct Summary 7-8'!D67</f>
        <v>0</v>
      </c>
      <c r="D7676" s="2" t="str">
        <f t="shared" si="124"/>
        <v>Error?</v>
      </c>
      <c r="E7676" s="2" t="s">
        <v>880</v>
      </c>
    </row>
    <row r="7677" spans="1:5" x14ac:dyDescent="0.2">
      <c r="A7677">
        <v>7616</v>
      </c>
      <c r="B7677" s="138">
        <f>'Acct Summary 7-8'!C68</f>
        <v>0</v>
      </c>
      <c r="D7677" s="2" t="str">
        <f t="shared" si="124"/>
        <v>Error?</v>
      </c>
      <c r="E7677" s="2" t="s">
        <v>880</v>
      </c>
    </row>
    <row r="7678" spans="1:5" x14ac:dyDescent="0.2">
      <c r="A7678">
        <v>7617</v>
      </c>
      <c r="B7678" s="138">
        <f>'Acct Summary 7-8'!D68</f>
        <v>0</v>
      </c>
      <c r="D7678" s="2" t="str">
        <f t="shared" si="124"/>
        <v>Error?</v>
      </c>
      <c r="E7678" s="2" t="s">
        <v>880</v>
      </c>
    </row>
    <row r="7679" spans="1:5" x14ac:dyDescent="0.2">
      <c r="A7679">
        <v>7618</v>
      </c>
      <c r="B7679" s="138">
        <f>'Acct Summary 7-8'!C69</f>
        <v>0</v>
      </c>
      <c r="D7679" s="2" t="str">
        <f t="shared" ref="D7679:D7742" si="126">IF(ISBLANK(B7679),"OK",IF(A7679-B7679=0,"OK","Error?"))</f>
        <v>Error?</v>
      </c>
      <c r="E7679" s="2" t="s">
        <v>880</v>
      </c>
    </row>
    <row r="7680" spans="1:5" x14ac:dyDescent="0.2">
      <c r="A7680">
        <v>7619</v>
      </c>
      <c r="B7680" s="138">
        <f>'Acct Summary 7-8'!D69</f>
        <v>0</v>
      </c>
      <c r="D7680" s="2" t="str">
        <f t="shared" si="126"/>
        <v>Error?</v>
      </c>
      <c r="E7680" s="2" t="s">
        <v>880</v>
      </c>
    </row>
    <row r="7681" spans="1:5" x14ac:dyDescent="0.2">
      <c r="A7681">
        <v>7620</v>
      </c>
      <c r="B7681" s="138">
        <f>'Acct Summary 7-8'!C71</f>
        <v>0</v>
      </c>
      <c r="D7681" s="2" t="str">
        <f t="shared" si="126"/>
        <v>Error?</v>
      </c>
      <c r="E7681" s="2" t="s">
        <v>880</v>
      </c>
    </row>
    <row r="7682" spans="1:5" x14ac:dyDescent="0.2">
      <c r="A7682">
        <v>7621</v>
      </c>
      <c r="B7682" s="138">
        <f>'Acct Summary 7-8'!D71</f>
        <v>0</v>
      </c>
      <c r="D7682" s="2" t="str">
        <f t="shared" si="126"/>
        <v>Error?</v>
      </c>
      <c r="E7682" s="2" t="s">
        <v>880</v>
      </c>
    </row>
    <row r="7683" spans="1:5" x14ac:dyDescent="0.2">
      <c r="A7683">
        <v>7622</v>
      </c>
      <c r="B7683" s="138">
        <f>'Acct Summary 7-8'!C72</f>
        <v>0</v>
      </c>
      <c r="D7683" s="2" t="str">
        <f t="shared" si="126"/>
        <v>Error?</v>
      </c>
      <c r="E7683" s="2" t="s">
        <v>880</v>
      </c>
    </row>
    <row r="7684" spans="1:5" x14ac:dyDescent="0.2">
      <c r="A7684">
        <v>7623</v>
      </c>
      <c r="B7684" s="138">
        <f>'Acct Summary 7-8'!D72</f>
        <v>0</v>
      </c>
      <c r="D7684" s="2" t="str">
        <f t="shared" si="126"/>
        <v>Error?</v>
      </c>
      <c r="E7684" s="2" t="s">
        <v>880</v>
      </c>
    </row>
    <row r="7685" spans="1:5" x14ac:dyDescent="0.2">
      <c r="A7685">
        <v>7624</v>
      </c>
      <c r="B7685" s="138">
        <f>'Acct Summary 7-8'!C73</f>
        <v>0</v>
      </c>
      <c r="D7685" s="2" t="str">
        <f t="shared" si="126"/>
        <v>Error?</v>
      </c>
      <c r="E7685" s="2" t="s">
        <v>880</v>
      </c>
    </row>
    <row r="7686" spans="1:5" x14ac:dyDescent="0.2">
      <c r="A7686">
        <v>7625</v>
      </c>
      <c r="B7686" s="138">
        <f>'Acct Summary 7-8'!D73</f>
        <v>0</v>
      </c>
      <c r="D7686" s="2" t="str">
        <f t="shared" si="126"/>
        <v>Error?</v>
      </c>
      <c r="E7686" s="2" t="s">
        <v>880</v>
      </c>
    </row>
    <row r="7687" spans="1:5" x14ac:dyDescent="0.2">
      <c r="A7687">
        <v>7626</v>
      </c>
      <c r="B7687" s="138">
        <f>'Revenues 9-14'!C199</f>
        <v>0</v>
      </c>
      <c r="D7687" s="2" t="str">
        <f t="shared" si="126"/>
        <v>Error?</v>
      </c>
      <c r="E7687" s="2" t="s">
        <v>880</v>
      </c>
    </row>
    <row r="7688" spans="1:5" x14ac:dyDescent="0.2">
      <c r="A7688">
        <v>7627</v>
      </c>
      <c r="B7688" s="138">
        <f>'Expenditures 15-22'!C328</f>
        <v>0</v>
      </c>
      <c r="D7688" s="2" t="str">
        <f t="shared" si="126"/>
        <v>Error?</v>
      </c>
      <c r="E7688" s="2" t="s">
        <v>880</v>
      </c>
    </row>
    <row r="7689" spans="1:5" x14ac:dyDescent="0.2">
      <c r="A7689">
        <v>7628</v>
      </c>
      <c r="B7689" s="138">
        <f>'Expenditures 15-22'!D328</f>
        <v>0</v>
      </c>
      <c r="D7689" s="2" t="str">
        <f t="shared" si="126"/>
        <v>Error?</v>
      </c>
      <c r="E7689" s="2" t="s">
        <v>880</v>
      </c>
    </row>
    <row r="7690" spans="1:5" x14ac:dyDescent="0.2">
      <c r="A7690">
        <v>7629</v>
      </c>
      <c r="B7690" s="138">
        <f>'Expenditures 15-22'!E328</f>
        <v>156821</v>
      </c>
      <c r="D7690" s="2" t="str">
        <f t="shared" si="126"/>
        <v>Error?</v>
      </c>
      <c r="E7690" s="2" t="s">
        <v>880</v>
      </c>
    </row>
    <row r="7691" spans="1:5" x14ac:dyDescent="0.2">
      <c r="A7691">
        <v>7630</v>
      </c>
      <c r="B7691" s="138">
        <f>'Expenditures 15-22'!F328</f>
        <v>0</v>
      </c>
      <c r="D7691" s="2" t="str">
        <f t="shared" si="126"/>
        <v>Error?</v>
      </c>
      <c r="E7691" s="2" t="s">
        <v>880</v>
      </c>
    </row>
    <row r="7692" spans="1:5" x14ac:dyDescent="0.2">
      <c r="A7692">
        <v>7631</v>
      </c>
      <c r="B7692" s="138">
        <f>'Expenditures 15-22'!G328</f>
        <v>0</v>
      </c>
      <c r="D7692" s="2" t="str">
        <f t="shared" si="126"/>
        <v>Error?</v>
      </c>
      <c r="E7692" s="2" t="s">
        <v>880</v>
      </c>
    </row>
    <row r="7693" spans="1:5" x14ac:dyDescent="0.2">
      <c r="A7693">
        <v>7632</v>
      </c>
      <c r="B7693" s="138">
        <f>'Expenditures 15-22'!H328</f>
        <v>0</v>
      </c>
      <c r="D7693" s="2" t="str">
        <f t="shared" si="126"/>
        <v>Error?</v>
      </c>
      <c r="E7693" s="2" t="s">
        <v>880</v>
      </c>
    </row>
    <row r="7694" spans="1:5" x14ac:dyDescent="0.2">
      <c r="A7694">
        <v>7633</v>
      </c>
      <c r="B7694" s="138">
        <f>'Expenditures 15-22'!I328</f>
        <v>0</v>
      </c>
      <c r="D7694" s="2" t="str">
        <f t="shared" si="126"/>
        <v>Error?</v>
      </c>
      <c r="E7694" s="2" t="s">
        <v>880</v>
      </c>
    </row>
    <row r="7695" spans="1:5" x14ac:dyDescent="0.2">
      <c r="A7695">
        <v>7634</v>
      </c>
      <c r="B7695" s="138">
        <f>'Expenditures 15-22'!J328</f>
        <v>0</v>
      </c>
      <c r="D7695" s="2" t="str">
        <f t="shared" si="126"/>
        <v>Error?</v>
      </c>
      <c r="E7695" s="2" t="s">
        <v>880</v>
      </c>
    </row>
    <row r="7696" spans="1:5" x14ac:dyDescent="0.2">
      <c r="A7696">
        <v>7635</v>
      </c>
      <c r="B7696" s="138">
        <f>'Expenditures 15-22'!K328</f>
        <v>156821</v>
      </c>
      <c r="D7696" s="2" t="str">
        <f t="shared" si="126"/>
        <v>Error?</v>
      </c>
      <c r="E7696" s="2" t="s">
        <v>880</v>
      </c>
    </row>
    <row r="7697" spans="1:5" x14ac:dyDescent="0.2">
      <c r="A7697">
        <v>7636</v>
      </c>
      <c r="B7697" s="138">
        <f>'Expenditures 15-22'!C329</f>
        <v>0</v>
      </c>
      <c r="D7697" s="2" t="str">
        <f t="shared" si="126"/>
        <v>Error?</v>
      </c>
      <c r="E7697" s="2" t="s">
        <v>880</v>
      </c>
    </row>
    <row r="7698" spans="1:5" x14ac:dyDescent="0.2">
      <c r="A7698">
        <v>7637</v>
      </c>
      <c r="B7698" s="138">
        <f>'Expenditures 15-22'!D329</f>
        <v>0</v>
      </c>
      <c r="D7698" s="2" t="str">
        <f t="shared" si="126"/>
        <v>Error?</v>
      </c>
      <c r="E7698" s="2" t="s">
        <v>880</v>
      </c>
    </row>
    <row r="7699" spans="1:5" x14ac:dyDescent="0.2">
      <c r="A7699">
        <v>7638</v>
      </c>
      <c r="B7699" s="138">
        <f>'Expenditures 15-22'!E329</f>
        <v>20006</v>
      </c>
      <c r="D7699" s="2" t="str">
        <f t="shared" si="126"/>
        <v>Error?</v>
      </c>
      <c r="E7699" s="2" t="s">
        <v>880</v>
      </c>
    </row>
    <row r="7700" spans="1:5" x14ac:dyDescent="0.2">
      <c r="A7700">
        <v>7639</v>
      </c>
      <c r="B7700" s="138">
        <f>'Expenditures 15-22'!F329</f>
        <v>0</v>
      </c>
      <c r="D7700" s="2" t="str">
        <f t="shared" si="126"/>
        <v>Error?</v>
      </c>
      <c r="E7700" s="2" t="s">
        <v>880</v>
      </c>
    </row>
    <row r="7701" spans="1:5" x14ac:dyDescent="0.2">
      <c r="A7701">
        <v>7640</v>
      </c>
      <c r="B7701" s="138">
        <f>'Expenditures 15-22'!G329</f>
        <v>0</v>
      </c>
      <c r="D7701" s="2" t="str">
        <f t="shared" si="126"/>
        <v>Error?</v>
      </c>
      <c r="E7701" s="2" t="s">
        <v>880</v>
      </c>
    </row>
    <row r="7702" spans="1:5" x14ac:dyDescent="0.2">
      <c r="A7702">
        <v>7641</v>
      </c>
      <c r="B7702" s="138">
        <f>'Expenditures 15-22'!H329</f>
        <v>0</v>
      </c>
      <c r="D7702" s="2" t="str">
        <f t="shared" si="126"/>
        <v>Error?</v>
      </c>
      <c r="E7702" s="2" t="s">
        <v>880</v>
      </c>
    </row>
    <row r="7703" spans="1:5" x14ac:dyDescent="0.2">
      <c r="A7703">
        <v>7642</v>
      </c>
      <c r="B7703" s="138">
        <f>'Expenditures 15-22'!I329</f>
        <v>0</v>
      </c>
      <c r="D7703" s="2" t="str">
        <f t="shared" si="126"/>
        <v>Error?</v>
      </c>
      <c r="E7703" s="2" t="s">
        <v>880</v>
      </c>
    </row>
    <row r="7704" spans="1:5" x14ac:dyDescent="0.2">
      <c r="A7704">
        <v>7643</v>
      </c>
      <c r="B7704" s="138">
        <f>'Expenditures 15-22'!J329</f>
        <v>0</v>
      </c>
      <c r="D7704" s="2" t="str">
        <f t="shared" si="126"/>
        <v>Error?</v>
      </c>
      <c r="E7704" s="2" t="s">
        <v>880</v>
      </c>
    </row>
    <row r="7705" spans="1:5" x14ac:dyDescent="0.2">
      <c r="A7705">
        <v>7644</v>
      </c>
      <c r="B7705" s="138">
        <f>'Expenditures 15-22'!K329</f>
        <v>20006</v>
      </c>
      <c r="D7705" s="2" t="str">
        <f t="shared" si="126"/>
        <v>Error?</v>
      </c>
      <c r="E7705" s="2" t="s">
        <v>880</v>
      </c>
    </row>
    <row r="7706" spans="1:5" x14ac:dyDescent="0.2">
      <c r="A7706">
        <v>7645</v>
      </c>
      <c r="B7706" s="138">
        <f>'Revenues 9-14'!H170</f>
        <v>0</v>
      </c>
      <c r="D7706" s="2" t="str">
        <f t="shared" si="126"/>
        <v>Error?</v>
      </c>
      <c r="E7706" s="2" t="s">
        <v>880</v>
      </c>
    </row>
    <row r="7707" spans="1:5" x14ac:dyDescent="0.2">
      <c r="A7707">
        <v>7646</v>
      </c>
      <c r="B7707" s="138">
        <f>'Expenditures 15-22'!I64</f>
        <v>0</v>
      </c>
      <c r="D7707" s="2" t="str">
        <f t="shared" si="126"/>
        <v>Error?</v>
      </c>
      <c r="E7707" s="2" t="s">
        <v>880</v>
      </c>
    </row>
    <row r="7708" spans="1:5" x14ac:dyDescent="0.2">
      <c r="A7708">
        <v>7647</v>
      </c>
      <c r="B7708" s="138">
        <f>'Rest Tax Levies-Tort Im 25'!J3</f>
        <v>117300</v>
      </c>
      <c r="D7708" s="2" t="str">
        <f t="shared" si="126"/>
        <v>Error?</v>
      </c>
      <c r="E7708" s="2" t="s">
        <v>880</v>
      </c>
    </row>
    <row r="7709" spans="1:5" x14ac:dyDescent="0.2">
      <c r="A7709">
        <v>7648</v>
      </c>
      <c r="B7709" s="138">
        <f>'Rest Tax Levies-Tort Im 25'!K3</f>
        <v>30447</v>
      </c>
      <c r="D7709" s="2" t="str">
        <f t="shared" si="126"/>
        <v>Error?</v>
      </c>
      <c r="E7709" s="2" t="s">
        <v>880</v>
      </c>
    </row>
    <row r="7710" spans="1:5" x14ac:dyDescent="0.2">
      <c r="A7710">
        <v>7649</v>
      </c>
      <c r="B7710" s="138">
        <f>'Rest Tax Levies-Tort Im 25'!J6</f>
        <v>0</v>
      </c>
      <c r="D7710" s="2" t="str">
        <f t="shared" si="126"/>
        <v>Error?</v>
      </c>
      <c r="E7710" s="2" t="s">
        <v>880</v>
      </c>
    </row>
    <row r="7711" spans="1:5" x14ac:dyDescent="0.2">
      <c r="A7711">
        <v>7650</v>
      </c>
      <c r="B7711" s="138">
        <f>'Rest Tax Levies-Tort Im 25'!K6</f>
        <v>0</v>
      </c>
      <c r="D7711" s="2" t="str">
        <f t="shared" si="126"/>
        <v>Error?</v>
      </c>
      <c r="E7711" s="2" t="s">
        <v>880</v>
      </c>
    </row>
    <row r="7712" spans="1:5" x14ac:dyDescent="0.2">
      <c r="A7712">
        <v>7651</v>
      </c>
      <c r="B7712" s="138">
        <f>'Rest Tax Levies-Tort Im 25'!K7</f>
        <v>18010</v>
      </c>
      <c r="D7712" s="2" t="str">
        <f t="shared" si="126"/>
        <v>Error?</v>
      </c>
      <c r="E7712" s="2" t="s">
        <v>880</v>
      </c>
    </row>
    <row r="7713" spans="1:6" x14ac:dyDescent="0.2">
      <c r="A7713">
        <v>7652</v>
      </c>
      <c r="B7713" s="138">
        <f>'Rest Tax Levies-Tort Im 25'!J8</f>
        <v>1247766</v>
      </c>
      <c r="D7713" s="2" t="str">
        <f t="shared" si="126"/>
        <v>Error?</v>
      </c>
      <c r="E7713" s="2" t="s">
        <v>880</v>
      </c>
    </row>
    <row r="7714" spans="1:6" x14ac:dyDescent="0.2">
      <c r="A7714">
        <v>7653</v>
      </c>
      <c r="B7714" s="138">
        <f>'Rest Tax Levies-Tort Im 25'!K9</f>
        <v>37158</v>
      </c>
      <c r="D7714" s="2" t="str">
        <f t="shared" si="126"/>
        <v>Error?</v>
      </c>
      <c r="E7714" s="2" t="s">
        <v>880</v>
      </c>
    </row>
    <row r="7715" spans="1:6" x14ac:dyDescent="0.2">
      <c r="A7715">
        <v>7654</v>
      </c>
      <c r="B7715" s="138">
        <f>'Rest Tax Levies-Tort Im 25'!J10</f>
        <v>0</v>
      </c>
      <c r="D7715" s="2" t="str">
        <f t="shared" si="126"/>
        <v>Error?</v>
      </c>
      <c r="E7715" s="2" t="s">
        <v>880</v>
      </c>
    </row>
    <row r="7716" spans="1:6" x14ac:dyDescent="0.2">
      <c r="A7716">
        <v>7655</v>
      </c>
      <c r="B7716" s="138">
        <f>'Rest Tax Levies-Tort Im 25'!K10</f>
        <v>0</v>
      </c>
      <c r="D7716" s="2" t="str">
        <f t="shared" si="126"/>
        <v>Error?</v>
      </c>
      <c r="E7716" s="2" t="s">
        <v>880</v>
      </c>
    </row>
    <row r="7717" spans="1:6" x14ac:dyDescent="0.2">
      <c r="A7717">
        <v>7656</v>
      </c>
      <c r="B7717" s="138">
        <f>'Rest Tax Levies-Tort Im 25'!J11</f>
        <v>0</v>
      </c>
      <c r="D7717" s="2" t="str">
        <f t="shared" si="126"/>
        <v>Error?</v>
      </c>
      <c r="E7717" s="2" t="s">
        <v>880</v>
      </c>
    </row>
    <row r="7718" spans="1:6" x14ac:dyDescent="0.2">
      <c r="A7718">
        <v>7657</v>
      </c>
      <c r="B7718" s="138">
        <f>'Rest Tax Levies-Tort Im 25'!J12</f>
        <v>1247766</v>
      </c>
      <c r="D7718" s="2" t="str">
        <f t="shared" si="126"/>
        <v>Error?</v>
      </c>
      <c r="E7718" s="2" t="s">
        <v>880</v>
      </c>
    </row>
    <row r="7719" spans="1:6" x14ac:dyDescent="0.2">
      <c r="A7719">
        <v>7658</v>
      </c>
      <c r="B7719" s="138">
        <f>'Rest Tax Levies-Tort Im 25'!K12</f>
        <v>55168</v>
      </c>
      <c r="D7719" s="2" t="str">
        <f t="shared" si="126"/>
        <v>Error?</v>
      </c>
      <c r="E7719" s="2" t="s">
        <v>880</v>
      </c>
    </row>
    <row r="7720" spans="1:6" x14ac:dyDescent="0.2">
      <c r="A7720">
        <v>7659</v>
      </c>
      <c r="B7720" s="138">
        <f>'Rest Tax Levies-Tort Im 25'!H14</f>
        <v>121519</v>
      </c>
      <c r="D7720" s="2" t="str">
        <f t="shared" si="126"/>
        <v>Error?</v>
      </c>
      <c r="E7720" s="2" t="s">
        <v>880</v>
      </c>
    </row>
    <row r="7721" spans="1:6" x14ac:dyDescent="0.2">
      <c r="A7721">
        <v>7660</v>
      </c>
      <c r="B7721" s="138">
        <f>'Rest Tax Levies-Tort Im 25'!K14</f>
        <v>50747</v>
      </c>
      <c r="D7721" s="2" t="str">
        <f t="shared" si="126"/>
        <v>Error?</v>
      </c>
      <c r="E7721" s="2" t="s">
        <v>880</v>
      </c>
    </row>
    <row r="7722" spans="1:6" x14ac:dyDescent="0.2">
      <c r="A7722">
        <v>7661</v>
      </c>
      <c r="B7722" s="138">
        <f>'Rest Tax Levies-Tort Im 25'!J15</f>
        <v>493911</v>
      </c>
      <c r="D7722" s="2" t="str">
        <f t="shared" si="126"/>
        <v>Error?</v>
      </c>
      <c r="E7722" s="2" t="s">
        <v>880</v>
      </c>
    </row>
    <row r="7723" spans="1:6" x14ac:dyDescent="0.2">
      <c r="A7723">
        <v>7662</v>
      </c>
      <c r="B7723" s="138">
        <f>'Rest Tax Levies-Tort Im 25'!K15</f>
        <v>0</v>
      </c>
      <c r="D7723" s="2" t="str">
        <f t="shared" si="126"/>
        <v>Error?</v>
      </c>
      <c r="E7723" s="2" t="s">
        <v>880</v>
      </c>
    </row>
    <row r="7724" spans="1:6" x14ac:dyDescent="0.2">
      <c r="A7724">
        <v>7663</v>
      </c>
      <c r="B7724" s="138">
        <f>'Rest Tax Levies-Tort Im 25'!J18</f>
        <v>0</v>
      </c>
      <c r="D7724" s="2" t="str">
        <f t="shared" si="126"/>
        <v>Error?</v>
      </c>
      <c r="E7724" s="2" t="s">
        <v>880</v>
      </c>
      <c r="F7724" s="2"/>
    </row>
    <row r="7725" spans="1:6" x14ac:dyDescent="0.2">
      <c r="A7725">
        <v>7664</v>
      </c>
      <c r="B7725" s="138">
        <f>'Rest Tax Levies-Tort Im 25'!J19</f>
        <v>0</v>
      </c>
      <c r="D7725" s="2" t="str">
        <f t="shared" si="126"/>
        <v>Error?</v>
      </c>
      <c r="E7725" s="2" t="s">
        <v>880</v>
      </c>
    </row>
    <row r="7726" spans="1:6" x14ac:dyDescent="0.2">
      <c r="A7726">
        <v>7665</v>
      </c>
      <c r="B7726" s="138">
        <f>'Rest Tax Levies-Tort Im 25'!J20</f>
        <v>0</v>
      </c>
      <c r="D7726" s="2" t="str">
        <f t="shared" si="126"/>
        <v>Error?</v>
      </c>
      <c r="E7726" s="2" t="s">
        <v>880</v>
      </c>
    </row>
    <row r="7727" spans="1:6" x14ac:dyDescent="0.2">
      <c r="A7727">
        <v>7666</v>
      </c>
      <c r="B7727" s="138">
        <f>'Rest Tax Levies-Tort Im 25'!J21</f>
        <v>0</v>
      </c>
      <c r="D7727" s="2" t="str">
        <f t="shared" si="126"/>
        <v>Error?</v>
      </c>
      <c r="E7727" s="2" t="s">
        <v>880</v>
      </c>
    </row>
    <row r="7728" spans="1:6" x14ac:dyDescent="0.2">
      <c r="A7728">
        <v>7667</v>
      </c>
      <c r="B7728" s="138">
        <f>'Revenues 9-14'!E103</f>
        <v>0</v>
      </c>
      <c r="D7728" s="2" t="str">
        <f t="shared" si="126"/>
        <v>Error?</v>
      </c>
      <c r="E7728" s="2" t="s">
        <v>880</v>
      </c>
    </row>
    <row r="7729" spans="1:6" x14ac:dyDescent="0.2">
      <c r="A7729">
        <v>7668</v>
      </c>
      <c r="B7729" s="138">
        <f>'Rest Tax Levies-Tort Im 25'!K22</f>
        <v>0</v>
      </c>
      <c r="D7729" s="2" t="str">
        <f t="shared" si="126"/>
        <v>Error?</v>
      </c>
      <c r="E7729" s="2" t="s">
        <v>880</v>
      </c>
    </row>
    <row r="7730" spans="1:6" x14ac:dyDescent="0.2">
      <c r="A7730">
        <v>7669</v>
      </c>
      <c r="B7730" s="138">
        <f>'Rest Tax Levies-Tort Im 25'!J23</f>
        <v>493911</v>
      </c>
      <c r="D7730" s="2" t="str">
        <f t="shared" si="126"/>
        <v>Error?</v>
      </c>
      <c r="E7730" s="2" t="s">
        <v>880</v>
      </c>
    </row>
    <row r="7731" spans="1:6" x14ac:dyDescent="0.2">
      <c r="A7731">
        <v>7670</v>
      </c>
      <c r="B7731" s="138">
        <f>'Revenues 9-14'!H103</f>
        <v>1247766</v>
      </c>
      <c r="D7731" s="2" t="str">
        <f t="shared" si="126"/>
        <v>Error?</v>
      </c>
      <c r="E7731" s="2" t="s">
        <v>880</v>
      </c>
    </row>
    <row r="7732" spans="1:6" x14ac:dyDescent="0.2">
      <c r="A7732">
        <v>7671</v>
      </c>
      <c r="B7732" s="138">
        <f>'Rest Tax Levies-Tort Im 25'!J24</f>
        <v>871155</v>
      </c>
      <c r="D7732" s="2" t="str">
        <f t="shared" si="126"/>
        <v>Error?</v>
      </c>
      <c r="E7732" s="2" t="s">
        <v>880</v>
      </c>
    </row>
    <row r="7733" spans="1:6" x14ac:dyDescent="0.2">
      <c r="A7733">
        <v>7672</v>
      </c>
      <c r="B7733" s="138">
        <f>'Rest Tax Levies-Tort Im 25'!K24</f>
        <v>34868</v>
      </c>
      <c r="D7733" s="2" t="str">
        <f t="shared" si="126"/>
        <v>Error?</v>
      </c>
      <c r="E7733" s="2" t="s">
        <v>880</v>
      </c>
    </row>
    <row r="7734" spans="1:6" x14ac:dyDescent="0.2">
      <c r="A7734">
        <v>7673</v>
      </c>
      <c r="B7734" s="138">
        <f>'Rest Tax Levies-Tort Im 25'!G25</f>
        <v>0</v>
      </c>
      <c r="D7734" s="2" t="str">
        <f t="shared" si="126"/>
        <v>Error?</v>
      </c>
      <c r="E7734" s="2" t="s">
        <v>880</v>
      </c>
    </row>
    <row r="7735" spans="1:6" x14ac:dyDescent="0.2">
      <c r="A7735">
        <v>7674</v>
      </c>
      <c r="B7735" s="138">
        <f>'Rest Tax Levies-Tort Im 25'!H25</f>
        <v>0</v>
      </c>
      <c r="D7735" s="2" t="str">
        <f t="shared" si="126"/>
        <v>Error?</v>
      </c>
      <c r="E7735" s="2" t="s">
        <v>880</v>
      </c>
    </row>
    <row r="7736" spans="1:6" x14ac:dyDescent="0.2">
      <c r="A7736">
        <v>7675</v>
      </c>
      <c r="B7736" s="138">
        <f>'Rest Tax Levies-Tort Im 25'!I25</f>
        <v>0</v>
      </c>
      <c r="D7736" s="2" t="str">
        <f t="shared" si="126"/>
        <v>Error?</v>
      </c>
      <c r="E7736" s="2" t="s">
        <v>880</v>
      </c>
    </row>
    <row r="7737" spans="1:6" x14ac:dyDescent="0.2">
      <c r="A7737">
        <v>7676</v>
      </c>
      <c r="B7737" s="138">
        <f>'Rest Tax Levies-Tort Im 25'!J25</f>
        <v>0</v>
      </c>
      <c r="D7737" s="2" t="str">
        <f t="shared" si="126"/>
        <v>Error?</v>
      </c>
      <c r="E7737" s="2" t="s">
        <v>880</v>
      </c>
    </row>
    <row r="7738" spans="1:6" x14ac:dyDescent="0.2">
      <c r="A7738">
        <v>7677</v>
      </c>
      <c r="B7738" s="138">
        <f>'Rest Tax Levies-Tort Im 25'!K25</f>
        <v>0</v>
      </c>
      <c r="D7738" s="2" t="str">
        <f t="shared" si="126"/>
        <v>Error?</v>
      </c>
      <c r="E7738" s="2" t="s">
        <v>880</v>
      </c>
    </row>
    <row r="7739" spans="1:6" x14ac:dyDescent="0.2">
      <c r="A7739">
        <v>7678</v>
      </c>
      <c r="B7739" s="138">
        <f>'Rest Tax Levies-Tort Im 25'!G26</f>
        <v>0</v>
      </c>
      <c r="D7739" s="2" t="str">
        <f t="shared" si="126"/>
        <v>Error?</v>
      </c>
      <c r="E7739" s="2" t="s">
        <v>880</v>
      </c>
    </row>
    <row r="7740" spans="1:6" x14ac:dyDescent="0.2">
      <c r="A7740">
        <v>7679</v>
      </c>
      <c r="B7740" s="138">
        <f>'Rest Tax Levies-Tort Im 25'!H26</f>
        <v>0</v>
      </c>
      <c r="D7740" s="2" t="str">
        <f t="shared" si="126"/>
        <v>Error?</v>
      </c>
      <c r="E7740" s="2" t="s">
        <v>880</v>
      </c>
    </row>
    <row r="7741" spans="1:6" x14ac:dyDescent="0.2">
      <c r="A7741">
        <v>7680</v>
      </c>
      <c r="B7741" s="138">
        <f>'Rest Tax Levies-Tort Im 25'!I26</f>
        <v>0</v>
      </c>
      <c r="D7741" s="2" t="str">
        <f t="shared" si="126"/>
        <v>Error?</v>
      </c>
      <c r="E7741" s="2" t="s">
        <v>880</v>
      </c>
    </row>
    <row r="7742" spans="1:6" x14ac:dyDescent="0.2">
      <c r="A7742">
        <v>7681</v>
      </c>
      <c r="B7742" s="138">
        <f>'Rest Tax Levies-Tort Im 25'!J26</f>
        <v>871155</v>
      </c>
      <c r="D7742" s="2" t="str">
        <f t="shared" si="126"/>
        <v>Error?</v>
      </c>
      <c r="E7742" s="2" t="s">
        <v>880</v>
      </c>
    </row>
    <row r="7743" spans="1:6" x14ac:dyDescent="0.2">
      <c r="A7743">
        <v>7682</v>
      </c>
      <c r="B7743" s="138">
        <f>'Rest Tax Levies-Tort Im 25'!K26</f>
        <v>34868</v>
      </c>
      <c r="D7743" s="2" t="str">
        <f t="shared" ref="D7743:D7800" si="127">IF(ISBLANK(B7743),"OK",IF(A7743-B7743=0,"OK","Error?"))</f>
        <v>Error?</v>
      </c>
      <c r="E7743" s="2" t="s">
        <v>880</v>
      </c>
    </row>
    <row r="7744" spans="1:6" x14ac:dyDescent="0.2">
      <c r="A7744">
        <v>7683</v>
      </c>
      <c r="D7744" s="2" t="str">
        <f t="shared" si="127"/>
        <v>OK</v>
      </c>
      <c r="E7744" s="4" t="s">
        <v>1400</v>
      </c>
      <c r="F7744" s="1"/>
    </row>
    <row r="7745" spans="1:6" x14ac:dyDescent="0.2">
      <c r="A7745">
        <v>7684</v>
      </c>
      <c r="B7745" s="138">
        <f>'Expenditures 15-22'!H364</f>
        <v>0</v>
      </c>
      <c r="D7745" s="2" t="str">
        <f t="shared" si="127"/>
        <v>Error?</v>
      </c>
      <c r="E7745" s="2" t="s">
        <v>880</v>
      </c>
    </row>
    <row r="7746" spans="1:6" x14ac:dyDescent="0.2">
      <c r="A7746">
        <v>7685</v>
      </c>
      <c r="B7746" s="138">
        <f>'Expenditures 15-22'!K364</f>
        <v>0</v>
      </c>
      <c r="D7746" s="2" t="str">
        <f t="shared" si="127"/>
        <v>Error?</v>
      </c>
      <c r="E7746" s="2" t="s">
        <v>880</v>
      </c>
    </row>
    <row r="7747" spans="1:6" x14ac:dyDescent="0.2">
      <c r="A7747">
        <v>7686</v>
      </c>
      <c r="B7747" s="138">
        <f>'Revenues 9-14'!E273</f>
        <v>0</v>
      </c>
      <c r="D7747" s="2" t="str">
        <f t="shared" si="127"/>
        <v>Error?</v>
      </c>
      <c r="E7747" s="2" t="s">
        <v>880</v>
      </c>
      <c r="F7747" s="2" t="s">
        <v>881</v>
      </c>
    </row>
    <row r="7748" spans="1:6" x14ac:dyDescent="0.2">
      <c r="A7748">
        <v>7687</v>
      </c>
      <c r="B7748" s="138">
        <f>'Acct Summary 7-8'!C25</f>
        <v>0</v>
      </c>
      <c r="D7748" s="2" t="str">
        <f t="shared" si="127"/>
        <v>Error?</v>
      </c>
      <c r="E7748" s="4" t="s">
        <v>1399</v>
      </c>
    </row>
    <row r="7749" spans="1:6" x14ac:dyDescent="0.2">
      <c r="A7749">
        <v>7688</v>
      </c>
      <c r="B7749" s="138">
        <f>'Acct Summary 7-8'!D25</f>
        <v>0</v>
      </c>
      <c r="D7749" s="2" t="str">
        <f t="shared" si="127"/>
        <v>Error?</v>
      </c>
      <c r="E7749" s="4" t="s">
        <v>1399</v>
      </c>
    </row>
    <row r="7750" spans="1:6" x14ac:dyDescent="0.2">
      <c r="A7750">
        <v>7689</v>
      </c>
      <c r="B7750" s="138">
        <f>'Acct Summary 7-8'!E25</f>
        <v>0</v>
      </c>
      <c r="D7750" s="2" t="str">
        <f t="shared" si="127"/>
        <v>Error?</v>
      </c>
      <c r="E7750" s="4" t="s">
        <v>1399</v>
      </c>
    </row>
    <row r="7751" spans="1:6" x14ac:dyDescent="0.2">
      <c r="A7751">
        <v>7690</v>
      </c>
      <c r="B7751" s="138">
        <f>'Acct Summary 7-8'!F25</f>
        <v>0</v>
      </c>
      <c r="D7751" s="2" t="str">
        <f t="shared" si="127"/>
        <v>Error?</v>
      </c>
      <c r="E7751" s="4" t="s">
        <v>1399</v>
      </c>
    </row>
    <row r="7752" spans="1:6" x14ac:dyDescent="0.2">
      <c r="A7752">
        <v>7691</v>
      </c>
      <c r="B7752" s="138">
        <f>'Acct Summary 7-8'!G25</f>
        <v>0</v>
      </c>
      <c r="D7752" s="2" t="str">
        <f t="shared" si="127"/>
        <v>Error?</v>
      </c>
      <c r="E7752" s="4" t="s">
        <v>1399</v>
      </c>
    </row>
    <row r="7753" spans="1:6" x14ac:dyDescent="0.2">
      <c r="A7753">
        <v>7692</v>
      </c>
      <c r="B7753" s="138">
        <f>'Acct Summary 7-8'!H25</f>
        <v>0</v>
      </c>
      <c r="D7753" s="2" t="str">
        <f t="shared" si="127"/>
        <v>Error?</v>
      </c>
      <c r="E7753" s="4" t="s">
        <v>1399</v>
      </c>
    </row>
    <row r="7754" spans="1:6" x14ac:dyDescent="0.2">
      <c r="A7754">
        <v>7693</v>
      </c>
      <c r="B7754" s="138">
        <f>'Acct Summary 7-8'!J25</f>
        <v>0</v>
      </c>
      <c r="D7754" s="2" t="str">
        <f t="shared" si="127"/>
        <v>Error?</v>
      </c>
      <c r="E7754" s="4" t="s">
        <v>1399</v>
      </c>
    </row>
    <row r="7755" spans="1:6" x14ac:dyDescent="0.2">
      <c r="A7755">
        <v>7694</v>
      </c>
      <c r="B7755" s="138">
        <f>'Acct Summary 7-8'!K25</f>
        <v>0</v>
      </c>
      <c r="D7755" s="2" t="str">
        <f t="shared" si="127"/>
        <v>Error?</v>
      </c>
      <c r="E7755" s="4" t="s">
        <v>1399</v>
      </c>
    </row>
    <row r="7756" spans="1:6" x14ac:dyDescent="0.2">
      <c r="A7756">
        <v>7695</v>
      </c>
      <c r="B7756" s="138">
        <f>'Aud Quest 2'!E85</f>
        <v>0</v>
      </c>
      <c r="D7756" s="2" t="str">
        <f t="shared" si="127"/>
        <v>Error?</v>
      </c>
      <c r="E7756" s="4" t="s">
        <v>1399</v>
      </c>
      <c r="F7756" t="s">
        <v>1519</v>
      </c>
    </row>
    <row r="7757" spans="1:6" x14ac:dyDescent="0.2">
      <c r="A7757">
        <v>7696</v>
      </c>
      <c r="B7757" s="138">
        <f>'Aud Quest 2'!E87</f>
        <v>0</v>
      </c>
      <c r="D7757" s="2" t="str">
        <f t="shared" si="127"/>
        <v>Error?</v>
      </c>
      <c r="E7757" s="4" t="s">
        <v>1399</v>
      </c>
      <c r="F7757" t="s">
        <v>1519</v>
      </c>
    </row>
    <row r="7758" spans="1:6" x14ac:dyDescent="0.2">
      <c r="A7758">
        <v>7697</v>
      </c>
      <c r="B7758" s="138">
        <f>'Aud Quest 2'!J85</f>
        <v>1</v>
      </c>
      <c r="D7758" s="2" t="str">
        <f t="shared" si="127"/>
        <v>Error?</v>
      </c>
      <c r="E7758" s="4" t="s">
        <v>1399</v>
      </c>
    </row>
    <row r="7759" spans="1:6" x14ac:dyDescent="0.2">
      <c r="A7759">
        <v>7698</v>
      </c>
      <c r="B7759" s="138">
        <f>'Aud Quest 2'!J88</f>
        <v>0</v>
      </c>
      <c r="D7759" s="2" t="str">
        <f t="shared" si="127"/>
        <v>Error?</v>
      </c>
      <c r="E7759" s="4" t="s">
        <v>1399</v>
      </c>
    </row>
    <row r="7760" spans="1:6" x14ac:dyDescent="0.2">
      <c r="A7760">
        <v>7699</v>
      </c>
      <c r="B7760" s="138">
        <f>'Aud Quest 2'!J90</f>
        <v>1</v>
      </c>
      <c r="D7760" s="2" t="str">
        <f t="shared" si="127"/>
        <v>Error?</v>
      </c>
      <c r="E7760" s="4" t="s">
        <v>1399</v>
      </c>
    </row>
    <row r="7761" spans="1:5" x14ac:dyDescent="0.2">
      <c r="A7761">
        <v>7700</v>
      </c>
      <c r="B7761" s="138">
        <f>'Revenues 9-14'!C260</f>
        <v>0</v>
      </c>
      <c r="D7761" s="2" t="str">
        <f t="shared" si="127"/>
        <v>Error?</v>
      </c>
      <c r="E7761" s="4" t="s">
        <v>1493</v>
      </c>
    </row>
    <row r="7762" spans="1:5" x14ac:dyDescent="0.2">
      <c r="A7762">
        <v>7701</v>
      </c>
      <c r="B7762" s="138">
        <f>'Expenditures 15-22'!E6</f>
        <v>0</v>
      </c>
      <c r="D7762" s="2" t="str">
        <f t="shared" si="127"/>
        <v>Error?</v>
      </c>
      <c r="E7762" s="4" t="s">
        <v>1506</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1534</v>
      </c>
    </row>
    <row r="7765" spans="1:5" x14ac:dyDescent="0.2">
      <c r="A7765">
        <v>7704</v>
      </c>
      <c r="B7765" s="138">
        <f>'Revenues 9-14'!C261</f>
        <v>0</v>
      </c>
      <c r="D7765" s="2" t="str">
        <f t="shared" si="127"/>
        <v>Error?</v>
      </c>
      <c r="E7765" s="4" t="s">
        <v>1538</v>
      </c>
    </row>
    <row r="7766" spans="1:5" x14ac:dyDescent="0.2">
      <c r="A7766">
        <v>7705</v>
      </c>
      <c r="B7766" s="138">
        <f>'Revenues 9-14'!D261</f>
        <v>0</v>
      </c>
      <c r="D7766" s="2" t="str">
        <f t="shared" si="127"/>
        <v>Error?</v>
      </c>
      <c r="E7766" s="4" t="s">
        <v>1538</v>
      </c>
    </row>
    <row r="7767" spans="1:5" x14ac:dyDescent="0.2">
      <c r="A7767" s="129">
        <v>7706</v>
      </c>
      <c r="E7767" s="4"/>
    </row>
    <row r="7768" spans="1:5" x14ac:dyDescent="0.2">
      <c r="A7768">
        <v>7707</v>
      </c>
      <c r="B7768" s="138">
        <f>'Revenues 9-14'!F261</f>
        <v>0</v>
      </c>
      <c r="D7768" s="2" t="str">
        <f t="shared" si="127"/>
        <v>Error?</v>
      </c>
      <c r="E7768" s="4" t="s">
        <v>1538</v>
      </c>
    </row>
    <row r="7769" spans="1:5" x14ac:dyDescent="0.2">
      <c r="A7769">
        <v>7708</v>
      </c>
      <c r="B7769" s="138">
        <f>'Revenues 9-14'!G261</f>
        <v>0</v>
      </c>
      <c r="D7769" s="2" t="str">
        <f t="shared" si="127"/>
        <v>Error?</v>
      </c>
      <c r="E7769" s="4" t="s">
        <v>1538</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1539</v>
      </c>
    </row>
    <row r="7773" spans="1:5" x14ac:dyDescent="0.2">
      <c r="A7773">
        <v>7712</v>
      </c>
      <c r="B7773" s="138">
        <f>'Rest Tax Levies-Tort Im 25'!J22</f>
        <v>0</v>
      </c>
      <c r="D7773" s="2" t="str">
        <f t="shared" si="127"/>
        <v>Error?</v>
      </c>
      <c r="E7773" s="4" t="s">
        <v>1633</v>
      </c>
    </row>
    <row r="7774" spans="1:5" x14ac:dyDescent="0.2">
      <c r="A7774">
        <v>7713</v>
      </c>
      <c r="B7774" s="138">
        <f>'Expenditures 15-22'!E133</f>
        <v>0</v>
      </c>
      <c r="D7774" s="2" t="str">
        <f t="shared" si="127"/>
        <v>Error?</v>
      </c>
      <c r="E7774" s="4" t="s">
        <v>1963</v>
      </c>
    </row>
    <row r="7775" spans="1:5" x14ac:dyDescent="0.2">
      <c r="A7775">
        <v>7714</v>
      </c>
      <c r="B7775" s="138">
        <f>'Expenditures 15-22'!H133</f>
        <v>0</v>
      </c>
      <c r="D7775" s="2" t="str">
        <f t="shared" si="127"/>
        <v>Error?</v>
      </c>
      <c r="E7775" s="4" t="s">
        <v>1963</v>
      </c>
    </row>
    <row r="7776" spans="1:5" x14ac:dyDescent="0.2">
      <c r="A7776">
        <v>7715</v>
      </c>
      <c r="B7776" s="138">
        <f>'Expenditures 15-22'!K133</f>
        <v>0</v>
      </c>
      <c r="D7776" s="2" t="str">
        <f t="shared" si="127"/>
        <v>Error?</v>
      </c>
      <c r="E7776" s="4" t="s">
        <v>1963</v>
      </c>
    </row>
    <row r="7777" spans="1:5" x14ac:dyDescent="0.2">
      <c r="A7777">
        <v>7716</v>
      </c>
      <c r="B7777" s="138">
        <f>'Expenditures 15-22'!H157</f>
        <v>0</v>
      </c>
      <c r="D7777" s="2" t="str">
        <f t="shared" si="127"/>
        <v>Error?</v>
      </c>
      <c r="E7777" s="4" t="s">
        <v>1963</v>
      </c>
    </row>
    <row r="7778" spans="1:5" x14ac:dyDescent="0.2">
      <c r="A7778">
        <v>7717</v>
      </c>
      <c r="B7778" s="138">
        <f>'Expenditures 15-22'!K157</f>
        <v>0</v>
      </c>
      <c r="D7778" s="2" t="str">
        <f t="shared" si="127"/>
        <v>Error?</v>
      </c>
      <c r="E7778" s="4" t="s">
        <v>1963</v>
      </c>
    </row>
    <row r="7779" spans="1:5" x14ac:dyDescent="0.2">
      <c r="A7779">
        <v>7718</v>
      </c>
      <c r="B7779" s="138">
        <f>'Expenditures 15-22'!H158</f>
        <v>0</v>
      </c>
      <c r="D7779" s="2" t="str">
        <f t="shared" si="127"/>
        <v>Error?</v>
      </c>
      <c r="E7779" s="4" t="s">
        <v>1963</v>
      </c>
    </row>
    <row r="7780" spans="1:5" x14ac:dyDescent="0.2">
      <c r="A7780">
        <v>7719</v>
      </c>
      <c r="B7780" s="138">
        <f>'Expenditures 15-22'!K158</f>
        <v>0</v>
      </c>
      <c r="D7780" s="2" t="str">
        <f t="shared" si="127"/>
        <v>Error?</v>
      </c>
      <c r="E7780" s="4" t="s">
        <v>1963</v>
      </c>
    </row>
    <row r="7781" spans="1:5" x14ac:dyDescent="0.2">
      <c r="A7781">
        <v>7720</v>
      </c>
      <c r="B7781" s="138">
        <f>'Expenditures 15-22'!H159</f>
        <v>0</v>
      </c>
      <c r="D7781" s="2" t="str">
        <f t="shared" si="127"/>
        <v>Error?</v>
      </c>
      <c r="E7781" s="4" t="s">
        <v>1963</v>
      </c>
    </row>
    <row r="7782" spans="1:5" x14ac:dyDescent="0.2">
      <c r="A7782">
        <v>7721</v>
      </c>
      <c r="B7782" s="138">
        <f>'Expenditures 15-22'!K159</f>
        <v>0</v>
      </c>
      <c r="D7782" s="2" t="str">
        <f t="shared" si="127"/>
        <v>Error?</v>
      </c>
      <c r="E7782" s="4" t="s">
        <v>1963</v>
      </c>
    </row>
    <row r="7783" spans="1:5" x14ac:dyDescent="0.2">
      <c r="A7783">
        <v>7722</v>
      </c>
      <c r="B7783" s="138">
        <f>'Expenditures 15-22'!D282</f>
        <v>0</v>
      </c>
      <c r="D7783" s="2" t="str">
        <f t="shared" si="127"/>
        <v>Error?</v>
      </c>
      <c r="E7783" s="4" t="s">
        <v>1963</v>
      </c>
    </row>
    <row r="7784" spans="1:5" x14ac:dyDescent="0.2">
      <c r="A7784">
        <v>7723</v>
      </c>
      <c r="B7784" s="138">
        <f>'Expenditures 15-22'!K282</f>
        <v>0</v>
      </c>
      <c r="D7784" s="2" t="str">
        <f t="shared" si="127"/>
        <v>Error?</v>
      </c>
      <c r="E7784" s="4" t="s">
        <v>1963</v>
      </c>
    </row>
    <row r="7785" spans="1:5" x14ac:dyDescent="0.2">
      <c r="A7785">
        <v>7724</v>
      </c>
      <c r="B7785" s="138">
        <f>'Expenditures 15-22'!H332</f>
        <v>0</v>
      </c>
      <c r="D7785" s="2" t="str">
        <f t="shared" si="127"/>
        <v>Error?</v>
      </c>
      <c r="E7785" s="4" t="s">
        <v>1963</v>
      </c>
    </row>
    <row r="7786" spans="1:5" x14ac:dyDescent="0.2">
      <c r="A7786">
        <v>7725</v>
      </c>
      <c r="B7786" s="138">
        <f>'Expenditures 15-22'!K332</f>
        <v>0</v>
      </c>
      <c r="D7786" s="2" t="str">
        <f t="shared" si="127"/>
        <v>Error?</v>
      </c>
      <c r="E7786" s="4" t="s">
        <v>1963</v>
      </c>
    </row>
    <row r="7787" spans="1:5" x14ac:dyDescent="0.2">
      <c r="A7787">
        <v>7726</v>
      </c>
      <c r="B7787" s="138">
        <f>'Expenditures 15-22'!H333</f>
        <v>0</v>
      </c>
      <c r="D7787" s="2" t="str">
        <f t="shared" si="127"/>
        <v>Error?</v>
      </c>
      <c r="E7787" s="4" t="s">
        <v>1963</v>
      </c>
    </row>
    <row r="7788" spans="1:5" x14ac:dyDescent="0.2">
      <c r="A7788">
        <v>7727</v>
      </c>
      <c r="B7788" s="138">
        <f>'Expenditures 15-22'!K333</f>
        <v>0</v>
      </c>
      <c r="D7788" s="2" t="str">
        <f t="shared" si="127"/>
        <v>Error?</v>
      </c>
      <c r="E7788" s="4" t="s">
        <v>1963</v>
      </c>
    </row>
    <row r="7789" spans="1:5" x14ac:dyDescent="0.2">
      <c r="A7789">
        <v>7728</v>
      </c>
      <c r="B7789" s="138">
        <f>'Expenditures 15-22'!H334</f>
        <v>0</v>
      </c>
      <c r="D7789" s="2" t="str">
        <f t="shared" si="127"/>
        <v>Error?</v>
      </c>
      <c r="E7789" s="4" t="s">
        <v>1963</v>
      </c>
    </row>
    <row r="7790" spans="1:5" x14ac:dyDescent="0.2">
      <c r="A7790">
        <v>7729</v>
      </c>
      <c r="B7790" s="138">
        <f>'Expenditures 15-22'!K334</f>
        <v>0</v>
      </c>
      <c r="D7790" s="2" t="str">
        <f t="shared" si="127"/>
        <v>Error?</v>
      </c>
      <c r="E7790" s="4" t="s">
        <v>1963</v>
      </c>
    </row>
    <row r="7791" spans="1:5" x14ac:dyDescent="0.2">
      <c r="A7791">
        <v>7730</v>
      </c>
      <c r="B7791" s="138">
        <f>'Expenditures 15-22'!H354</f>
        <v>0</v>
      </c>
      <c r="D7791" s="2" t="str">
        <f t="shared" si="127"/>
        <v>Error?</v>
      </c>
      <c r="E7791" s="4" t="s">
        <v>1963</v>
      </c>
    </row>
    <row r="7792" spans="1:5" x14ac:dyDescent="0.2">
      <c r="A7792">
        <v>7731</v>
      </c>
      <c r="B7792" s="138">
        <f>'Expenditures 15-22'!K354</f>
        <v>0</v>
      </c>
      <c r="D7792" s="2" t="str">
        <f t="shared" si="127"/>
        <v>Error?</v>
      </c>
      <c r="E7792" s="4" t="s">
        <v>1963</v>
      </c>
    </row>
    <row r="7793" spans="1:5" x14ac:dyDescent="0.2">
      <c r="A7793">
        <v>7732</v>
      </c>
      <c r="B7793" s="138">
        <f>'Expenditures 15-22'!H355</f>
        <v>0</v>
      </c>
      <c r="D7793" s="2" t="str">
        <f t="shared" si="127"/>
        <v>Error?</v>
      </c>
      <c r="E7793" s="4" t="s">
        <v>1963</v>
      </c>
    </row>
    <row r="7794" spans="1:5" x14ac:dyDescent="0.2">
      <c r="A7794">
        <v>7733</v>
      </c>
      <c r="B7794" s="138">
        <f>'Expenditures 15-22'!K355</f>
        <v>0</v>
      </c>
      <c r="D7794" s="2" t="str">
        <f t="shared" si="127"/>
        <v>Error?</v>
      </c>
      <c r="E7794" s="4" t="s">
        <v>1963</v>
      </c>
    </row>
    <row r="7795" spans="1:5" x14ac:dyDescent="0.2">
      <c r="A7795">
        <v>7734</v>
      </c>
      <c r="B7795" s="138">
        <f>'Expenditures 15-22'!E138</f>
        <v>0</v>
      </c>
      <c r="D7795" s="2" t="str">
        <f t="shared" si="127"/>
        <v>Error?</v>
      </c>
      <c r="E7795" s="4" t="s">
        <v>1963</v>
      </c>
    </row>
    <row r="7796" spans="1:5" x14ac:dyDescent="0.2">
      <c r="A7796">
        <v>7735</v>
      </c>
      <c r="B7796" s="138">
        <f>'Acct Summary 7-8'!J15</f>
        <v>0</v>
      </c>
      <c r="D7796" s="2" t="str">
        <f t="shared" si="127"/>
        <v>Error?</v>
      </c>
      <c r="E7796" s="4" t="s">
        <v>1963</v>
      </c>
    </row>
    <row r="7797" spans="1:5" x14ac:dyDescent="0.2">
      <c r="A7797">
        <v>7736</v>
      </c>
      <c r="B7797" s="138">
        <f>'Contracts Paid in CY 29'!D39</f>
        <v>335100</v>
      </c>
      <c r="D7797" s="2" t="str">
        <f t="shared" si="127"/>
        <v>Error?</v>
      </c>
      <c r="E7797" s="4" t="s">
        <v>2016</v>
      </c>
    </row>
    <row r="7798" spans="1:5" x14ac:dyDescent="0.2">
      <c r="A7798">
        <v>7737</v>
      </c>
      <c r="B7798" s="138">
        <f>'Contracts Paid in CY 29'!F39</f>
        <v>150000</v>
      </c>
      <c r="D7798" s="2" t="str">
        <f t="shared" si="127"/>
        <v>Error?</v>
      </c>
      <c r="E7798" s="4" t="s">
        <v>2016</v>
      </c>
    </row>
    <row r="7799" spans="1:5" x14ac:dyDescent="0.2">
      <c r="A7799">
        <v>7738</v>
      </c>
      <c r="B7799" s="138">
        <f>'Contracts Paid in CY 29'!G39</f>
        <v>185100</v>
      </c>
      <c r="D7799" s="2" t="str">
        <f t="shared" si="127"/>
        <v>Error?</v>
      </c>
      <c r="E7799" s="4" t="s">
        <v>2016</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4"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topLeftCell="A16" zoomScale="110" zoomScaleNormal="110" workbookViewId="0">
      <selection activeCell="K36" sqref="K36"/>
    </sheetView>
  </sheetViews>
  <sheetFormatPr defaultColWidth="9.140625" defaultRowHeight="12.75" x14ac:dyDescent="0.2"/>
  <cols>
    <col min="1" max="1" width="7.85546875" style="1180" customWidth="1"/>
    <col min="2" max="2" width="2.28515625" style="1176" customWidth="1"/>
    <col min="3" max="3" width="9.140625" style="1180"/>
    <col min="4" max="4" width="13" style="1180" customWidth="1"/>
    <col min="5" max="5" width="16" style="1180" customWidth="1"/>
    <col min="6" max="6" width="4.140625" style="1180" customWidth="1"/>
    <col min="7" max="7" width="3.7109375" style="1180" customWidth="1"/>
    <col min="8" max="8" width="9.7109375" style="1180" customWidth="1"/>
    <col min="9" max="9" width="10.7109375" style="1180" customWidth="1"/>
    <col min="10" max="10" width="5" style="1180" customWidth="1"/>
    <col min="11" max="11" width="6.5703125" style="1180" customWidth="1"/>
    <col min="12" max="12" width="12.85546875" style="1180" customWidth="1"/>
    <col min="13" max="13" width="2.7109375" style="1180" customWidth="1"/>
    <col min="14" max="14" width="13.140625" style="1180" customWidth="1"/>
    <col min="15" max="15" width="7.140625" style="1180" customWidth="1"/>
    <col min="16" max="16" width="7" style="1180" customWidth="1"/>
    <col min="17" max="17" width="9.7109375" style="1180" customWidth="1"/>
    <col min="18" max="19" width="9.85546875" style="1180" customWidth="1"/>
    <col min="20" max="16384" width="9.140625" style="1180"/>
  </cols>
  <sheetData>
    <row r="1" spans="1:29" x14ac:dyDescent="0.2">
      <c r="A1" s="1175"/>
      <c r="C1" s="1175"/>
      <c r="D1" s="1175"/>
      <c r="E1" s="1175"/>
      <c r="F1" s="1177"/>
      <c r="G1" s="1177"/>
      <c r="H1" s="1175"/>
      <c r="I1" s="1175"/>
      <c r="J1" s="1175"/>
      <c r="K1" s="1175"/>
      <c r="L1" s="1178"/>
      <c r="M1" s="1179"/>
    </row>
    <row r="2" spans="1:29" ht="13.5" customHeight="1" x14ac:dyDescent="0.2">
      <c r="A2" s="2407" t="s">
        <v>1252</v>
      </c>
      <c r="B2" s="2407"/>
      <c r="C2" s="2407"/>
      <c r="D2" s="2407"/>
      <c r="E2" s="2407"/>
      <c r="F2" s="2407"/>
      <c r="G2" s="2407"/>
      <c r="H2" s="2407"/>
      <c r="I2" s="2407"/>
      <c r="J2" s="2407"/>
      <c r="K2" s="2407"/>
      <c r="L2" s="2407"/>
    </row>
    <row r="3" spans="1:29" ht="13.5" customHeight="1" x14ac:dyDescent="0.2">
      <c r="A3" s="2438" t="s">
        <v>1251</v>
      </c>
      <c r="B3" s="2438"/>
      <c r="C3" s="2438"/>
      <c r="D3" s="2438"/>
      <c r="E3" s="2438"/>
      <c r="F3" s="2438"/>
      <c r="G3" s="2438"/>
      <c r="H3" s="2438"/>
      <c r="I3" s="2438"/>
      <c r="J3" s="2438"/>
      <c r="K3" s="2438"/>
      <c r="L3" s="2438"/>
    </row>
    <row r="4" spans="1:29" ht="13.5" customHeight="1" x14ac:dyDescent="0.2">
      <c r="A4" s="2407" t="s">
        <v>1798</v>
      </c>
      <c r="B4" s="2428"/>
      <c r="C4" s="2428"/>
      <c r="D4" s="2428"/>
      <c r="E4" s="2428"/>
      <c r="F4" s="2428"/>
      <c r="G4" s="2428"/>
      <c r="H4" s="2428"/>
      <c r="I4" s="2428"/>
      <c r="J4" s="2428"/>
      <c r="K4" s="2428"/>
      <c r="L4" s="2428"/>
    </row>
    <row r="5" spans="1:29" ht="29.85" customHeight="1" x14ac:dyDescent="0.2">
      <c r="A5" s="1181"/>
      <c r="B5" s="1182"/>
      <c r="C5" s="1181"/>
      <c r="D5" s="1181"/>
      <c r="E5" s="1181"/>
      <c r="F5" s="1181"/>
      <c r="G5" s="1181"/>
      <c r="H5" s="1181"/>
      <c r="I5" s="1181"/>
      <c r="J5" s="1181"/>
      <c r="K5" s="1181"/>
      <c r="L5" s="1181"/>
      <c r="V5" s="1183"/>
      <c r="W5" s="1183"/>
      <c r="X5" s="1183"/>
      <c r="Y5" s="1183"/>
      <c r="Z5" s="1183"/>
      <c r="AA5" s="1183"/>
      <c r="AB5" s="1183"/>
      <c r="AC5" s="1183"/>
    </row>
    <row r="6" spans="1:29" ht="13.5" customHeight="1" x14ac:dyDescent="0.2">
      <c r="A6" s="1184" t="s">
        <v>1250</v>
      </c>
      <c r="B6" s="1185"/>
      <c r="C6" s="1186"/>
      <c r="D6" s="1186"/>
      <c r="E6" s="1187" t="s">
        <v>1249</v>
      </c>
      <c r="F6" s="1188"/>
      <c r="G6" s="1189" t="s">
        <v>1248</v>
      </c>
      <c r="H6" s="1186"/>
      <c r="I6" s="1186"/>
      <c r="J6" s="1186"/>
      <c r="K6" s="1186"/>
      <c r="L6" s="1190"/>
      <c r="V6" s="1183"/>
      <c r="W6" s="1183"/>
      <c r="X6" s="1183"/>
      <c r="Y6" s="1183"/>
      <c r="Z6" s="1183"/>
      <c r="AA6" s="1183"/>
      <c r="AB6" s="1183"/>
      <c r="AC6" s="1183"/>
    </row>
    <row r="7" spans="1:29" ht="16.5" customHeight="1" x14ac:dyDescent="0.2">
      <c r="A7" s="2429" t="str">
        <f>COVER!A17</f>
        <v>Jersey CUSD 100</v>
      </c>
      <c r="B7" s="2430"/>
      <c r="C7" s="2430"/>
      <c r="D7" s="2431"/>
      <c r="E7" s="2432">
        <f>COVER!A13</f>
        <v>40042100026</v>
      </c>
      <c r="F7" s="2433"/>
      <c r="G7" s="2439" t="str">
        <f>COVER!T23</f>
        <v>066-005101</v>
      </c>
      <c r="H7" s="2440"/>
      <c r="I7" s="2440"/>
      <c r="J7" s="2440"/>
      <c r="K7" s="2440"/>
      <c r="L7" s="2441"/>
    </row>
    <row r="8" spans="1:29" ht="13.5" customHeight="1" x14ac:dyDescent="0.2">
      <c r="A8" s="1184" t="s">
        <v>1596</v>
      </c>
      <c r="B8" s="1185"/>
      <c r="C8" s="1186"/>
      <c r="D8" s="1186"/>
      <c r="E8" s="1191"/>
      <c r="F8" s="1190"/>
      <c r="G8" s="1192" t="s">
        <v>1247</v>
      </c>
      <c r="H8" s="1193"/>
      <c r="I8" s="1193"/>
      <c r="J8" s="1193"/>
      <c r="K8" s="1193"/>
      <c r="L8" s="1194"/>
    </row>
    <row r="9" spans="1:29" ht="13.5" customHeight="1" x14ac:dyDescent="0.2">
      <c r="A9" s="2442"/>
      <c r="B9" s="2443"/>
      <c r="C9" s="2443"/>
      <c r="D9" s="2443"/>
      <c r="E9" s="2443"/>
      <c r="F9" s="2444"/>
      <c r="G9" s="2413" t="str">
        <f>COVER!T13</f>
        <v>Scheffel Boyle</v>
      </c>
      <c r="H9" s="2445"/>
      <c r="I9" s="2445"/>
      <c r="J9" s="2445"/>
      <c r="K9" s="2445"/>
      <c r="L9" s="2446"/>
    </row>
    <row r="10" spans="1:29" ht="13.5" customHeight="1" x14ac:dyDescent="0.2">
      <c r="A10" s="2419" t="str">
        <f>COVER!A38</f>
        <v>Brad Tuttle</v>
      </c>
      <c r="B10" s="2420"/>
      <c r="C10" s="2420"/>
      <c r="D10" s="2420"/>
      <c r="E10" s="2420"/>
      <c r="F10" s="2421"/>
      <c r="G10" s="2413" t="str">
        <f>COVER!T17</f>
        <v>106 W. County Road</v>
      </c>
      <c r="H10" s="2414"/>
      <c r="I10" s="2414"/>
      <c r="J10" s="2414"/>
      <c r="K10" s="2414"/>
      <c r="L10" s="2415"/>
    </row>
    <row r="11" spans="1:29" ht="13.5" customHeight="1" x14ac:dyDescent="0.2">
      <c r="A11" s="1184" t="s">
        <v>1598</v>
      </c>
      <c r="B11" s="1185"/>
      <c r="C11" s="1186"/>
      <c r="D11" s="1191"/>
      <c r="E11" s="1186"/>
      <c r="F11" s="1190"/>
      <c r="G11" s="2413" t="str">
        <f>COVER!T19</f>
        <v>Jerseyville</v>
      </c>
      <c r="H11" s="2414"/>
      <c r="I11" s="2414"/>
      <c r="J11" s="2414"/>
      <c r="K11" s="2414"/>
      <c r="L11" s="2415"/>
    </row>
    <row r="12" spans="1:29" ht="13.5" customHeight="1" x14ac:dyDescent="0.2">
      <c r="A12" s="2422" t="s">
        <v>1597</v>
      </c>
      <c r="B12" s="2423"/>
      <c r="C12" s="2423"/>
      <c r="D12" s="2423"/>
      <c r="E12" s="2423"/>
      <c r="F12" s="2424"/>
      <c r="G12" s="2416"/>
      <c r="H12" s="2417"/>
      <c r="I12" s="2417"/>
      <c r="J12" s="2417"/>
      <c r="K12" s="2417"/>
      <c r="L12" s="2418"/>
    </row>
    <row r="13" spans="1:29" ht="13.5" customHeight="1" x14ac:dyDescent="0.2">
      <c r="A13" s="2413"/>
      <c r="B13" s="2414"/>
      <c r="C13" s="2414"/>
      <c r="D13" s="2414"/>
      <c r="E13" s="2414"/>
      <c r="F13" s="2415"/>
      <c r="G13" s="2408" t="s">
        <v>1599</v>
      </c>
      <c r="H13" s="2409"/>
      <c r="I13" s="2425" t="str">
        <f>COVER!T25</f>
        <v>danny.phipps@scheffelboyle.com</v>
      </c>
      <c r="J13" s="2426"/>
      <c r="K13" s="2426"/>
      <c r="L13" s="2427"/>
    </row>
    <row r="14" spans="1:29" ht="13.5" customHeight="1" x14ac:dyDescent="0.2">
      <c r="A14" s="2413" t="str">
        <f>COVER!A19</f>
        <v>100 Lincoln Street</v>
      </c>
      <c r="B14" s="2414"/>
      <c r="C14" s="2414"/>
      <c r="D14" s="2414"/>
      <c r="E14" s="2414"/>
      <c r="F14" s="2415"/>
      <c r="G14" s="1195" t="s">
        <v>1246</v>
      </c>
      <c r="H14" s="1193"/>
      <c r="I14" s="1193"/>
      <c r="J14" s="1193"/>
      <c r="K14" s="1193"/>
      <c r="L14" s="1194"/>
    </row>
    <row r="15" spans="1:29" ht="13.5" customHeight="1" x14ac:dyDescent="0.2">
      <c r="A15" s="2413" t="str">
        <f>COVER!A21</f>
        <v>Jerseyville</v>
      </c>
      <c r="B15" s="2414"/>
      <c r="C15" s="2414"/>
      <c r="D15" s="2414"/>
      <c r="E15" s="2414"/>
      <c r="F15" s="2415"/>
      <c r="G15" s="2410" t="str">
        <f>COVER!T15</f>
        <v>Daniel E. Phipps</v>
      </c>
      <c r="H15" s="2411"/>
      <c r="I15" s="2411"/>
      <c r="J15" s="2411"/>
      <c r="K15" s="2411"/>
      <c r="L15" s="2412"/>
    </row>
    <row r="16" spans="1:29" ht="12.2" customHeight="1" x14ac:dyDescent="0.2">
      <c r="A16" s="2435">
        <f>COVER!A25</f>
        <v>62052</v>
      </c>
      <c r="B16" s="2436"/>
      <c r="C16" s="2436"/>
      <c r="D16" s="2436"/>
      <c r="E16" s="2436"/>
      <c r="F16" s="2437"/>
      <c r="G16" s="2447"/>
      <c r="H16" s="2448"/>
      <c r="I16" s="2448"/>
      <c r="J16" s="2448"/>
      <c r="K16" s="2448"/>
      <c r="L16" s="2449"/>
    </row>
    <row r="17" spans="1:13" ht="12.2" customHeight="1" x14ac:dyDescent="0.2">
      <c r="A17" s="2450"/>
      <c r="B17" s="2436"/>
      <c r="C17" s="2436"/>
      <c r="D17" s="2436"/>
      <c r="E17" s="2436"/>
      <c r="F17" s="2437"/>
      <c r="G17" s="1195" t="s">
        <v>1245</v>
      </c>
      <c r="H17" s="1193"/>
      <c r="I17" s="1193"/>
      <c r="J17" s="1193"/>
      <c r="K17" s="1197" t="s">
        <v>1244</v>
      </c>
      <c r="L17" s="1190"/>
      <c r="M17" s="1183"/>
    </row>
    <row r="18" spans="1:13" ht="12.2" customHeight="1" x14ac:dyDescent="0.2">
      <c r="A18" s="2419"/>
      <c r="B18" s="2420"/>
      <c r="C18" s="2420"/>
      <c r="D18" s="2420"/>
      <c r="E18" s="2420"/>
      <c r="F18" s="2421"/>
      <c r="G18" s="2429" t="str">
        <f>COVER!T21</f>
        <v>618-498-6841</v>
      </c>
      <c r="H18" s="2430"/>
      <c r="I18" s="2430"/>
      <c r="J18" s="2430"/>
      <c r="K18" s="2429" t="str">
        <f>COVER!X21</f>
        <v>618-498-6842</v>
      </c>
      <c r="L18" s="2434"/>
    </row>
    <row r="19" spans="1:13" ht="12.2" customHeight="1" x14ac:dyDescent="0.2">
      <c r="A19" s="1198"/>
      <c r="C19" s="1198"/>
      <c r="D19" s="1198"/>
      <c r="E19" s="1198"/>
      <c r="F19" s="1198"/>
      <c r="G19" s="1198"/>
      <c r="H19" s="1198"/>
      <c r="I19" s="1198"/>
      <c r="J19" s="1198"/>
      <c r="K19" s="1198"/>
      <c r="L19" s="1198"/>
    </row>
    <row r="20" spans="1:13" ht="12.2" customHeight="1" x14ac:dyDescent="0.2">
      <c r="A20" s="1198"/>
      <c r="C20" s="1198"/>
      <c r="D20" s="1198"/>
      <c r="E20" s="1198"/>
      <c r="F20" s="1198"/>
      <c r="G20" s="1198"/>
      <c r="H20" s="1198"/>
      <c r="I20" s="1198"/>
      <c r="J20" s="1198" t="s">
        <v>1230</v>
      </c>
      <c r="K20" s="1176" t="s">
        <v>1230</v>
      </c>
    </row>
    <row r="21" spans="1:13" ht="12.2" customHeight="1" x14ac:dyDescent="0.2">
      <c r="A21" s="1199" t="s">
        <v>1799</v>
      </c>
    </row>
    <row r="22" spans="1:13" ht="12.2" customHeight="1" x14ac:dyDescent="0.2">
      <c r="A22" s="1200"/>
    </row>
    <row r="23" spans="1:13" ht="12.2" customHeight="1" x14ac:dyDescent="0.2">
      <c r="A23" s="1200"/>
      <c r="B23" s="1201" t="s">
        <v>2076</v>
      </c>
      <c r="C23" s="1202" t="s">
        <v>1243</v>
      </c>
    </row>
    <row r="24" spans="1:13" ht="10.15" customHeight="1" x14ac:dyDescent="0.2">
      <c r="A24" s="1200"/>
      <c r="C24" s="1202" t="s">
        <v>1242</v>
      </c>
    </row>
    <row r="25" spans="1:13" ht="9" customHeight="1" x14ac:dyDescent="0.2">
      <c r="B25" s="1203" t="s">
        <v>1230</v>
      </c>
      <c r="C25" s="1204"/>
    </row>
    <row r="26" spans="1:13" s="1198" customFormat="1" ht="12.2" customHeight="1" x14ac:dyDescent="0.2">
      <c r="B26" s="1201" t="s">
        <v>2076</v>
      </c>
      <c r="C26" s="1202" t="s">
        <v>1800</v>
      </c>
    </row>
    <row r="27" spans="1:13" s="1198" customFormat="1" ht="9" customHeight="1" x14ac:dyDescent="0.2">
      <c r="B27" s="1203"/>
      <c r="C27" s="1202"/>
    </row>
    <row r="28" spans="1:13" s="1198" customFormat="1" ht="12.2" customHeight="1" x14ac:dyDescent="0.2">
      <c r="A28" s="1205"/>
      <c r="B28" s="1201" t="s">
        <v>2076</v>
      </c>
      <c r="C28" s="1202" t="s">
        <v>1801</v>
      </c>
    </row>
    <row r="29" spans="1:13" s="1198" customFormat="1" ht="9" customHeight="1" x14ac:dyDescent="0.2">
      <c r="A29" s="1205"/>
      <c r="B29" s="1203"/>
      <c r="C29" s="1202"/>
    </row>
    <row r="30" spans="1:13" s="1198" customFormat="1" ht="12.2" customHeight="1" x14ac:dyDescent="0.2">
      <c r="B30" s="1201" t="s">
        <v>2076</v>
      </c>
      <c r="C30" s="1202" t="s">
        <v>1642</v>
      </c>
      <c r="D30" s="1196"/>
      <c r="E30" s="1196"/>
    </row>
    <row r="31" spans="1:13" s="1198" customFormat="1" ht="9" customHeight="1" x14ac:dyDescent="0.2">
      <c r="B31" s="1203"/>
      <c r="C31" s="1202"/>
      <c r="D31" s="1196"/>
      <c r="E31" s="1196"/>
    </row>
    <row r="32" spans="1:13" s="1198" customFormat="1" ht="12.2" customHeight="1" x14ac:dyDescent="0.2">
      <c r="B32" s="1201" t="s">
        <v>2076</v>
      </c>
      <c r="C32" s="1202" t="s">
        <v>1643</v>
      </c>
      <c r="D32" s="1196"/>
      <c r="E32" s="1196"/>
    </row>
    <row r="33" spans="1:8" s="1198" customFormat="1" ht="10.9" customHeight="1" x14ac:dyDescent="0.2">
      <c r="B33" s="1203"/>
      <c r="C33" s="1206" t="s">
        <v>1802</v>
      </c>
      <c r="D33" s="1196"/>
      <c r="E33" s="1196"/>
    </row>
    <row r="34" spans="1:8" ht="9" customHeight="1" x14ac:dyDescent="0.2">
      <c r="B34" s="1203"/>
      <c r="C34" s="1206"/>
    </row>
    <row r="35" spans="1:8" s="1198" customFormat="1" ht="13.5" customHeight="1" x14ac:dyDescent="0.2">
      <c r="B35" s="1201" t="s">
        <v>2076</v>
      </c>
      <c r="C35" s="1202" t="s">
        <v>1644</v>
      </c>
    </row>
    <row r="36" spans="1:8" s="1198" customFormat="1" ht="10.9" customHeight="1" x14ac:dyDescent="0.2">
      <c r="B36" s="1203"/>
      <c r="C36" s="1206" t="s">
        <v>1645</v>
      </c>
    </row>
    <row r="37" spans="1:8" ht="9" customHeight="1" x14ac:dyDescent="0.2">
      <c r="B37" s="1203"/>
      <c r="C37" s="1206"/>
    </row>
    <row r="38" spans="1:8" s="1198" customFormat="1" ht="12.2" customHeight="1" x14ac:dyDescent="0.2">
      <c r="B38" s="1201" t="s">
        <v>2076</v>
      </c>
      <c r="C38" s="1202" t="s">
        <v>1646</v>
      </c>
    </row>
    <row r="39" spans="1:8" ht="9" customHeight="1" x14ac:dyDescent="0.2">
      <c r="B39" s="1203"/>
      <c r="C39" s="1206"/>
    </row>
    <row r="40" spans="1:8" s="1198" customFormat="1" ht="13.5" customHeight="1" x14ac:dyDescent="0.2">
      <c r="B40" s="1201" t="s">
        <v>2076</v>
      </c>
      <c r="C40" s="1202" t="s">
        <v>1647</v>
      </c>
    </row>
    <row r="41" spans="1:8" ht="9" customHeight="1" x14ac:dyDescent="0.2">
      <c r="A41" s="1207"/>
      <c r="B41" s="1203"/>
      <c r="C41" s="1206"/>
    </row>
    <row r="42" spans="1:8" s="1198" customFormat="1" ht="13.5" customHeight="1" x14ac:dyDescent="0.2">
      <c r="B42" s="1201" t="s">
        <v>2076</v>
      </c>
      <c r="C42" s="1202" t="s">
        <v>1943</v>
      </c>
      <c r="D42" s="1196"/>
      <c r="E42" s="1196"/>
      <c r="F42" s="1196"/>
      <c r="G42" s="1196"/>
      <c r="H42" s="1196"/>
    </row>
    <row r="43" spans="1:8" s="1198" customFormat="1" ht="12.95" customHeight="1" x14ac:dyDescent="0.2">
      <c r="B43" s="1203"/>
      <c r="C43" s="1193"/>
      <c r="D43" s="1196"/>
      <c r="E43" s="1196"/>
      <c r="F43" s="1196"/>
      <c r="G43" s="1196"/>
      <c r="H43" s="1196"/>
    </row>
    <row r="44" spans="1:8" s="1198" customFormat="1" ht="13.5" customHeight="1" x14ac:dyDescent="0.2">
      <c r="A44" s="1199" t="s">
        <v>1241</v>
      </c>
      <c r="B44" s="1203"/>
      <c r="D44" s="1196"/>
      <c r="E44" s="1196"/>
      <c r="F44" s="1196"/>
      <c r="G44" s="1196"/>
      <c r="H44" s="1196"/>
    </row>
    <row r="45" spans="1:8" ht="12" customHeight="1" x14ac:dyDescent="0.2">
      <c r="B45" s="1203"/>
      <c r="D45" s="1208"/>
      <c r="E45" s="1208"/>
      <c r="F45" s="1208"/>
      <c r="G45" s="1208"/>
      <c r="H45" s="1208"/>
    </row>
    <row r="46" spans="1:8" s="1198" customFormat="1" ht="12.2" customHeight="1" x14ac:dyDescent="0.2">
      <c r="B46" s="1201"/>
      <c r="C46" s="1209" t="s">
        <v>1648</v>
      </c>
      <c r="D46" s="1196"/>
      <c r="E46" s="1196"/>
      <c r="F46" s="1196"/>
      <c r="G46" s="1196"/>
      <c r="H46" s="1196"/>
    </row>
    <row r="47" spans="1:8" ht="9" customHeight="1" x14ac:dyDescent="0.2"/>
    <row r="48" spans="1:8" ht="12.2" customHeight="1" x14ac:dyDescent="0.2">
      <c r="B48" s="1210"/>
      <c r="C48" s="1211" t="s">
        <v>1649</v>
      </c>
    </row>
    <row r="49" spans="1:12" ht="9" customHeight="1" x14ac:dyDescent="0.2"/>
    <row r="50" spans="1:12" ht="6" customHeight="1" x14ac:dyDescent="0.2">
      <c r="C50" s="1211"/>
    </row>
    <row r="51" spans="1:12" ht="12.2" customHeight="1" x14ac:dyDescent="0.2">
      <c r="A51" s="1213" t="s">
        <v>1803</v>
      </c>
    </row>
    <row r="52" spans="1:12" ht="12.2" customHeight="1" x14ac:dyDescent="0.2">
      <c r="A52" s="1208"/>
    </row>
    <row r="53" spans="1:12" ht="12.2" customHeight="1" x14ac:dyDescent="0.2"/>
    <row r="54" spans="1:12" ht="12.2" customHeight="1" x14ac:dyDescent="0.2"/>
    <row r="55" spans="1:12" ht="12.2" customHeight="1" x14ac:dyDescent="0.2"/>
    <row r="56" spans="1:12" ht="12.2" customHeight="1" x14ac:dyDescent="0.2">
      <c r="A56" s="1212"/>
    </row>
    <row r="59" spans="1:12" ht="12.75" customHeight="1" x14ac:dyDescent="0.2"/>
    <row r="60" spans="1:12" ht="36" customHeight="1" x14ac:dyDescent="0.2">
      <c r="L60" s="1178"/>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oddHeader>&amp;L&amp;8Page 37&amp;R&amp;8Page 37</oddHeader>
    <oddFooter>&amp;LSee Notes to Financial Statements</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topLeftCell="A82" zoomScale="125" zoomScaleNormal="125" workbookViewId="0">
      <selection activeCell="K36" sqref="K36"/>
    </sheetView>
  </sheetViews>
  <sheetFormatPr defaultColWidth="10.7109375" defaultRowHeight="11.25" x14ac:dyDescent="0.2"/>
  <cols>
    <col min="1" max="1" width="1.7109375" style="1217" customWidth="1"/>
    <col min="2" max="2" width="2.7109375" style="1221" customWidth="1"/>
    <col min="3" max="3" width="3.28515625" style="1231" customWidth="1"/>
    <col min="4" max="4" width="97.7109375" style="1221" customWidth="1"/>
    <col min="5" max="5" width="4.140625" style="1221" customWidth="1"/>
    <col min="6" max="16384" width="10.7109375" style="1221"/>
  </cols>
  <sheetData>
    <row r="1" spans="1:11" s="1214" customFormat="1" ht="12.75" x14ac:dyDescent="0.2">
      <c r="A1" s="2451" t="str">
        <f>'Single Audit Cover'!A7</f>
        <v>Jersey CUSD 100</v>
      </c>
      <c r="B1" s="2428"/>
      <c r="C1" s="2428"/>
      <c r="D1" s="2428"/>
    </row>
    <row r="2" spans="1:11" s="1214" customFormat="1" ht="12.75" x14ac:dyDescent="0.2">
      <c r="A2" s="2452">
        <f>'Single Audit Cover'!E7</f>
        <v>40042100026</v>
      </c>
      <c r="B2" s="2453"/>
      <c r="C2" s="2453"/>
      <c r="D2" s="2453"/>
    </row>
    <row r="3" spans="1:11" s="1214" customFormat="1" ht="12.75" x14ac:dyDescent="0.2">
      <c r="A3" s="2451" t="s">
        <v>1592</v>
      </c>
      <c r="B3" s="2428"/>
      <c r="C3" s="2428"/>
      <c r="D3" s="2428"/>
    </row>
    <row r="4" spans="1:11" s="1214" customFormat="1" ht="4.5" customHeight="1" x14ac:dyDescent="0.2">
      <c r="A4" s="1215"/>
      <c r="B4" s="1216"/>
      <c r="C4" s="1216"/>
      <c r="D4" s="1216"/>
    </row>
    <row r="5" spans="1:11" x14ac:dyDescent="0.2">
      <c r="B5" s="1218" t="s">
        <v>1593</v>
      </c>
      <c r="C5" s="1219"/>
      <c r="D5" s="1220"/>
    </row>
    <row r="6" spans="1:11" x14ac:dyDescent="0.2">
      <c r="B6" s="1218" t="s">
        <v>1286</v>
      </c>
      <c r="C6" s="1219"/>
      <c r="D6" s="1220"/>
    </row>
    <row r="7" spans="1:11" x14ac:dyDescent="0.2">
      <c r="B7" s="1218" t="s">
        <v>1594</v>
      </c>
      <c r="C7" s="1219"/>
      <c r="D7" s="1220"/>
    </row>
    <row r="8" spans="1:11" ht="4.5" customHeight="1" x14ac:dyDescent="0.2">
      <c r="B8" s="1218"/>
      <c r="C8" s="1219"/>
      <c r="D8" s="1220"/>
    </row>
    <row r="9" spans="1:11" x14ac:dyDescent="0.2">
      <c r="B9" s="1222" t="s">
        <v>1285</v>
      </c>
      <c r="C9" s="1223"/>
      <c r="D9" s="1220"/>
    </row>
    <row r="10" spans="1:11" ht="4.5" customHeight="1" x14ac:dyDescent="0.2">
      <c r="B10" s="1222"/>
      <c r="C10" s="1223"/>
      <c r="D10" s="1220"/>
    </row>
    <row r="11" spans="1:11" x14ac:dyDescent="0.2">
      <c r="B11" s="1224" t="s">
        <v>2076</v>
      </c>
      <c r="C11" s="1225">
        <v>1</v>
      </c>
      <c r="D11" s="1226" t="s">
        <v>1804</v>
      </c>
      <c r="E11" s="1227"/>
      <c r="F11" s="1227"/>
      <c r="G11" s="1227"/>
      <c r="H11" s="1227"/>
      <c r="I11" s="1227"/>
      <c r="J11" s="1227"/>
      <c r="K11" s="1227"/>
    </row>
    <row r="12" spans="1:11" ht="3" customHeight="1" x14ac:dyDescent="0.2">
      <c r="B12" s="1228"/>
      <c r="C12" s="1225"/>
      <c r="D12" s="1226"/>
      <c r="E12" s="1227"/>
      <c r="F12" s="1227"/>
      <c r="G12" s="1227"/>
      <c r="H12" s="1227"/>
      <c r="I12" s="1227"/>
      <c r="J12" s="1227"/>
      <c r="K12" s="1227"/>
    </row>
    <row r="13" spans="1:11" x14ac:dyDescent="0.2">
      <c r="B13" s="1224" t="s">
        <v>2076</v>
      </c>
      <c r="C13" s="1225">
        <f>C11+1</f>
        <v>2</v>
      </c>
      <c r="D13" s="1229" t="s">
        <v>1805</v>
      </c>
      <c r="E13" s="1227"/>
      <c r="F13" s="1227"/>
      <c r="G13" s="1227"/>
      <c r="H13" s="1227"/>
      <c r="I13" s="1227"/>
      <c r="J13" s="1227"/>
      <c r="K13" s="1227"/>
    </row>
    <row r="14" spans="1:11" ht="3" customHeight="1" x14ac:dyDescent="0.2">
      <c r="B14" s="1228"/>
      <c r="C14" s="1225"/>
      <c r="D14" s="1229"/>
      <c r="E14" s="1227"/>
      <c r="F14" s="1227"/>
      <c r="G14" s="1227"/>
      <c r="H14" s="1227"/>
      <c r="I14" s="1227"/>
      <c r="J14" s="1227"/>
      <c r="K14" s="1227"/>
    </row>
    <row r="15" spans="1:11" x14ac:dyDescent="0.2">
      <c r="B15" s="1224" t="s">
        <v>2076</v>
      </c>
      <c r="C15" s="1225">
        <f>C13+1</f>
        <v>3</v>
      </c>
      <c r="D15" s="1226" t="s">
        <v>1806</v>
      </c>
      <c r="E15" s="1227"/>
      <c r="F15" s="1227"/>
      <c r="G15" s="1227"/>
      <c r="H15" s="1227"/>
      <c r="I15" s="1227"/>
      <c r="J15" s="1227"/>
      <c r="K15" s="1227"/>
    </row>
    <row r="16" spans="1:11" ht="10.5" customHeight="1" x14ac:dyDescent="0.2">
      <c r="B16" s="1230"/>
      <c r="D16" s="1229" t="s">
        <v>1284</v>
      </c>
      <c r="E16" s="1227"/>
      <c r="F16" s="1227"/>
      <c r="G16" s="1227"/>
      <c r="H16" s="1227"/>
      <c r="I16" s="1227"/>
      <c r="J16" s="1227"/>
      <c r="K16" s="1227"/>
    </row>
    <row r="17" spans="1:11" ht="3" customHeight="1" x14ac:dyDescent="0.2">
      <c r="B17" s="1230"/>
      <c r="D17" s="1229"/>
      <c r="E17" s="1227"/>
      <c r="F17" s="1227"/>
      <c r="G17" s="1227"/>
      <c r="H17" s="1227"/>
      <c r="I17" s="1227"/>
      <c r="J17" s="1227"/>
      <c r="K17" s="1227"/>
    </row>
    <row r="18" spans="1:11" x14ac:dyDescent="0.2">
      <c r="B18" s="1224" t="s">
        <v>2076</v>
      </c>
      <c r="C18" s="1225">
        <f>C15+1</f>
        <v>4</v>
      </c>
      <c r="D18" s="1232" t="s">
        <v>1807</v>
      </c>
      <c r="E18" s="1227"/>
      <c r="F18" s="1227"/>
      <c r="G18" s="1227"/>
      <c r="H18" s="1227"/>
      <c r="I18" s="1227"/>
      <c r="J18" s="1227"/>
      <c r="K18" s="1227"/>
    </row>
    <row r="19" spans="1:11" ht="9.75" customHeight="1" x14ac:dyDescent="0.2">
      <c r="A19" s="1221"/>
      <c r="B19" s="1230"/>
      <c r="D19" s="1229" t="s">
        <v>1283</v>
      </c>
      <c r="E19" s="1227"/>
      <c r="F19" s="1227"/>
      <c r="G19" s="1227"/>
      <c r="H19" s="1227"/>
      <c r="I19" s="1227"/>
      <c r="J19" s="1227"/>
      <c r="K19" s="1227"/>
    </row>
    <row r="20" spans="1:11" ht="3" customHeight="1" x14ac:dyDescent="0.2">
      <c r="A20" s="1221"/>
      <c r="B20" s="1230"/>
      <c r="D20" s="1229"/>
      <c r="E20" s="1227"/>
      <c r="F20" s="1227"/>
      <c r="G20" s="1227"/>
      <c r="H20" s="1227"/>
      <c r="I20" s="1227"/>
      <c r="J20" s="1227"/>
      <c r="K20" s="1227"/>
    </row>
    <row r="21" spans="1:11" x14ac:dyDescent="0.2">
      <c r="A21" s="1221"/>
      <c r="B21" s="1224" t="s">
        <v>2076</v>
      </c>
      <c r="C21" s="1225">
        <f>C18+1</f>
        <v>5</v>
      </c>
      <c r="D21" s="1229" t="s">
        <v>1282</v>
      </c>
      <c r="E21" s="1227"/>
      <c r="F21" s="1227"/>
      <c r="G21" s="1227"/>
      <c r="H21" s="1227"/>
      <c r="I21" s="1227"/>
      <c r="J21" s="1227"/>
      <c r="K21" s="1227"/>
    </row>
    <row r="22" spans="1:11" ht="10.5" customHeight="1" x14ac:dyDescent="0.2">
      <c r="A22" s="1221"/>
      <c r="B22" s="1230"/>
      <c r="D22" s="1229" t="s">
        <v>1281</v>
      </c>
      <c r="E22" s="1227"/>
      <c r="F22" s="1227"/>
      <c r="G22" s="1227"/>
      <c r="H22" s="1227"/>
      <c r="I22" s="1227"/>
      <c r="J22" s="1227"/>
      <c r="K22" s="1227"/>
    </row>
    <row r="23" spans="1:11" ht="3" customHeight="1" x14ac:dyDescent="0.2">
      <c r="A23" s="1221"/>
      <c r="B23" s="1230"/>
      <c r="D23" s="1229"/>
      <c r="E23" s="1227"/>
      <c r="F23" s="1227"/>
      <c r="G23" s="1227"/>
      <c r="H23" s="1227"/>
      <c r="I23" s="1227"/>
      <c r="J23" s="1227"/>
      <c r="K23" s="1227"/>
    </row>
    <row r="24" spans="1:11" x14ac:dyDescent="0.2">
      <c r="A24" s="1221"/>
      <c r="B24" s="1224" t="s">
        <v>2076</v>
      </c>
      <c r="C24" s="1225">
        <f>C21+1</f>
        <v>6</v>
      </c>
      <c r="D24" s="1233" t="s">
        <v>1828</v>
      </c>
      <c r="E24" s="1227"/>
      <c r="F24" s="1227"/>
      <c r="G24" s="1227"/>
      <c r="H24" s="1227"/>
      <c r="I24" s="1227"/>
      <c r="J24" s="1227"/>
      <c r="K24" s="1227"/>
    </row>
    <row r="25" spans="1:11" x14ac:dyDescent="0.2">
      <c r="A25" s="1221"/>
      <c r="B25" s="1230"/>
      <c r="D25" s="1229" t="s">
        <v>1808</v>
      </c>
      <c r="E25" s="1227"/>
      <c r="F25" s="1227"/>
      <c r="G25" s="1227"/>
      <c r="H25" s="1227"/>
      <c r="I25" s="1227"/>
      <c r="J25" s="1227"/>
      <c r="K25" s="1227"/>
    </row>
    <row r="26" spans="1:11" x14ac:dyDescent="0.2">
      <c r="A26" s="1221"/>
      <c r="B26" s="1230"/>
      <c r="D26" s="1234" t="s">
        <v>1809</v>
      </c>
      <c r="E26" s="1227"/>
      <c r="F26" s="1227"/>
      <c r="G26" s="1227"/>
      <c r="H26" s="1227"/>
      <c r="I26" s="1227"/>
      <c r="J26" s="1227"/>
      <c r="K26" s="1227"/>
    </row>
    <row r="27" spans="1:11" ht="3" customHeight="1" x14ac:dyDescent="0.2">
      <c r="A27" s="1221"/>
      <c r="B27" s="1230"/>
      <c r="D27" s="1234"/>
      <c r="E27" s="1227"/>
      <c r="F27" s="1227"/>
      <c r="G27" s="1227"/>
      <c r="H27" s="1227"/>
      <c r="I27" s="1227"/>
      <c r="J27" s="1227"/>
      <c r="K27" s="1227"/>
    </row>
    <row r="28" spans="1:11" x14ac:dyDescent="0.2">
      <c r="A28" s="1221"/>
      <c r="B28" s="1224" t="s">
        <v>2076</v>
      </c>
      <c r="C28" s="1231">
        <f>C24+1</f>
        <v>7</v>
      </c>
      <c r="D28" s="1234" t="s">
        <v>1650</v>
      </c>
      <c r="E28" s="1227"/>
      <c r="F28" s="1227"/>
      <c r="G28" s="1227"/>
      <c r="H28" s="1227"/>
      <c r="I28" s="1227"/>
      <c r="J28" s="1227"/>
      <c r="K28" s="1227"/>
    </row>
    <row r="29" spans="1:11" ht="10.5" customHeight="1" x14ac:dyDescent="0.2">
      <c r="A29" s="1221"/>
      <c r="D29" s="1235" t="s">
        <v>1651</v>
      </c>
    </row>
    <row r="30" spans="1:11" ht="6" customHeight="1" x14ac:dyDescent="0.2">
      <c r="A30" s="1221"/>
      <c r="D30" s="1220"/>
    </row>
    <row r="31" spans="1:11" x14ac:dyDescent="0.2">
      <c r="A31" s="1221"/>
      <c r="B31" s="1222" t="s">
        <v>1280</v>
      </c>
      <c r="C31" s="1223"/>
      <c r="D31" s="1220"/>
    </row>
    <row r="32" spans="1:11" ht="4.5" customHeight="1" x14ac:dyDescent="0.2">
      <c r="A32" s="1221"/>
      <c r="B32" s="1222"/>
      <c r="C32" s="1223"/>
      <c r="D32" s="1220"/>
    </row>
    <row r="33" spans="1:5" x14ac:dyDescent="0.2">
      <c r="A33" s="1221"/>
      <c r="B33" s="1224" t="s">
        <v>2076</v>
      </c>
      <c r="C33" s="1225">
        <v>8</v>
      </c>
      <c r="D33" s="1236" t="s">
        <v>1279</v>
      </c>
    </row>
    <row r="34" spans="1:5" ht="10.5" customHeight="1" x14ac:dyDescent="0.2">
      <c r="A34" s="1221"/>
      <c r="B34" s="1237"/>
      <c r="C34" s="1225"/>
      <c r="D34" s="1236" t="s">
        <v>1652</v>
      </c>
    </row>
    <row r="35" spans="1:5" ht="3" customHeight="1" x14ac:dyDescent="0.2">
      <c r="A35" s="1221"/>
      <c r="B35" s="1230"/>
      <c r="D35" s="1220"/>
    </row>
    <row r="36" spans="1:5" x14ac:dyDescent="0.2">
      <c r="A36" s="1221"/>
      <c r="B36" s="1224" t="s">
        <v>2076</v>
      </c>
      <c r="C36" s="1225">
        <f>C33+1</f>
        <v>9</v>
      </c>
      <c r="D36" s="1236" t="s">
        <v>1278</v>
      </c>
    </row>
    <row r="37" spans="1:5" ht="10.5" customHeight="1" x14ac:dyDescent="0.2">
      <c r="A37" s="1221"/>
      <c r="B37" s="1230"/>
      <c r="D37" s="1236" t="s">
        <v>1652</v>
      </c>
    </row>
    <row r="38" spans="1:5" ht="3" customHeight="1" x14ac:dyDescent="0.2">
      <c r="A38" s="1221"/>
      <c r="B38" s="1238"/>
      <c r="C38" s="1239"/>
      <c r="D38" s="1220"/>
    </row>
    <row r="39" spans="1:5" x14ac:dyDescent="0.2">
      <c r="A39" s="1221"/>
      <c r="B39" s="1240" t="s">
        <v>2280</v>
      </c>
      <c r="C39" s="1231">
        <f>C36+1</f>
        <v>10</v>
      </c>
      <c r="D39" s="1220" t="s">
        <v>1277</v>
      </c>
    </row>
    <row r="40" spans="1:5" ht="10.5" customHeight="1" x14ac:dyDescent="0.2">
      <c r="A40" s="1221"/>
      <c r="B40" s="1241"/>
      <c r="C40" s="1239"/>
      <c r="D40" s="1220" t="s">
        <v>1653</v>
      </c>
    </row>
    <row r="41" spans="1:5" ht="3" customHeight="1" x14ac:dyDescent="0.2">
      <c r="A41" s="1221"/>
      <c r="B41" s="1238"/>
      <c r="C41" s="1239"/>
      <c r="D41" s="1220"/>
    </row>
    <row r="42" spans="1:5" ht="10.5" customHeight="1" x14ac:dyDescent="0.2">
      <c r="A42" s="1221"/>
      <c r="B42" s="1240" t="s">
        <v>2076</v>
      </c>
      <c r="C42" s="1231">
        <v>11</v>
      </c>
      <c r="D42" s="1242" t="s">
        <v>1654</v>
      </c>
      <c r="E42" s="312"/>
    </row>
    <row r="43" spans="1:5" ht="3" customHeight="1" x14ac:dyDescent="0.2">
      <c r="A43" s="1221"/>
      <c r="B43" s="1238"/>
      <c r="C43" s="1239"/>
      <c r="D43" s="1220"/>
    </row>
    <row r="44" spans="1:5" x14ac:dyDescent="0.2">
      <c r="A44" s="1221"/>
      <c r="B44" s="1224" t="s">
        <v>2076</v>
      </c>
      <c r="C44" s="1225">
        <f>C42+1</f>
        <v>12</v>
      </c>
      <c r="D44" s="1236" t="s">
        <v>1276</v>
      </c>
    </row>
    <row r="45" spans="1:5" ht="10.5" customHeight="1" x14ac:dyDescent="0.2">
      <c r="A45" s="1221"/>
      <c r="B45" s="1237"/>
      <c r="C45" s="1225"/>
      <c r="D45" s="1236" t="s">
        <v>1275</v>
      </c>
    </row>
    <row r="46" spans="1:5" ht="10.5" customHeight="1" x14ac:dyDescent="0.2">
      <c r="A46" s="1221"/>
      <c r="B46" s="1238"/>
      <c r="C46" s="1239"/>
      <c r="D46" s="1236" t="s">
        <v>1274</v>
      </c>
    </row>
    <row r="47" spans="1:5" ht="3" customHeight="1" x14ac:dyDescent="0.2">
      <c r="A47" s="1221"/>
      <c r="B47" s="1238"/>
      <c r="C47" s="1239"/>
      <c r="D47" s="1236"/>
    </row>
    <row r="48" spans="1:5" x14ac:dyDescent="0.2">
      <c r="A48" s="1221"/>
      <c r="B48" s="1224" t="s">
        <v>2076</v>
      </c>
      <c r="C48" s="1225">
        <f>C44+1</f>
        <v>13</v>
      </c>
      <c r="D48" s="1236" t="s">
        <v>1655</v>
      </c>
    </row>
    <row r="49" spans="1:4" ht="3" customHeight="1" x14ac:dyDescent="0.2">
      <c r="A49" s="1221"/>
      <c r="B49" s="1228"/>
      <c r="C49" s="1225"/>
      <c r="D49" s="1236"/>
    </row>
    <row r="50" spans="1:4" x14ac:dyDescent="0.2">
      <c r="A50" s="1221"/>
      <c r="B50" s="1224" t="s">
        <v>2076</v>
      </c>
      <c r="C50" s="1225">
        <f>C48+1</f>
        <v>14</v>
      </c>
      <c r="D50" s="1236" t="s">
        <v>1273</v>
      </c>
    </row>
    <row r="51" spans="1:4" ht="3" customHeight="1" x14ac:dyDescent="0.2">
      <c r="A51" s="1221"/>
      <c r="B51" s="1228"/>
      <c r="C51" s="1225"/>
      <c r="D51" s="1236"/>
    </row>
    <row r="52" spans="1:4" x14ac:dyDescent="0.2">
      <c r="A52" s="1221"/>
      <c r="B52" s="1224" t="s">
        <v>2076</v>
      </c>
      <c r="C52" s="1225">
        <f>C50+1</f>
        <v>15</v>
      </c>
      <c r="D52" s="1236" t="s">
        <v>1272</v>
      </c>
    </row>
    <row r="53" spans="1:4" ht="3" customHeight="1" x14ac:dyDescent="0.2">
      <c r="A53" s="1221"/>
      <c r="B53" s="1228"/>
      <c r="C53" s="1225"/>
      <c r="D53" s="1236"/>
    </row>
    <row r="54" spans="1:4" x14ac:dyDescent="0.2">
      <c r="A54" s="1221"/>
      <c r="B54" s="1224" t="s">
        <v>2076</v>
      </c>
      <c r="C54" s="1225">
        <f>C52+1</f>
        <v>16</v>
      </c>
      <c r="D54" s="1236" t="s">
        <v>1271</v>
      </c>
    </row>
    <row r="55" spans="1:4" ht="3" customHeight="1" x14ac:dyDescent="0.2">
      <c r="A55" s="1221"/>
      <c r="B55" s="1228"/>
      <c r="C55" s="1225"/>
      <c r="D55" s="1236"/>
    </row>
    <row r="56" spans="1:4" x14ac:dyDescent="0.2">
      <c r="A56" s="1221"/>
      <c r="B56" s="1224" t="s">
        <v>2076</v>
      </c>
      <c r="C56" s="1225">
        <f>C54+1</f>
        <v>17</v>
      </c>
      <c r="D56" s="1220" t="s">
        <v>1810</v>
      </c>
    </row>
    <row r="57" spans="1:4" ht="10.5" customHeight="1" x14ac:dyDescent="0.2">
      <c r="A57" s="1221"/>
      <c r="D57" s="1236" t="s">
        <v>1811</v>
      </c>
    </row>
    <row r="58" spans="1:4" x14ac:dyDescent="0.2">
      <c r="A58" s="1221"/>
      <c r="C58" s="1243" t="s">
        <v>2280</v>
      </c>
      <c r="D58" s="1236" t="s">
        <v>1812</v>
      </c>
    </row>
    <row r="59" spans="1:4" ht="10.5" customHeight="1" x14ac:dyDescent="0.2">
      <c r="A59" s="1221"/>
      <c r="D59" s="1220" t="s">
        <v>1270</v>
      </c>
    </row>
    <row r="60" spans="1:4" ht="10.5" customHeight="1" x14ac:dyDescent="0.2">
      <c r="A60" s="1221"/>
      <c r="D60" s="1244" t="s">
        <v>1680</v>
      </c>
    </row>
    <row r="61" spans="1:4" ht="10.5" customHeight="1" x14ac:dyDescent="0.2">
      <c r="A61" s="1221"/>
      <c r="C61" s="1243" t="s">
        <v>2280</v>
      </c>
      <c r="D61" s="1236" t="s">
        <v>1813</v>
      </c>
    </row>
    <row r="62" spans="1:4" ht="10.5" customHeight="1" x14ac:dyDescent="0.2">
      <c r="A62" s="1221"/>
      <c r="D62" s="1245" t="s">
        <v>1269</v>
      </c>
    </row>
    <row r="63" spans="1:4" ht="10.5" customHeight="1" x14ac:dyDescent="0.2">
      <c r="A63" s="1221"/>
      <c r="D63" s="1220" t="s">
        <v>1656</v>
      </c>
    </row>
    <row r="64" spans="1:4" ht="10.5" customHeight="1" x14ac:dyDescent="0.2">
      <c r="A64" s="1221"/>
      <c r="D64" s="1244" t="s">
        <v>1679</v>
      </c>
    </row>
    <row r="65" spans="1:4" x14ac:dyDescent="0.2">
      <c r="A65" s="1221"/>
      <c r="C65" s="1243" t="s">
        <v>2076</v>
      </c>
      <c r="D65" s="1236" t="s">
        <v>1814</v>
      </c>
    </row>
    <row r="66" spans="1:4" ht="10.5" customHeight="1" x14ac:dyDescent="0.2">
      <c r="A66" s="1221"/>
      <c r="D66" s="1246" t="s">
        <v>1268</v>
      </c>
    </row>
    <row r="67" spans="1:4" ht="10.5" customHeight="1" x14ac:dyDescent="0.2">
      <c r="A67" s="1221"/>
      <c r="D67" s="1220" t="s">
        <v>1657</v>
      </c>
    </row>
    <row r="68" spans="1:4" ht="10.5" customHeight="1" x14ac:dyDescent="0.2">
      <c r="A68" s="1221"/>
      <c r="D68" s="1244" t="s">
        <v>1679</v>
      </c>
    </row>
    <row r="69" spans="1:4" ht="10.5" customHeight="1" x14ac:dyDescent="0.2">
      <c r="A69" s="1221"/>
      <c r="C69" s="1243" t="s">
        <v>2280</v>
      </c>
      <c r="D69" s="1236" t="s">
        <v>1815</v>
      </c>
    </row>
    <row r="70" spans="1:4" x14ac:dyDescent="0.2">
      <c r="A70" s="1221"/>
      <c r="D70" s="1245" t="s">
        <v>1267</v>
      </c>
    </row>
    <row r="71" spans="1:4" ht="3" customHeight="1" x14ac:dyDescent="0.2">
      <c r="A71" s="1221"/>
      <c r="D71" s="1220"/>
    </row>
    <row r="72" spans="1:4" x14ac:dyDescent="0.2">
      <c r="A72" s="1221"/>
      <c r="B72" s="1224" t="s">
        <v>2076</v>
      </c>
      <c r="C72" s="1225">
        <f>C56+1</f>
        <v>18</v>
      </c>
      <c r="D72" s="1246" t="s">
        <v>1816</v>
      </c>
    </row>
    <row r="73" spans="1:4" ht="3" customHeight="1" x14ac:dyDescent="0.2">
      <c r="A73" s="1221"/>
      <c r="B73" s="1228"/>
      <c r="C73" s="1225"/>
      <c r="D73" s="1246"/>
    </row>
    <row r="74" spans="1:4" x14ac:dyDescent="0.2">
      <c r="A74" s="1221"/>
      <c r="B74" s="1224" t="s">
        <v>2076</v>
      </c>
      <c r="C74" s="1225">
        <f>C72+1</f>
        <v>19</v>
      </c>
      <c r="D74" s="1236" t="s">
        <v>1266</v>
      </c>
    </row>
    <row r="75" spans="1:4" ht="3" customHeight="1" x14ac:dyDescent="0.2">
      <c r="A75" s="1221"/>
      <c r="B75" s="1228"/>
      <c r="C75" s="1225"/>
      <c r="D75" s="1236"/>
    </row>
    <row r="76" spans="1:4" x14ac:dyDescent="0.2">
      <c r="A76" s="1221"/>
      <c r="B76" s="1224" t="s">
        <v>2076</v>
      </c>
      <c r="C76" s="1225">
        <f>C74+1</f>
        <v>20</v>
      </c>
      <c r="D76" s="1247" t="s">
        <v>1817</v>
      </c>
    </row>
    <row r="77" spans="1:4" ht="3" customHeight="1" x14ac:dyDescent="0.2">
      <c r="A77" s="1221"/>
      <c r="B77" s="1228"/>
      <c r="C77" s="1225"/>
      <c r="D77" s="1247"/>
    </row>
    <row r="78" spans="1:4" x14ac:dyDescent="0.2">
      <c r="A78" s="1221"/>
      <c r="B78" s="1224" t="s">
        <v>2076</v>
      </c>
      <c r="C78" s="1225">
        <f>C76+1</f>
        <v>21</v>
      </c>
      <c r="D78" s="1220" t="s">
        <v>1818</v>
      </c>
    </row>
    <row r="79" spans="1:4" ht="3" customHeight="1" x14ac:dyDescent="0.2">
      <c r="A79" s="1221"/>
      <c r="B79" s="1228"/>
      <c r="C79" s="1225"/>
      <c r="D79" s="1220"/>
    </row>
    <row r="80" spans="1:4" x14ac:dyDescent="0.2">
      <c r="A80" s="1221"/>
      <c r="B80" s="1224" t="s">
        <v>2076</v>
      </c>
      <c r="C80" s="1225">
        <f>C78+1</f>
        <v>22</v>
      </c>
      <c r="D80" s="1248" t="s">
        <v>1819</v>
      </c>
    </row>
    <row r="81" spans="1:4" ht="3" customHeight="1" x14ac:dyDescent="0.2">
      <c r="A81" s="1221"/>
      <c r="B81" s="1228"/>
      <c r="C81" s="1225"/>
      <c r="D81" s="1248"/>
    </row>
    <row r="82" spans="1:4" x14ac:dyDescent="0.2">
      <c r="A82" s="1221"/>
      <c r="B82" s="1224" t="s">
        <v>2076</v>
      </c>
      <c r="C82" s="1225">
        <f>C80+1</f>
        <v>23</v>
      </c>
      <c r="D82" s="1247" t="s">
        <v>1820</v>
      </c>
    </row>
    <row r="83" spans="1:4" ht="10.5" customHeight="1" x14ac:dyDescent="0.2">
      <c r="A83" s="1221"/>
      <c r="B83" s="1230"/>
      <c r="D83" s="1236" t="s">
        <v>1265</v>
      </c>
    </row>
    <row r="84" spans="1:4" ht="3" customHeight="1" x14ac:dyDescent="0.2">
      <c r="A84" s="1221"/>
      <c r="B84" s="1230"/>
      <c r="D84" s="1236"/>
    </row>
    <row r="85" spans="1:4" x14ac:dyDescent="0.2">
      <c r="A85" s="1221"/>
      <c r="B85" s="1224" t="s">
        <v>2076</v>
      </c>
      <c r="C85" s="1225">
        <f>C82+1</f>
        <v>24</v>
      </c>
      <c r="D85" s="1236" t="s">
        <v>1264</v>
      </c>
    </row>
    <row r="86" spans="1:4" ht="3" customHeight="1" x14ac:dyDescent="0.2">
      <c r="A86" s="1221"/>
      <c r="B86" s="1228"/>
      <c r="C86" s="1225"/>
      <c r="D86" s="1236"/>
    </row>
    <row r="87" spans="1:4" x14ac:dyDescent="0.2">
      <c r="A87" s="1221"/>
      <c r="B87" s="1224" t="s">
        <v>2076</v>
      </c>
      <c r="C87" s="1225">
        <f>C85+1</f>
        <v>25</v>
      </c>
      <c r="D87" s="1236" t="s">
        <v>1263</v>
      </c>
    </row>
    <row r="88" spans="1:4" ht="3" customHeight="1" x14ac:dyDescent="0.2">
      <c r="A88" s="1221"/>
      <c r="B88" s="1228"/>
      <c r="C88" s="1225"/>
      <c r="D88" s="1236"/>
    </row>
    <row r="89" spans="1:4" x14ac:dyDescent="0.2">
      <c r="A89" s="1221"/>
      <c r="B89" s="1224" t="s">
        <v>2076</v>
      </c>
      <c r="C89" s="1225">
        <f>C87+1</f>
        <v>26</v>
      </c>
      <c r="D89" s="1236" t="s">
        <v>1262</v>
      </c>
    </row>
    <row r="90" spans="1:4" ht="3" customHeight="1" x14ac:dyDescent="0.2">
      <c r="A90" s="1221"/>
      <c r="B90" s="1228"/>
      <c r="C90" s="1225"/>
      <c r="D90" s="1236"/>
    </row>
    <row r="91" spans="1:4" x14ac:dyDescent="0.2">
      <c r="A91" s="1221"/>
      <c r="B91" s="1224" t="s">
        <v>2076</v>
      </c>
      <c r="C91" s="1225">
        <f>C89+1</f>
        <v>27</v>
      </c>
      <c r="D91" s="1236" t="s">
        <v>1821</v>
      </c>
    </row>
    <row r="92" spans="1:4" x14ac:dyDescent="0.2">
      <c r="A92" s="1221"/>
      <c r="B92" s="1249"/>
      <c r="C92" s="1243" t="s">
        <v>2280</v>
      </c>
      <c r="D92" s="1236" t="s">
        <v>1261</v>
      </c>
    </row>
    <row r="93" spans="1:4" ht="4.5" customHeight="1" x14ac:dyDescent="0.2">
      <c r="A93" s="1221"/>
      <c r="D93" s="1220"/>
    </row>
    <row r="94" spans="1:4" x14ac:dyDescent="0.2">
      <c r="A94" s="1221"/>
      <c r="B94" s="1222" t="s">
        <v>1658</v>
      </c>
      <c r="C94" s="1223"/>
      <c r="D94" s="1220"/>
    </row>
    <row r="95" spans="1:4" ht="4.5" customHeight="1" x14ac:dyDescent="0.2">
      <c r="A95" s="1221"/>
      <c r="B95" s="1222"/>
      <c r="C95" s="1223"/>
      <c r="D95" s="1220"/>
    </row>
    <row r="96" spans="1:4" x14ac:dyDescent="0.2">
      <c r="A96" s="1221"/>
      <c r="B96" s="1224" t="s">
        <v>2076</v>
      </c>
      <c r="C96" s="1225">
        <f>C91+1</f>
        <v>28</v>
      </c>
      <c r="D96" s="1236" t="s">
        <v>1822</v>
      </c>
    </row>
    <row r="97" spans="1:4" ht="3" customHeight="1" x14ac:dyDescent="0.2">
      <c r="A97" s="1221"/>
      <c r="B97" s="1228"/>
      <c r="C97" s="1225"/>
      <c r="D97" s="1236"/>
    </row>
    <row r="98" spans="1:4" x14ac:dyDescent="0.2">
      <c r="A98" s="1221"/>
      <c r="B98" s="1224" t="s">
        <v>2076</v>
      </c>
      <c r="C98" s="1225">
        <f>C96+1</f>
        <v>29</v>
      </c>
      <c r="D98" s="1250" t="s">
        <v>1823</v>
      </c>
    </row>
    <row r="99" spans="1:4" ht="3" customHeight="1" x14ac:dyDescent="0.2">
      <c r="A99" s="1221"/>
      <c r="B99" s="1228"/>
      <c r="C99" s="1225"/>
      <c r="D99" s="1250"/>
    </row>
    <row r="100" spans="1:4" x14ac:dyDescent="0.2">
      <c r="A100" s="1221"/>
      <c r="B100" s="1224" t="s">
        <v>2076</v>
      </c>
      <c r="C100" s="1225">
        <f>C98+1</f>
        <v>30</v>
      </c>
      <c r="D100" s="1236" t="s">
        <v>1824</v>
      </c>
    </row>
    <row r="101" spans="1:4" ht="3" customHeight="1" x14ac:dyDescent="0.2">
      <c r="A101" s="1221"/>
      <c r="B101" s="1228"/>
      <c r="C101" s="1225"/>
      <c r="D101" s="1251"/>
    </row>
    <row r="102" spans="1:4" x14ac:dyDescent="0.2">
      <c r="A102" s="1221"/>
      <c r="B102" s="1224" t="s">
        <v>2076</v>
      </c>
      <c r="C102" s="1225">
        <f>C100+1</f>
        <v>31</v>
      </c>
      <c r="D102" s="1236" t="s">
        <v>1659</v>
      </c>
    </row>
    <row r="103" spans="1:4" ht="4.5" customHeight="1" x14ac:dyDescent="0.2">
      <c r="A103" s="1221"/>
      <c r="B103" s="312"/>
      <c r="C103" s="1225"/>
      <c r="D103" s="1236"/>
    </row>
    <row r="104" spans="1:4" ht="14.1" customHeight="1" x14ac:dyDescent="0.2">
      <c r="A104" s="1221"/>
      <c r="B104" s="1252" t="s">
        <v>1260</v>
      </c>
    </row>
    <row r="105" spans="1:4" ht="4.5" customHeight="1" x14ac:dyDescent="0.2">
      <c r="A105" s="1221"/>
      <c r="B105" s="1252"/>
    </row>
    <row r="106" spans="1:4" x14ac:dyDescent="0.2">
      <c r="A106" s="1221"/>
      <c r="B106" s="1224" t="s">
        <v>2076</v>
      </c>
      <c r="C106" s="1225">
        <f>C102+1</f>
        <v>32</v>
      </c>
      <c r="D106" s="1220" t="s">
        <v>1660</v>
      </c>
    </row>
    <row r="107" spans="1:4" ht="3" customHeight="1" x14ac:dyDescent="0.2">
      <c r="A107" s="1221"/>
      <c r="B107" s="1228"/>
      <c r="C107" s="1225"/>
      <c r="D107" s="1220"/>
    </row>
    <row r="108" spans="1:4" x14ac:dyDescent="0.2">
      <c r="A108" s="1221"/>
      <c r="B108" s="1224" t="s">
        <v>2076</v>
      </c>
      <c r="C108" s="1225">
        <v>33</v>
      </c>
      <c r="D108" s="1220" t="s">
        <v>1825</v>
      </c>
    </row>
    <row r="109" spans="1:4" ht="3" customHeight="1" x14ac:dyDescent="0.2">
      <c r="A109" s="1221"/>
      <c r="B109" s="1228"/>
      <c r="C109" s="1225"/>
      <c r="D109" s="1220"/>
    </row>
    <row r="110" spans="1:4" x14ac:dyDescent="0.2">
      <c r="A110" s="1221"/>
      <c r="B110" s="1224" t="s">
        <v>2076</v>
      </c>
      <c r="C110" s="1225">
        <f>C108+1</f>
        <v>34</v>
      </c>
      <c r="D110" s="1220" t="s">
        <v>1259</v>
      </c>
    </row>
    <row r="111" spans="1:4" ht="3" customHeight="1" x14ac:dyDescent="0.2">
      <c r="A111" s="1221"/>
      <c r="B111" s="1228"/>
      <c r="C111" s="1225"/>
      <c r="D111" s="1220"/>
    </row>
    <row r="112" spans="1:4" x14ac:dyDescent="0.2">
      <c r="A112" s="1221"/>
      <c r="B112" s="1224" t="s">
        <v>2076</v>
      </c>
      <c r="C112" s="1225">
        <f>C110+1</f>
        <v>35</v>
      </c>
      <c r="D112" s="1220" t="s">
        <v>1258</v>
      </c>
    </row>
    <row r="113" spans="1:4" ht="11.25" customHeight="1" x14ac:dyDescent="0.2">
      <c r="A113" s="1221"/>
      <c r="B113" s="1253"/>
      <c r="C113" s="1225"/>
      <c r="D113" s="1254" t="s">
        <v>1257</v>
      </c>
    </row>
    <row r="114" spans="1:4" ht="3" customHeight="1" x14ac:dyDescent="0.2">
      <c r="A114" s="1221"/>
      <c r="B114" s="1255"/>
      <c r="C114" s="1225"/>
      <c r="D114" s="1254"/>
    </row>
    <row r="115" spans="1:4" x14ac:dyDescent="0.2">
      <c r="A115" s="1221"/>
      <c r="B115" s="1224" t="s">
        <v>2076</v>
      </c>
      <c r="C115" s="1225">
        <f>C112+1</f>
        <v>36</v>
      </c>
      <c r="D115" s="1236" t="s">
        <v>1256</v>
      </c>
    </row>
    <row r="116" spans="1:4" ht="3" customHeight="1" x14ac:dyDescent="0.2">
      <c r="A116" s="1221"/>
      <c r="B116" s="1228"/>
      <c r="C116" s="1225"/>
      <c r="D116" s="1236"/>
    </row>
    <row r="117" spans="1:4" x14ac:dyDescent="0.2">
      <c r="A117" s="1221"/>
      <c r="B117" s="1224" t="s">
        <v>2076</v>
      </c>
      <c r="C117" s="1225">
        <f>C115+1</f>
        <v>37</v>
      </c>
      <c r="D117" s="1236" t="s">
        <v>1826</v>
      </c>
    </row>
    <row r="118" spans="1:4" ht="3" customHeight="1" x14ac:dyDescent="0.2">
      <c r="A118" s="1221"/>
      <c r="B118" s="1228"/>
      <c r="C118" s="1225"/>
      <c r="D118" s="1236"/>
    </row>
    <row r="119" spans="1:4" x14ac:dyDescent="0.2">
      <c r="A119" s="1221"/>
      <c r="B119" s="1224" t="s">
        <v>2280</v>
      </c>
      <c r="C119" s="1225">
        <f>C117+1</f>
        <v>38</v>
      </c>
      <c r="D119" s="1236" t="s">
        <v>1827</v>
      </c>
    </row>
    <row r="120" spans="1:4" ht="10.5" customHeight="1" x14ac:dyDescent="0.2">
      <c r="A120" s="1221"/>
      <c r="B120" s="1249"/>
      <c r="C120" s="1225"/>
      <c r="D120" s="1236" t="s">
        <v>1255</v>
      </c>
    </row>
    <row r="121" spans="1:4" ht="10.5" customHeight="1" x14ac:dyDescent="0.2">
      <c r="A121" s="1221"/>
      <c r="B121" s="1249"/>
      <c r="C121" s="1225"/>
      <c r="D121" s="1236" t="s">
        <v>1254</v>
      </c>
    </row>
    <row r="122" spans="1:4" ht="3" customHeight="1" x14ac:dyDescent="0.2">
      <c r="A122" s="1221"/>
      <c r="B122" s="1249"/>
      <c r="C122" s="1225"/>
      <c r="D122" s="1236"/>
    </row>
    <row r="123" spans="1:4" x14ac:dyDescent="0.2">
      <c r="A123" s="1221"/>
      <c r="B123" s="1224" t="s">
        <v>2076</v>
      </c>
      <c r="C123" s="1225">
        <f>C119+1</f>
        <v>39</v>
      </c>
      <c r="D123" s="1246" t="s">
        <v>1944</v>
      </c>
    </row>
    <row r="124" spans="1:4" x14ac:dyDescent="0.2">
      <c r="A124" s="1221"/>
      <c r="B124" s="312"/>
      <c r="C124" s="1225"/>
      <c r="D124" s="1236" t="s">
        <v>1253</v>
      </c>
    </row>
    <row r="125" spans="1:4" ht="4.5" customHeight="1" x14ac:dyDescent="0.2">
      <c r="A125" s="1221"/>
      <c r="D125" s="1220"/>
    </row>
    <row r="126" spans="1:4" x14ac:dyDescent="0.2">
      <c r="A126" s="1221"/>
      <c r="B126" s="1256"/>
      <c r="C126" s="1225"/>
      <c r="D126" s="1236"/>
    </row>
    <row r="127" spans="1:4" x14ac:dyDescent="0.2">
      <c r="A127" s="1221"/>
      <c r="D127" s="1236"/>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9" firstPageNumber="36" fitToHeight="0" orientation="portrait" useFirstPageNumber="1" r:id="rId5"/>
  <headerFooter>
    <oddHeader>&amp;L&amp;8Page 38&amp;R&amp;8Page 38</oddHeader>
    <oddFooter>&amp;LSee Notes to Financial Statements</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activeCell="D19" sqref="D19"/>
    </sheetView>
  </sheetViews>
  <sheetFormatPr defaultColWidth="15.7109375" defaultRowHeight="12.75" x14ac:dyDescent="0.2"/>
  <cols>
    <col min="1" max="1" width="31.85546875" style="317" customWidth="1"/>
    <col min="2" max="2" width="29.5703125" style="1257" customWidth="1"/>
    <col min="3" max="3" width="1.28515625" style="1257" customWidth="1"/>
    <col min="4" max="4" width="24.42578125" style="1258" customWidth="1"/>
    <col min="5" max="5" width="5" style="317" customWidth="1"/>
    <col min="6" max="16384" width="15.7109375" style="317"/>
  </cols>
  <sheetData>
    <row r="1" spans="1:5" x14ac:dyDescent="0.2">
      <c r="A1" s="2455" t="str">
        <f>'Single Audit Cover'!A7</f>
        <v>Jersey CUSD 100</v>
      </c>
      <c r="B1" s="2455"/>
      <c r="C1" s="2455"/>
      <c r="D1" s="2455"/>
      <c r="E1" s="2455"/>
    </row>
    <row r="2" spans="1:5" x14ac:dyDescent="0.2">
      <c r="A2" s="2456">
        <f>'Single Audit Cover'!E7</f>
        <v>40042100026</v>
      </c>
      <c r="B2" s="2456"/>
      <c r="C2" s="2456"/>
      <c r="D2" s="2456"/>
      <c r="E2" s="2456"/>
    </row>
    <row r="3" spans="1:5" ht="4.5" customHeight="1" x14ac:dyDescent="0.2"/>
    <row r="4" spans="1:5" x14ac:dyDescent="0.2">
      <c r="A4" s="2455" t="s">
        <v>1306</v>
      </c>
      <c r="B4" s="2455"/>
      <c r="C4" s="2455"/>
      <c r="D4" s="2455"/>
      <c r="E4" s="2455"/>
    </row>
    <row r="5" spans="1:5" x14ac:dyDescent="0.2">
      <c r="A5" s="2458" t="str">
        <f>'Single Audit Cover'!A4</f>
        <v>Year Ending June 30, 2018</v>
      </c>
      <c r="B5" s="2458"/>
      <c r="C5" s="2458"/>
      <c r="D5" s="2458"/>
      <c r="E5" s="2458"/>
    </row>
    <row r="6" spans="1:5" x14ac:dyDescent="0.2">
      <c r="A6" s="2455" t="s">
        <v>1305</v>
      </c>
      <c r="B6" s="2455"/>
      <c r="C6" s="2455"/>
      <c r="D6" s="2455"/>
      <c r="E6" s="2455"/>
    </row>
    <row r="8" spans="1:5" x14ac:dyDescent="0.2">
      <c r="A8" s="1259" t="s">
        <v>1304</v>
      </c>
    </row>
    <row r="10" spans="1:5" x14ac:dyDescent="0.2">
      <c r="A10" s="1260" t="s">
        <v>1303</v>
      </c>
      <c r="B10" s="1261" t="s">
        <v>1302</v>
      </c>
      <c r="C10" s="1261"/>
      <c r="D10" s="1262">
        <f>SUM('Acct Summary 7-8'!C7:K7)</f>
        <v>1776723</v>
      </c>
    </row>
    <row r="11" spans="1:5" ht="18" customHeight="1" x14ac:dyDescent="0.2">
      <c r="A11" s="1260" t="s">
        <v>1301</v>
      </c>
      <c r="B11" s="1261"/>
      <c r="C11" s="1261"/>
    </row>
    <row r="12" spans="1:5" x14ac:dyDescent="0.2">
      <c r="A12" s="1260" t="s">
        <v>1300</v>
      </c>
      <c r="B12" s="1261" t="s">
        <v>1299</v>
      </c>
      <c r="C12" s="1261"/>
      <c r="D12" s="1263">
        <f>SUM('Revenues 9-14'!C112:D112,'Revenues 9-14'!F112:G112)</f>
        <v>0</v>
      </c>
    </row>
    <row r="13" spans="1:5" x14ac:dyDescent="0.2">
      <c r="A13" s="1260" t="s">
        <v>1298</v>
      </c>
      <c r="B13" s="1261"/>
      <c r="C13" s="1261"/>
    </row>
    <row r="14" spans="1:5" x14ac:dyDescent="0.2">
      <c r="A14" s="1260" t="s">
        <v>1829</v>
      </c>
      <c r="B14" s="1261"/>
      <c r="C14" s="1261"/>
      <c r="D14" s="1263">
        <f>'ICR Computation 30'!E11</f>
        <v>87123</v>
      </c>
    </row>
    <row r="15" spans="1:5" x14ac:dyDescent="0.2">
      <c r="A15" s="1260"/>
      <c r="B15" s="1261"/>
      <c r="C15" s="1261"/>
    </row>
    <row r="16" spans="1:5" x14ac:dyDescent="0.2">
      <c r="A16" s="1260" t="s">
        <v>1952</v>
      </c>
      <c r="B16" s="1261"/>
      <c r="C16" s="1261"/>
    </row>
    <row r="17" spans="1:4" x14ac:dyDescent="0.2">
      <c r="A17" s="1260" t="s">
        <v>1600</v>
      </c>
      <c r="B17" s="1261" t="s">
        <v>1297</v>
      </c>
      <c r="C17" s="1261"/>
      <c r="D17" s="1263">
        <f>-SUM('Revenues 9-14'!C271:D271,'Revenues 9-14'!F271:G271)</f>
        <v>-33063</v>
      </c>
    </row>
    <row r="19" spans="1:4" ht="13.5" thickBot="1" x14ac:dyDescent="0.25">
      <c r="A19" s="1264" t="s">
        <v>1296</v>
      </c>
      <c r="D19" s="1265">
        <f>SUM(D10:D17)</f>
        <v>1830783</v>
      </c>
    </row>
    <row r="20" spans="1:4" ht="21.75" customHeight="1" thickTop="1" x14ac:dyDescent="0.2"/>
    <row r="21" spans="1:4" x14ac:dyDescent="0.2">
      <c r="A21" s="1259" t="s">
        <v>1295</v>
      </c>
    </row>
    <row r="22" spans="1:4" ht="8.25" customHeight="1" x14ac:dyDescent="0.2"/>
    <row r="23" spans="1:4" x14ac:dyDescent="0.2">
      <c r="A23" s="1266" t="s">
        <v>1289</v>
      </c>
    </row>
    <row r="24" spans="1:4" x14ac:dyDescent="0.2">
      <c r="A24" s="2457" t="s">
        <v>2112</v>
      </c>
      <c r="B24" s="2457"/>
      <c r="D24" s="1267"/>
    </row>
    <row r="25" spans="1:4" x14ac:dyDescent="0.2">
      <c r="A25" s="2454" t="s">
        <v>2113</v>
      </c>
      <c r="B25" s="2454"/>
      <c r="D25" s="1267">
        <v>1282</v>
      </c>
    </row>
    <row r="26" spans="1:4" x14ac:dyDescent="0.2">
      <c r="A26" s="2454" t="s">
        <v>2111</v>
      </c>
      <c r="B26" s="2454"/>
      <c r="D26" s="1267"/>
    </row>
    <row r="27" spans="1:4" x14ac:dyDescent="0.2">
      <c r="A27" s="2454" t="s">
        <v>2114</v>
      </c>
      <c r="B27" s="2454"/>
      <c r="D27" s="1267">
        <v>-3883</v>
      </c>
    </row>
    <row r="28" spans="1:4" x14ac:dyDescent="0.2">
      <c r="A28" s="2454"/>
      <c r="B28" s="2454"/>
      <c r="D28" s="1267"/>
    </row>
    <row r="29" spans="1:4" x14ac:dyDescent="0.2">
      <c r="A29" s="2454"/>
      <c r="B29" s="2454"/>
      <c r="D29" s="1267"/>
    </row>
    <row r="30" spans="1:4" x14ac:dyDescent="0.2">
      <c r="A30" s="2454"/>
      <c r="B30" s="2454"/>
      <c r="D30" s="1267"/>
    </row>
    <row r="32" spans="1:4" x14ac:dyDescent="0.2">
      <c r="A32" s="1259" t="s">
        <v>1294</v>
      </c>
      <c r="D32" s="1262">
        <f>SUM(D19:D30)</f>
        <v>1828182</v>
      </c>
    </row>
    <row r="33" spans="1:4" x14ac:dyDescent="0.2">
      <c r="D33" s="1268"/>
    </row>
    <row r="34" spans="1:4" x14ac:dyDescent="0.2">
      <c r="A34" s="317" t="s">
        <v>1293</v>
      </c>
    </row>
    <row r="35" spans="1:4" x14ac:dyDescent="0.2">
      <c r="A35" s="317" t="s">
        <v>1292</v>
      </c>
      <c r="B35" s="1257" t="s">
        <v>1291</v>
      </c>
      <c r="D35" s="1269">
        <f>' SEFA (6)'!F27</f>
        <v>1828182</v>
      </c>
    </row>
    <row r="37" spans="1:4" x14ac:dyDescent="0.2">
      <c r="A37" s="1259" t="s">
        <v>1290</v>
      </c>
    </row>
    <row r="39" spans="1:4" ht="13.35" customHeight="1" x14ac:dyDescent="0.2">
      <c r="A39" s="1266" t="s">
        <v>1289</v>
      </c>
    </row>
    <row r="40" spans="1:4" x14ac:dyDescent="0.2">
      <c r="A40" s="2454"/>
      <c r="B40" s="2454"/>
      <c r="D40" s="1267"/>
    </row>
    <row r="41" spans="1:4" x14ac:dyDescent="0.2">
      <c r="A41" s="2454"/>
      <c r="B41" s="2454"/>
      <c r="D41" s="1270"/>
    </row>
    <row r="42" spans="1:4" x14ac:dyDescent="0.2">
      <c r="A42" s="2454"/>
      <c r="B42" s="2454"/>
      <c r="D42" s="1270"/>
    </row>
    <row r="43" spans="1:4" x14ac:dyDescent="0.2">
      <c r="A43" s="2454"/>
      <c r="B43" s="2454"/>
      <c r="D43" s="1270"/>
    </row>
    <row r="44" spans="1:4" x14ac:dyDescent="0.2">
      <c r="A44" s="2454"/>
      <c r="B44" s="2454"/>
      <c r="D44" s="1270"/>
    </row>
    <row r="45" spans="1:4" x14ac:dyDescent="0.2">
      <c r="A45" s="2454"/>
      <c r="B45" s="2454"/>
      <c r="D45" s="1270"/>
    </row>
    <row r="47" spans="1:4" x14ac:dyDescent="0.2">
      <c r="B47" s="1271" t="s">
        <v>1288</v>
      </c>
      <c r="C47" s="1271"/>
      <c r="D47" s="1272">
        <f>SUM(D35:D45)</f>
        <v>1828182</v>
      </c>
    </row>
    <row r="49" spans="2:4" x14ac:dyDescent="0.2">
      <c r="B49" s="1271" t="s">
        <v>1287</v>
      </c>
      <c r="C49" s="1271"/>
      <c r="D49" s="1272">
        <f>D32-D47</f>
        <v>0</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oddHeader>&amp;L&amp;8Page 39&amp;R&amp;8Page 39</oddHeader>
    <oddFooter>&amp;LSee Notes to Financial Statements</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52"/>
  <sheetViews>
    <sheetView showGridLines="0" view="pageBreakPreview" zoomScaleNormal="100" zoomScaleSheetLayoutView="100" workbookViewId="0">
      <selection activeCell="K36" sqref="K36"/>
    </sheetView>
  </sheetViews>
  <sheetFormatPr defaultColWidth="33.5703125" defaultRowHeight="12.75" x14ac:dyDescent="0.2"/>
  <cols>
    <col min="1" max="1" width="0.140625" style="317" customWidth="1"/>
    <col min="2" max="2" width="32.85546875" style="317" customWidth="1"/>
    <col min="3" max="3" width="8.7109375" style="1355" customWidth="1"/>
    <col min="4" max="4" width="12.7109375" style="1356" customWidth="1"/>
    <col min="5" max="6" width="11.7109375" style="317" customWidth="1"/>
    <col min="7" max="7" width="11.7109375" style="1257" customWidth="1"/>
    <col min="8" max="8" width="13.7109375" style="1257" bestFit="1" customWidth="1"/>
    <col min="9" max="9" width="11.7109375" style="1257" customWidth="1"/>
    <col min="10" max="10" width="13.7109375" style="1257" customWidth="1"/>
    <col min="11" max="12" width="11.7109375" style="1257" customWidth="1"/>
    <col min="13" max="13" width="11.7109375" style="317" customWidth="1"/>
    <col min="14" max="14" width="2.7109375" style="317" customWidth="1"/>
    <col min="15" max="16384" width="33.5703125" style="317"/>
  </cols>
  <sheetData>
    <row r="1" spans="2:14" ht="11.85" customHeight="1" x14ac:dyDescent="0.2">
      <c r="B1" s="2438" t="str">
        <f>'Single Audit Cover'!A7</f>
        <v>Jersey CUSD 100</v>
      </c>
      <c r="C1" s="2459"/>
      <c r="D1" s="2459"/>
      <c r="E1" s="2459"/>
      <c r="F1" s="2459"/>
      <c r="G1" s="2459"/>
      <c r="H1" s="2459"/>
      <c r="I1" s="2459"/>
      <c r="J1" s="2459"/>
      <c r="K1" s="2459"/>
      <c r="L1" s="2459"/>
      <c r="M1" s="2459"/>
    </row>
    <row r="2" spans="2:14" ht="15" x14ac:dyDescent="0.2">
      <c r="B2" s="2460">
        <f>'Single Audit Cover'!E7</f>
        <v>40042100026</v>
      </c>
      <c r="C2" s="2460"/>
      <c r="D2" s="2460"/>
      <c r="E2" s="2460"/>
      <c r="F2" s="2460"/>
      <c r="G2" s="2460"/>
      <c r="H2" s="2460"/>
      <c r="I2" s="2460"/>
      <c r="J2" s="2460"/>
      <c r="K2" s="2460"/>
      <c r="L2" s="2460"/>
      <c r="M2" s="2460"/>
      <c r="N2" s="1300"/>
    </row>
    <row r="3" spans="2:14" ht="15" x14ac:dyDescent="0.2">
      <c r="B3" s="2461" t="s">
        <v>1280</v>
      </c>
      <c r="C3" s="2461"/>
      <c r="D3" s="2461"/>
      <c r="E3" s="2461"/>
      <c r="F3" s="2461"/>
      <c r="G3" s="2461"/>
      <c r="H3" s="2461"/>
      <c r="I3" s="2461"/>
      <c r="J3" s="2461"/>
      <c r="K3" s="2461"/>
      <c r="L3" s="2461"/>
      <c r="M3" s="2461"/>
      <c r="N3" s="1300"/>
    </row>
    <row r="4" spans="2:14" ht="15" x14ac:dyDescent="0.2">
      <c r="B4" s="2462" t="str">
        <f>'Single Audit Cover'!A4</f>
        <v>Year Ending June 30, 2018</v>
      </c>
      <c r="C4" s="2462"/>
      <c r="D4" s="2462"/>
      <c r="E4" s="2462"/>
      <c r="F4" s="2462"/>
      <c r="G4" s="2462"/>
      <c r="H4" s="2462"/>
      <c r="I4" s="2462"/>
      <c r="J4" s="2462"/>
      <c r="K4" s="2462"/>
      <c r="L4" s="2462"/>
      <c r="M4" s="2462"/>
      <c r="N4" s="1300"/>
    </row>
    <row r="6" spans="2:14" x14ac:dyDescent="0.2">
      <c r="B6" s="1301"/>
      <c r="C6" s="1302"/>
      <c r="D6" s="1303" t="s">
        <v>1326</v>
      </c>
      <c r="E6" s="1304" t="s">
        <v>547</v>
      </c>
      <c r="F6" s="1305"/>
      <c r="G6" s="1306" t="s">
        <v>1833</v>
      </c>
      <c r="H6" s="1304"/>
      <c r="I6" s="1304"/>
      <c r="J6" s="1304"/>
      <c r="K6" s="1307"/>
      <c r="L6" s="1308"/>
      <c r="M6" s="1309"/>
    </row>
    <row r="7" spans="2:14" x14ac:dyDescent="0.2">
      <c r="B7" s="1310" t="s">
        <v>1661</v>
      </c>
      <c r="C7" s="1311"/>
      <c r="D7" s="1312"/>
      <c r="E7" s="1313"/>
      <c r="F7" s="1314"/>
      <c r="G7" s="1313"/>
      <c r="H7" s="1315" t="s">
        <v>1323</v>
      </c>
      <c r="I7" s="1313"/>
      <c r="J7" s="1316" t="s">
        <v>1323</v>
      </c>
      <c r="K7" s="1317"/>
      <c r="L7" s="1318" t="s">
        <v>1321</v>
      </c>
      <c r="M7" s="1319"/>
    </row>
    <row r="8" spans="2:14" x14ac:dyDescent="0.2">
      <c r="B8" s="1677"/>
      <c r="C8" s="1311" t="s">
        <v>1325</v>
      </c>
      <c r="D8" s="1312" t="s">
        <v>1324</v>
      </c>
      <c r="E8" s="1320" t="s">
        <v>1323</v>
      </c>
      <c r="F8" s="1321" t="s">
        <v>1323</v>
      </c>
      <c r="G8" s="1322" t="s">
        <v>1323</v>
      </c>
      <c r="H8" s="1315" t="s">
        <v>1662</v>
      </c>
      <c r="I8" s="1317" t="s">
        <v>1323</v>
      </c>
      <c r="J8" s="1316" t="s">
        <v>1946</v>
      </c>
      <c r="K8" s="1317" t="s">
        <v>1322</v>
      </c>
      <c r="L8" s="1318" t="s">
        <v>1318</v>
      </c>
      <c r="M8" s="1319" t="s">
        <v>30</v>
      </c>
    </row>
    <row r="9" spans="2:14" ht="14.25" x14ac:dyDescent="0.2">
      <c r="B9" s="1323" t="s">
        <v>1320</v>
      </c>
      <c r="C9" s="1311" t="s">
        <v>1834</v>
      </c>
      <c r="D9" s="1312" t="s">
        <v>1835</v>
      </c>
      <c r="E9" s="1320" t="s">
        <v>1662</v>
      </c>
      <c r="F9" s="1321" t="s">
        <v>1946</v>
      </c>
      <c r="G9" s="1322" t="s">
        <v>1662</v>
      </c>
      <c r="H9" s="1315" t="s">
        <v>1663</v>
      </c>
      <c r="I9" s="1317" t="s">
        <v>1946</v>
      </c>
      <c r="J9" s="1316" t="s">
        <v>1663</v>
      </c>
      <c r="K9" s="1317" t="s">
        <v>1319</v>
      </c>
      <c r="L9" s="1324" t="s">
        <v>1664</v>
      </c>
      <c r="M9" s="1319"/>
    </row>
    <row r="10" spans="2:14" ht="11.85" customHeight="1" x14ac:dyDescent="0.2">
      <c r="B10" s="1323" t="s">
        <v>1317</v>
      </c>
      <c r="C10" s="1325" t="s">
        <v>1316</v>
      </c>
      <c r="D10" s="1326" t="s">
        <v>1315</v>
      </c>
      <c r="E10" s="1327" t="s">
        <v>1314</v>
      </c>
      <c r="F10" s="1328" t="s">
        <v>1313</v>
      </c>
      <c r="G10" s="1329" t="s">
        <v>1312</v>
      </c>
      <c r="H10" s="1330" t="s">
        <v>1327</v>
      </c>
      <c r="I10" s="1331" t="s">
        <v>1311</v>
      </c>
      <c r="J10" s="1332" t="s">
        <v>1327</v>
      </c>
      <c r="K10" s="1333" t="s">
        <v>1310</v>
      </c>
      <c r="L10" s="1333" t="s">
        <v>1309</v>
      </c>
      <c r="M10" s="1334" t="s">
        <v>1308</v>
      </c>
    </row>
    <row r="11" spans="2:14" ht="20.100000000000001" customHeight="1" x14ac:dyDescent="0.2">
      <c r="B11" s="1335" t="s">
        <v>2115</v>
      </c>
      <c r="C11" s="1336"/>
      <c r="D11" s="1337"/>
      <c r="E11" s="1338"/>
      <c r="F11" s="1338"/>
      <c r="G11" s="1338"/>
      <c r="H11" s="1338"/>
      <c r="I11" s="1338"/>
      <c r="J11" s="1338"/>
      <c r="K11" s="1338"/>
      <c r="L11" s="1338"/>
      <c r="M11" s="1338"/>
    </row>
    <row r="12" spans="2:14" ht="20.100000000000001" customHeight="1" x14ac:dyDescent="0.2">
      <c r="B12" s="1335" t="s">
        <v>2141</v>
      </c>
      <c r="C12" s="1339"/>
      <c r="D12" s="1340"/>
      <c r="E12" s="1341"/>
      <c r="F12" s="1341"/>
      <c r="G12" s="1341"/>
      <c r="H12" s="1341"/>
      <c r="I12" s="1341"/>
      <c r="J12" s="1341"/>
      <c r="K12" s="1341"/>
      <c r="L12" s="1338"/>
      <c r="M12" s="1341"/>
    </row>
    <row r="13" spans="2:14" ht="20.100000000000001" customHeight="1" x14ac:dyDescent="0.2">
      <c r="B13" s="1335" t="s">
        <v>2124</v>
      </c>
      <c r="C13" s="1339">
        <v>84.01</v>
      </c>
      <c r="D13" s="1340" t="s">
        <v>2116</v>
      </c>
      <c r="E13" s="1341">
        <v>-1239</v>
      </c>
      <c r="F13" s="1341"/>
      <c r="G13" s="1341"/>
      <c r="H13" s="1341"/>
      <c r="I13" s="1341"/>
      <c r="J13" s="1341"/>
      <c r="K13" s="1341"/>
      <c r="L13" s="1338"/>
      <c r="M13" s="1341">
        <v>390249</v>
      </c>
    </row>
    <row r="14" spans="2:14" ht="20.100000000000001" customHeight="1" x14ac:dyDescent="0.2">
      <c r="B14" s="1335" t="s">
        <v>2124</v>
      </c>
      <c r="C14" s="1339">
        <v>84.01</v>
      </c>
      <c r="D14" s="1340" t="s">
        <v>2117</v>
      </c>
      <c r="E14" s="1341">
        <v>195167</v>
      </c>
      <c r="F14" s="1341"/>
      <c r="G14" s="1341">
        <v>44318</v>
      </c>
      <c r="H14" s="1341"/>
      <c r="I14" s="1341"/>
      <c r="J14" s="1341"/>
      <c r="K14" s="1341"/>
      <c r="L14" s="1338">
        <f t="shared" ref="L14:L25" si="0">+G14+I14+K14</f>
        <v>44318</v>
      </c>
      <c r="M14" s="1341">
        <v>478320</v>
      </c>
    </row>
    <row r="15" spans="2:14" ht="20.100000000000001" customHeight="1" x14ac:dyDescent="0.2">
      <c r="B15" s="1335" t="s">
        <v>2124</v>
      </c>
      <c r="C15" s="1339">
        <v>84.01</v>
      </c>
      <c r="D15" s="1340" t="s">
        <v>2118</v>
      </c>
      <c r="E15" s="1341">
        <v>228105</v>
      </c>
      <c r="F15" s="1341">
        <v>370729</v>
      </c>
      <c r="G15" s="1341">
        <v>531021</v>
      </c>
      <c r="H15" s="1341"/>
      <c r="I15" s="1341">
        <v>67813</v>
      </c>
      <c r="J15" s="1341"/>
      <c r="K15" s="1341"/>
      <c r="L15" s="1338">
        <f t="shared" si="0"/>
        <v>598834</v>
      </c>
      <c r="M15" s="1341">
        <v>653148</v>
      </c>
    </row>
    <row r="16" spans="2:14" ht="20.100000000000001" customHeight="1" x14ac:dyDescent="0.2">
      <c r="B16" s="1335" t="s">
        <v>2124</v>
      </c>
      <c r="C16" s="1339">
        <v>84.01</v>
      </c>
      <c r="D16" s="1340" t="s">
        <v>2219</v>
      </c>
      <c r="E16" s="1341"/>
      <c r="F16" s="1341"/>
      <c r="G16" s="1341"/>
      <c r="H16" s="1341"/>
      <c r="I16" s="1341">
        <v>402997</v>
      </c>
      <c r="J16" s="1341"/>
      <c r="K16" s="1341">
        <v>29202</v>
      </c>
      <c r="L16" s="1338">
        <f>+G16+I16+K16</f>
        <v>432199</v>
      </c>
      <c r="M16" s="1341">
        <v>600263</v>
      </c>
    </row>
    <row r="17" spans="2:14" ht="20.100000000000001" customHeight="1" x14ac:dyDescent="0.2">
      <c r="B17" s="1335" t="s">
        <v>2123</v>
      </c>
      <c r="C17" s="1339"/>
      <c r="D17" s="1340"/>
      <c r="E17" s="1341">
        <f t="shared" ref="E17:K17" si="1">SUM(E13:E16)</f>
        <v>422033</v>
      </c>
      <c r="F17" s="1341">
        <f t="shared" si="1"/>
        <v>370729</v>
      </c>
      <c r="G17" s="1341">
        <f t="shared" si="1"/>
        <v>575339</v>
      </c>
      <c r="H17" s="1341">
        <f t="shared" si="1"/>
        <v>0</v>
      </c>
      <c r="I17" s="1341">
        <f t="shared" si="1"/>
        <v>470810</v>
      </c>
      <c r="J17" s="1341">
        <f t="shared" si="1"/>
        <v>0</v>
      </c>
      <c r="K17" s="1341">
        <f t="shared" si="1"/>
        <v>29202</v>
      </c>
      <c r="L17" s="1338">
        <f t="shared" si="0"/>
        <v>1075351</v>
      </c>
      <c r="M17" s="1341">
        <f>SUM(M13:M16)</f>
        <v>2121980</v>
      </c>
    </row>
    <row r="18" spans="2:14" ht="20.100000000000001" customHeight="1" x14ac:dyDescent="0.2">
      <c r="B18" s="1335"/>
      <c r="C18" s="1339"/>
      <c r="D18" s="1340"/>
      <c r="E18" s="1341"/>
      <c r="F18" s="1341"/>
      <c r="G18" s="1341"/>
      <c r="H18" s="1341"/>
      <c r="I18" s="1341"/>
      <c r="J18" s="1341"/>
      <c r="K18" s="1341"/>
      <c r="L18" s="1338"/>
      <c r="M18" s="1341"/>
    </row>
    <row r="19" spans="2:14" ht="20.100000000000001" customHeight="1" x14ac:dyDescent="0.2">
      <c r="B19" s="1335" t="s">
        <v>2125</v>
      </c>
      <c r="C19" s="1339">
        <v>84.367000000000004</v>
      </c>
      <c r="D19" s="1340" t="s">
        <v>2119</v>
      </c>
      <c r="E19" s="1341">
        <v>-671</v>
      </c>
      <c r="F19" s="1341"/>
      <c r="G19" s="1341"/>
      <c r="H19" s="1341"/>
      <c r="I19" s="1341"/>
      <c r="J19" s="1341"/>
      <c r="K19" s="1341"/>
      <c r="L19" s="1338"/>
      <c r="M19" s="1341">
        <v>137306</v>
      </c>
    </row>
    <row r="20" spans="2:14" ht="20.100000000000001" customHeight="1" x14ac:dyDescent="0.2">
      <c r="B20" s="1335" t="s">
        <v>2125</v>
      </c>
      <c r="C20" s="1339">
        <v>84.367000000000004</v>
      </c>
      <c r="D20" s="1340" t="s">
        <v>2120</v>
      </c>
      <c r="E20" s="1341">
        <v>76712</v>
      </c>
      <c r="F20" s="1341"/>
      <c r="G20" s="1341">
        <v>14671</v>
      </c>
      <c r="H20" s="1341"/>
      <c r="I20" s="1341"/>
      <c r="J20" s="1341"/>
      <c r="K20" s="1341"/>
      <c r="L20" s="1338">
        <f t="shared" si="0"/>
        <v>14671</v>
      </c>
      <c r="M20" s="1341">
        <v>140071</v>
      </c>
    </row>
    <row r="21" spans="2:14" ht="20.100000000000001" customHeight="1" x14ac:dyDescent="0.2">
      <c r="B21" s="1335" t="s">
        <v>2125</v>
      </c>
      <c r="C21" s="1339">
        <v>84.367000000000004</v>
      </c>
      <c r="D21" s="1340" t="s">
        <v>2121</v>
      </c>
      <c r="E21" s="1341">
        <v>60003</v>
      </c>
      <c r="F21" s="1341">
        <v>70237</v>
      </c>
      <c r="G21" s="1341">
        <v>116253</v>
      </c>
      <c r="H21" s="1341"/>
      <c r="I21" s="1341">
        <v>13987</v>
      </c>
      <c r="J21" s="1341"/>
      <c r="K21" s="1341"/>
      <c r="L21" s="1338">
        <f t="shared" si="0"/>
        <v>130240</v>
      </c>
      <c r="M21" s="1341">
        <v>136818</v>
      </c>
    </row>
    <row r="22" spans="2:14" ht="20.100000000000001" customHeight="1" x14ac:dyDescent="0.2">
      <c r="B22" s="1335" t="s">
        <v>2125</v>
      </c>
      <c r="C22" s="1339">
        <v>84.367000000000004</v>
      </c>
      <c r="D22" s="1340" t="s">
        <v>2122</v>
      </c>
      <c r="E22" s="1341"/>
      <c r="F22" s="1341"/>
      <c r="G22" s="1341"/>
      <c r="H22" s="1341"/>
      <c r="I22" s="1341">
        <v>51497</v>
      </c>
      <c r="J22" s="1341"/>
      <c r="K22" s="1341">
        <v>5382</v>
      </c>
      <c r="L22" s="1338">
        <f t="shared" si="0"/>
        <v>56879</v>
      </c>
      <c r="M22" s="1341">
        <v>128939</v>
      </c>
    </row>
    <row r="23" spans="2:14" ht="20.100000000000001" customHeight="1" x14ac:dyDescent="0.2">
      <c r="B23" s="1335" t="s">
        <v>2126</v>
      </c>
      <c r="C23" s="1339"/>
      <c r="D23" s="1340"/>
      <c r="E23" s="1341">
        <f>SUM(E19:E22)</f>
        <v>136044</v>
      </c>
      <c r="F23" s="1341">
        <f t="shared" ref="F23:K23" si="2">SUM(F19:F22)</f>
        <v>70237</v>
      </c>
      <c r="G23" s="1341">
        <f t="shared" si="2"/>
        <v>130924</v>
      </c>
      <c r="H23" s="1341">
        <f t="shared" si="2"/>
        <v>0</v>
      </c>
      <c r="I23" s="1341">
        <f t="shared" si="2"/>
        <v>65484</v>
      </c>
      <c r="J23" s="1341">
        <f t="shared" si="2"/>
        <v>0</v>
      </c>
      <c r="K23" s="1341">
        <f t="shared" si="2"/>
        <v>5382</v>
      </c>
      <c r="L23" s="1338">
        <f>+G23+I23+K23</f>
        <v>201790</v>
      </c>
      <c r="M23" s="1341">
        <f>SUM(M19:M22)</f>
        <v>543134</v>
      </c>
    </row>
    <row r="24" spans="2:14" ht="20.100000000000001" customHeight="1" x14ac:dyDescent="0.2">
      <c r="B24" s="1335"/>
      <c r="C24" s="1339"/>
      <c r="D24" s="1340"/>
      <c r="E24" s="1341"/>
      <c r="F24" s="1341"/>
      <c r="G24" s="1341"/>
      <c r="H24" s="1341"/>
      <c r="I24" s="1341"/>
      <c r="J24" s="1341"/>
      <c r="K24" s="1341"/>
      <c r="L24" s="1338"/>
      <c r="M24" s="1341"/>
    </row>
    <row r="25" spans="2:14" ht="20.100000000000001" customHeight="1" x14ac:dyDescent="0.2">
      <c r="B25" s="1335" t="s">
        <v>2142</v>
      </c>
      <c r="C25" s="1339"/>
      <c r="D25" s="1340"/>
      <c r="E25" s="1341">
        <f>E17+E23</f>
        <v>558077</v>
      </c>
      <c r="F25" s="1341">
        <f t="shared" ref="F25:K25" si="3">F17+F23</f>
        <v>440966</v>
      </c>
      <c r="G25" s="1341">
        <f t="shared" si="3"/>
        <v>706263</v>
      </c>
      <c r="H25" s="1341">
        <f t="shared" si="3"/>
        <v>0</v>
      </c>
      <c r="I25" s="1341">
        <f t="shared" si="3"/>
        <v>536294</v>
      </c>
      <c r="J25" s="1341">
        <f t="shared" si="3"/>
        <v>0</v>
      </c>
      <c r="K25" s="1341">
        <f t="shared" si="3"/>
        <v>34584</v>
      </c>
      <c r="L25" s="1338">
        <f t="shared" si="0"/>
        <v>1277141</v>
      </c>
      <c r="M25" s="1341">
        <f>M17+M23</f>
        <v>2665114</v>
      </c>
    </row>
    <row r="26" spans="2:14" ht="20.100000000000001" customHeight="1" x14ac:dyDescent="0.2">
      <c r="B26" s="1335"/>
      <c r="C26" s="1339"/>
      <c r="D26" s="1340"/>
      <c r="E26" s="1341"/>
      <c r="F26" s="1341"/>
      <c r="G26" s="1341"/>
      <c r="H26" s="1341"/>
      <c r="I26" s="1341"/>
      <c r="J26" s="1341"/>
      <c r="K26" s="1341"/>
      <c r="L26" s="1338"/>
      <c r="M26" s="1341"/>
    </row>
    <row r="27" spans="2:14" ht="20.100000000000001" customHeight="1" x14ac:dyDescent="0.2">
      <c r="B27" s="1335"/>
      <c r="C27" s="1339"/>
      <c r="D27" s="1340"/>
      <c r="E27" s="1341"/>
      <c r="F27" s="1341"/>
      <c r="G27" s="1341"/>
      <c r="H27" s="1341"/>
      <c r="I27" s="1341"/>
      <c r="J27" s="1341"/>
      <c r="K27" s="1341"/>
      <c r="L27" s="1338"/>
      <c r="M27" s="1341"/>
      <c r="N27" s="1342"/>
    </row>
    <row r="28" spans="2:14" ht="12.75" customHeight="1" x14ac:dyDescent="0.2">
      <c r="B28" s="1343"/>
      <c r="C28" s="1344"/>
      <c r="D28" s="1345"/>
      <c r="E28" s="1346"/>
      <c r="F28" s="1346"/>
      <c r="G28" s="1346"/>
      <c r="H28" s="1346"/>
      <c r="I28" s="1346"/>
      <c r="J28" s="1346"/>
      <c r="K28" s="1346"/>
      <c r="L28" s="1346"/>
      <c r="M28" s="1346"/>
      <c r="N28" s="1342"/>
    </row>
    <row r="29" spans="2:14" x14ac:dyDescent="0.2">
      <c r="B29" s="1256"/>
      <c r="C29" s="1347"/>
      <c r="D29" s="1348"/>
      <c r="E29" s="1256"/>
      <c r="F29" s="1256"/>
      <c r="G29" s="1249"/>
      <c r="H29" s="1249"/>
      <c r="I29" s="1249"/>
      <c r="J29" s="1249"/>
      <c r="K29" s="1249"/>
      <c r="L29" s="1249"/>
      <c r="M29" s="1256"/>
      <c r="N29" s="1342"/>
    </row>
    <row r="30" spans="2:14" ht="13.5" customHeight="1" x14ac:dyDescent="0.2">
      <c r="B30" s="1281" t="s">
        <v>1836</v>
      </c>
      <c r="C30" s="1347"/>
      <c r="D30" s="1348"/>
      <c r="E30" s="1256"/>
      <c r="F30" s="1256"/>
      <c r="G30" s="1249"/>
      <c r="H30" s="1249"/>
      <c r="I30" s="1249"/>
      <c r="J30" s="1249"/>
      <c r="K30" s="1249"/>
      <c r="L30" s="1249"/>
      <c r="M30" s="1256"/>
      <c r="N30" s="1342"/>
    </row>
    <row r="31" spans="2:14" ht="8.25" customHeight="1" x14ac:dyDescent="0.2">
      <c r="B31" s="1281"/>
      <c r="C31" s="1347"/>
      <c r="D31" s="1348"/>
      <c r="E31" s="1256"/>
      <c r="F31" s="1256"/>
      <c r="G31" s="1249"/>
      <c r="H31" s="1249"/>
      <c r="I31" s="1249"/>
      <c r="J31" s="1249"/>
      <c r="K31" s="1249"/>
      <c r="L31" s="1249"/>
      <c r="M31" s="1256"/>
      <c r="N31" s="1342"/>
    </row>
    <row r="32" spans="2:14" x14ac:dyDescent="0.2">
      <c r="B32" s="1349" t="s">
        <v>1947</v>
      </c>
      <c r="C32" s="1350"/>
      <c r="D32" s="1351"/>
      <c r="E32" s="1352"/>
      <c r="F32" s="1352"/>
      <c r="G32" s="1352"/>
      <c r="H32" s="1352"/>
      <c r="I32" s="317"/>
      <c r="J32" s="317"/>
    </row>
    <row r="33" spans="2:13" x14ac:dyDescent="0.2">
      <c r="B33" s="1276"/>
      <c r="C33" s="1353"/>
      <c r="D33" s="1354"/>
      <c r="E33" s="1277"/>
      <c r="F33" s="1277"/>
      <c r="G33" s="317"/>
      <c r="H33" s="317"/>
      <c r="I33" s="317"/>
      <c r="J33" s="317"/>
    </row>
    <row r="34" spans="2:13" ht="13.5" customHeight="1" x14ac:dyDescent="0.2">
      <c r="B34" s="1275" t="s">
        <v>1307</v>
      </c>
      <c r="G34" s="317"/>
      <c r="H34" s="317"/>
      <c r="I34" s="317"/>
      <c r="J34" s="317"/>
    </row>
    <row r="35" spans="2:13" ht="13.5" customHeight="1" x14ac:dyDescent="0.2">
      <c r="B35" s="1357"/>
      <c r="C35" s="1358"/>
      <c r="D35" s="1359"/>
      <c r="E35" s="1295"/>
      <c r="F35" s="1295"/>
      <c r="G35" s="1295"/>
      <c r="H35" s="1295"/>
      <c r="I35" s="1295"/>
      <c r="J35" s="1295"/>
      <c r="K35" s="1360"/>
      <c r="L35" s="1360"/>
      <c r="M35" s="1295"/>
    </row>
    <row r="36" spans="2:13" ht="9.6" customHeight="1" x14ac:dyDescent="0.2">
      <c r="B36" s="1361"/>
      <c r="G36" s="317"/>
      <c r="H36" s="317"/>
      <c r="I36" s="317"/>
      <c r="J36" s="317"/>
    </row>
    <row r="37" spans="2:13" ht="11.25" customHeight="1" x14ac:dyDescent="0.2">
      <c r="B37" s="1362" t="s">
        <v>1837</v>
      </c>
      <c r="C37" s="1363"/>
      <c r="D37" s="1363"/>
      <c r="E37" s="1363"/>
      <c r="F37" s="1363"/>
      <c r="G37" s="1363"/>
      <c r="H37" s="1363"/>
      <c r="I37" s="1364"/>
      <c r="J37" s="1364"/>
      <c r="K37" s="1364"/>
      <c r="L37" s="1364"/>
      <c r="M37" s="1364"/>
    </row>
    <row r="38" spans="2:13" ht="11.25" customHeight="1" x14ac:dyDescent="0.2">
      <c r="B38" s="1365" t="s">
        <v>1665</v>
      </c>
      <c r="C38" s="1364"/>
      <c r="D38" s="1364"/>
      <c r="E38" s="1364"/>
      <c r="F38" s="1364"/>
      <c r="G38" s="1364"/>
      <c r="H38" s="1364"/>
      <c r="I38" s="1364"/>
      <c r="J38" s="1364"/>
      <c r="K38" s="1364"/>
      <c r="L38" s="1364"/>
      <c r="M38" s="1364"/>
    </row>
    <row r="39" spans="2:13" ht="3.95" customHeight="1" x14ac:dyDescent="0.2">
      <c r="B39" s="1365"/>
      <c r="C39" s="1364"/>
      <c r="D39" s="1364"/>
      <c r="E39" s="1364"/>
      <c r="F39" s="1364"/>
      <c r="G39" s="1364"/>
      <c r="H39" s="1364"/>
      <c r="I39" s="1364"/>
      <c r="J39" s="1364"/>
      <c r="K39" s="1364"/>
      <c r="L39" s="1364"/>
      <c r="M39" s="1364"/>
    </row>
    <row r="40" spans="2:13" ht="11.25" customHeight="1" x14ac:dyDescent="0.2">
      <c r="B40" s="1362" t="s">
        <v>1838</v>
      </c>
      <c r="C40" s="1364"/>
      <c r="D40" s="1364"/>
      <c r="E40" s="1364"/>
      <c r="F40" s="1364"/>
      <c r="G40" s="1364"/>
      <c r="H40" s="1364"/>
      <c r="I40" s="1364"/>
      <c r="J40" s="1364"/>
      <c r="K40" s="1364"/>
      <c r="L40" s="1364"/>
      <c r="M40" s="1364"/>
    </row>
    <row r="41" spans="2:13" ht="11.25" customHeight="1" x14ac:dyDescent="0.2">
      <c r="B41" s="1298" t="s">
        <v>1666</v>
      </c>
      <c r="C41" s="1366"/>
      <c r="D41" s="1367"/>
      <c r="E41" s="1298"/>
      <c r="F41" s="1298"/>
      <c r="G41" s="1298"/>
      <c r="H41" s="1298"/>
      <c r="I41" s="1298"/>
      <c r="J41" s="1298"/>
      <c r="K41" s="1368"/>
      <c r="L41" s="1368"/>
      <c r="M41" s="1298"/>
    </row>
    <row r="42" spans="2:13" ht="3.95" customHeight="1" x14ac:dyDescent="0.2">
      <c r="B42" s="1298"/>
      <c r="C42" s="1366"/>
      <c r="D42" s="1367"/>
      <c r="E42" s="1298"/>
      <c r="F42" s="1298"/>
      <c r="G42" s="1298"/>
      <c r="H42" s="1298"/>
      <c r="I42" s="1298"/>
      <c r="J42" s="1298"/>
      <c r="K42" s="1368"/>
      <c r="L42" s="1368"/>
      <c r="M42" s="1298"/>
    </row>
    <row r="43" spans="2:13" ht="11.25" customHeight="1" x14ac:dyDescent="0.2">
      <c r="B43" s="1369" t="s">
        <v>1839</v>
      </c>
      <c r="C43" s="1366"/>
      <c r="D43" s="1367"/>
      <c r="E43" s="1298"/>
      <c r="F43" s="1298"/>
      <c r="G43" s="1298"/>
      <c r="H43" s="1298"/>
      <c r="I43" s="1298"/>
      <c r="J43" s="1298"/>
      <c r="K43" s="1368"/>
      <c r="L43" s="1368"/>
      <c r="M43" s="1298"/>
    </row>
    <row r="44" spans="2:13" ht="3.95" customHeight="1" x14ac:dyDescent="0.2">
      <c r="B44" s="1369"/>
      <c r="C44" s="1366"/>
      <c r="D44" s="1367"/>
      <c r="E44" s="1298"/>
      <c r="F44" s="1298"/>
      <c r="G44" s="1298"/>
      <c r="H44" s="1298"/>
      <c r="I44" s="1298"/>
      <c r="J44" s="1298"/>
      <c r="K44" s="1368"/>
      <c r="L44" s="1368"/>
      <c r="M44" s="1298"/>
    </row>
    <row r="45" spans="2:13" ht="11.25" customHeight="1" x14ac:dyDescent="0.2">
      <c r="B45" s="1370" t="s">
        <v>1840</v>
      </c>
      <c r="C45" s="1366"/>
      <c r="D45" s="1367"/>
      <c r="E45" s="1298"/>
      <c r="F45" s="1298"/>
      <c r="G45" s="1298"/>
      <c r="H45" s="1298"/>
      <c r="I45" s="1298"/>
      <c r="J45" s="1298"/>
      <c r="K45" s="1368"/>
      <c r="L45" s="1368"/>
      <c r="M45" s="1298"/>
    </row>
    <row r="46" spans="2:13" ht="11.25" customHeight="1" x14ac:dyDescent="0.2">
      <c r="B46" s="1298" t="s">
        <v>1667</v>
      </c>
      <c r="G46" s="317"/>
      <c r="H46" s="317"/>
      <c r="I46" s="317"/>
      <c r="J46" s="317"/>
    </row>
    <row r="47" spans="2:13" ht="11.1" customHeight="1" x14ac:dyDescent="0.2">
      <c r="B47" s="1298"/>
      <c r="G47" s="317"/>
      <c r="H47" s="317"/>
      <c r="I47" s="317"/>
      <c r="J47" s="317"/>
    </row>
    <row r="48" spans="2:13" ht="11.1" customHeight="1" x14ac:dyDescent="0.2">
      <c r="B48" s="1298"/>
      <c r="G48" s="317"/>
      <c r="H48" s="317"/>
      <c r="I48" s="317"/>
      <c r="J48" s="317"/>
    </row>
    <row r="49" spans="7:13" ht="13.5" customHeight="1" x14ac:dyDescent="0.2">
      <c r="M49" s="1371"/>
    </row>
    <row r="50" spans="7:13" ht="13.5" customHeight="1" x14ac:dyDescent="0.2">
      <c r="M50" s="1371"/>
    </row>
    <row r="51" spans="7:13" ht="13.5" customHeight="1" x14ac:dyDescent="0.2">
      <c r="M51" s="1371"/>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7" right="0.7" top="0.75" bottom="0.75" header="0.3" footer="0.3"/>
  <pageSetup scale="76" firstPageNumber="38" orientation="landscape" useFirstPageNumber="1" r:id="rId1"/>
  <headerFooter>
    <oddHeader>&amp;L&amp;8Page 40&amp;R&amp;8Page 40</oddHeader>
    <oddFooter>&amp;LSee Notes to Financial Statements</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52"/>
  <sheetViews>
    <sheetView showGridLines="0" zoomScaleNormal="100" workbookViewId="0">
      <selection activeCell="K36" sqref="K36"/>
    </sheetView>
  </sheetViews>
  <sheetFormatPr defaultColWidth="33.5703125" defaultRowHeight="12.75" x14ac:dyDescent="0.2"/>
  <cols>
    <col min="1" max="1" width="0.140625" style="317" customWidth="1"/>
    <col min="2" max="2" width="32.85546875" style="317" customWidth="1"/>
    <col min="3" max="3" width="8.7109375" style="1355" customWidth="1"/>
    <col min="4" max="4" width="12.7109375" style="1356" customWidth="1"/>
    <col min="5" max="6" width="11.7109375" style="317" customWidth="1"/>
    <col min="7" max="7" width="11.7109375" style="1257" customWidth="1"/>
    <col min="8" max="8" width="13.7109375" style="1257" bestFit="1" customWidth="1"/>
    <col min="9" max="9" width="11.7109375" style="1257" customWidth="1"/>
    <col min="10" max="10" width="13.7109375" style="1257" customWidth="1"/>
    <col min="11" max="12" width="11.7109375" style="1257" customWidth="1"/>
    <col min="13" max="13" width="11.7109375" style="317" customWidth="1"/>
    <col min="14" max="14" width="2.7109375" style="317" customWidth="1"/>
    <col min="15" max="16384" width="33.5703125" style="317"/>
  </cols>
  <sheetData>
    <row r="1" spans="2:14" ht="11.85" customHeight="1" x14ac:dyDescent="0.2">
      <c r="B1" s="2438" t="str">
        <f>'Single Audit Cover'!A7</f>
        <v>Jersey CUSD 100</v>
      </c>
      <c r="C1" s="2459"/>
      <c r="D1" s="2459"/>
      <c r="E1" s="2459"/>
      <c r="F1" s="2459"/>
      <c r="G1" s="2459"/>
      <c r="H1" s="2459"/>
      <c r="I1" s="2459"/>
      <c r="J1" s="2459"/>
      <c r="K1" s="2459"/>
      <c r="L1" s="2459"/>
      <c r="M1" s="2459"/>
    </row>
    <row r="2" spans="2:14" ht="15" x14ac:dyDescent="0.2">
      <c r="B2" s="2460">
        <f>'Single Audit Cover'!E7</f>
        <v>40042100026</v>
      </c>
      <c r="C2" s="2460"/>
      <c r="D2" s="2460"/>
      <c r="E2" s="2460"/>
      <c r="F2" s="2460"/>
      <c r="G2" s="2460"/>
      <c r="H2" s="2460"/>
      <c r="I2" s="2460"/>
      <c r="J2" s="2460"/>
      <c r="K2" s="2460"/>
      <c r="L2" s="2460"/>
      <c r="M2" s="2460"/>
      <c r="N2" s="1300"/>
    </row>
    <row r="3" spans="2:14" ht="15" x14ac:dyDescent="0.2">
      <c r="B3" s="2461" t="s">
        <v>1280</v>
      </c>
      <c r="C3" s="2461"/>
      <c r="D3" s="2461"/>
      <c r="E3" s="2461"/>
      <c r="F3" s="2461"/>
      <c r="G3" s="2461"/>
      <c r="H3" s="2461"/>
      <c r="I3" s="2461"/>
      <c r="J3" s="2461"/>
      <c r="K3" s="2461"/>
      <c r="L3" s="2461"/>
      <c r="M3" s="2461"/>
      <c r="N3" s="1300"/>
    </row>
    <row r="4" spans="2:14" ht="15" x14ac:dyDescent="0.2">
      <c r="B4" s="2462" t="str">
        <f>'Single Audit Cover'!A4</f>
        <v>Year Ending June 30, 2018</v>
      </c>
      <c r="C4" s="2462"/>
      <c r="D4" s="2462"/>
      <c r="E4" s="2462"/>
      <c r="F4" s="2462"/>
      <c r="G4" s="2462"/>
      <c r="H4" s="2462"/>
      <c r="I4" s="2462"/>
      <c r="J4" s="2462"/>
      <c r="K4" s="2462"/>
      <c r="L4" s="2462"/>
      <c r="M4" s="2462"/>
      <c r="N4" s="1300"/>
    </row>
    <row r="6" spans="2:14" x14ac:dyDescent="0.2">
      <c r="B6" s="1301"/>
      <c r="C6" s="1302"/>
      <c r="D6" s="1303" t="s">
        <v>1326</v>
      </c>
      <c r="E6" s="1304" t="s">
        <v>547</v>
      </c>
      <c r="F6" s="1305"/>
      <c r="G6" s="1306" t="s">
        <v>1833</v>
      </c>
      <c r="H6" s="1304"/>
      <c r="I6" s="1304"/>
      <c r="J6" s="1304"/>
      <c r="K6" s="1307"/>
      <c r="L6" s="1308"/>
      <c r="M6" s="1309"/>
    </row>
    <row r="7" spans="2:14" x14ac:dyDescent="0.2">
      <c r="B7" s="1310" t="s">
        <v>1661</v>
      </c>
      <c r="C7" s="1311"/>
      <c r="D7" s="1312"/>
      <c r="E7" s="1313"/>
      <c r="F7" s="1314"/>
      <c r="G7" s="1313"/>
      <c r="H7" s="1315" t="s">
        <v>1323</v>
      </c>
      <c r="I7" s="1313"/>
      <c r="J7" s="1316" t="s">
        <v>1323</v>
      </c>
      <c r="K7" s="1317"/>
      <c r="L7" s="1318" t="s">
        <v>1321</v>
      </c>
      <c r="M7" s="1319"/>
    </row>
    <row r="8" spans="2:14" x14ac:dyDescent="0.2">
      <c r="B8" s="1677"/>
      <c r="C8" s="1311" t="s">
        <v>1325</v>
      </c>
      <c r="D8" s="1312" t="s">
        <v>1324</v>
      </c>
      <c r="E8" s="1320" t="s">
        <v>1323</v>
      </c>
      <c r="F8" s="1321" t="s">
        <v>1323</v>
      </c>
      <c r="G8" s="1322" t="s">
        <v>1323</v>
      </c>
      <c r="H8" s="1315" t="s">
        <v>1662</v>
      </c>
      <c r="I8" s="1317" t="s">
        <v>1323</v>
      </c>
      <c r="J8" s="1316" t="s">
        <v>1946</v>
      </c>
      <c r="K8" s="1317" t="s">
        <v>1322</v>
      </c>
      <c r="L8" s="1318" t="s">
        <v>1318</v>
      </c>
      <c r="M8" s="1319" t="s">
        <v>30</v>
      </c>
    </row>
    <row r="9" spans="2:14" ht="14.25" x14ac:dyDescent="0.2">
      <c r="B9" s="1323" t="s">
        <v>1320</v>
      </c>
      <c r="C9" s="1311" t="s">
        <v>1834</v>
      </c>
      <c r="D9" s="1312" t="s">
        <v>1835</v>
      </c>
      <c r="E9" s="1320" t="s">
        <v>1662</v>
      </c>
      <c r="F9" s="1321" t="s">
        <v>1946</v>
      </c>
      <c r="G9" s="1322" t="s">
        <v>1662</v>
      </c>
      <c r="H9" s="1315" t="s">
        <v>1663</v>
      </c>
      <c r="I9" s="1317" t="s">
        <v>1946</v>
      </c>
      <c r="J9" s="1316" t="s">
        <v>1663</v>
      </c>
      <c r="K9" s="1317" t="s">
        <v>1319</v>
      </c>
      <c r="L9" s="1324" t="s">
        <v>1664</v>
      </c>
      <c r="M9" s="1319"/>
    </row>
    <row r="10" spans="2:14" ht="11.85" customHeight="1" x14ac:dyDescent="0.2">
      <c r="B10" s="1323" t="s">
        <v>1317</v>
      </c>
      <c r="C10" s="1325" t="s">
        <v>1316</v>
      </c>
      <c r="D10" s="1326" t="s">
        <v>1315</v>
      </c>
      <c r="E10" s="1327" t="s">
        <v>1314</v>
      </c>
      <c r="F10" s="1328" t="s">
        <v>1313</v>
      </c>
      <c r="G10" s="1329" t="s">
        <v>1312</v>
      </c>
      <c r="H10" s="1330" t="s">
        <v>1327</v>
      </c>
      <c r="I10" s="1331" t="s">
        <v>1311</v>
      </c>
      <c r="J10" s="1332" t="s">
        <v>1327</v>
      </c>
      <c r="K10" s="1333" t="s">
        <v>1310</v>
      </c>
      <c r="L10" s="1333" t="s">
        <v>1309</v>
      </c>
      <c r="M10" s="1334" t="s">
        <v>1308</v>
      </c>
    </row>
    <row r="11" spans="2:14" ht="20.100000000000001" customHeight="1" x14ac:dyDescent="0.2">
      <c r="B11" s="1335" t="s">
        <v>2127</v>
      </c>
      <c r="C11" s="1336"/>
      <c r="D11" s="1337"/>
      <c r="E11" s="1338"/>
      <c r="F11" s="1338"/>
      <c r="G11" s="1338"/>
      <c r="H11" s="1338"/>
      <c r="I11" s="1338"/>
      <c r="J11" s="1338"/>
      <c r="K11" s="1338"/>
      <c r="L11" s="1338"/>
      <c r="M11" s="1338"/>
    </row>
    <row r="12" spans="2:14" ht="20.100000000000001" customHeight="1" x14ac:dyDescent="0.2">
      <c r="B12" s="1335" t="s">
        <v>2137</v>
      </c>
      <c r="C12" s="1339"/>
      <c r="D12" s="1340"/>
      <c r="E12" s="1341"/>
      <c r="F12" s="1341"/>
      <c r="G12" s="1341"/>
      <c r="H12" s="1341"/>
      <c r="I12" s="1341"/>
      <c r="J12" s="1341"/>
      <c r="K12" s="1341"/>
      <c r="L12" s="1338"/>
      <c r="M12" s="1341"/>
    </row>
    <row r="13" spans="2:14" ht="20.100000000000001" customHeight="1" x14ac:dyDescent="0.2">
      <c r="B13" s="1335" t="s">
        <v>2128</v>
      </c>
      <c r="C13" s="1339">
        <v>84.048000000000002</v>
      </c>
      <c r="D13" s="1340" t="s">
        <v>2129</v>
      </c>
      <c r="E13" s="1341">
        <v>29959</v>
      </c>
      <c r="F13" s="1341"/>
      <c r="G13" s="1341">
        <v>29959</v>
      </c>
      <c r="H13" s="1341"/>
      <c r="I13" s="1341"/>
      <c r="J13" s="1341"/>
      <c r="K13" s="1341"/>
      <c r="L13" s="1338">
        <f t="shared" ref="L13:L24" si="0">+G13+I13+K13</f>
        <v>29959</v>
      </c>
      <c r="M13" s="1341">
        <v>23541</v>
      </c>
    </row>
    <row r="14" spans="2:14" ht="20.100000000000001" customHeight="1" x14ac:dyDescent="0.2">
      <c r="B14" s="1335" t="s">
        <v>2128</v>
      </c>
      <c r="C14" s="1339">
        <v>84.048000000000002</v>
      </c>
      <c r="D14" s="1340" t="s">
        <v>2130</v>
      </c>
      <c r="E14" s="1341"/>
      <c r="F14" s="1341">
        <v>28681</v>
      </c>
      <c r="G14" s="1341"/>
      <c r="H14" s="1341"/>
      <c r="I14" s="1341">
        <v>28681</v>
      </c>
      <c r="J14" s="1341"/>
      <c r="K14" s="1341"/>
      <c r="L14" s="1338">
        <f t="shared" si="0"/>
        <v>28681</v>
      </c>
      <c r="M14" s="1341">
        <v>29983</v>
      </c>
    </row>
    <row r="15" spans="2:14" ht="20.100000000000001" customHeight="1" x14ac:dyDescent="0.2">
      <c r="B15" s="1335" t="s">
        <v>2131</v>
      </c>
      <c r="C15" s="1339"/>
      <c r="D15" s="1340"/>
      <c r="E15" s="1341">
        <f>SUM(E13:E14)</f>
        <v>29959</v>
      </c>
      <c r="F15" s="1341">
        <f t="shared" ref="F15:K15" si="1">SUM(F13:F14)</f>
        <v>28681</v>
      </c>
      <c r="G15" s="1341">
        <f t="shared" si="1"/>
        <v>29959</v>
      </c>
      <c r="H15" s="1341">
        <f t="shared" si="1"/>
        <v>0</v>
      </c>
      <c r="I15" s="1341">
        <f t="shared" si="1"/>
        <v>28681</v>
      </c>
      <c r="J15" s="1341">
        <f t="shared" si="1"/>
        <v>0</v>
      </c>
      <c r="K15" s="1341">
        <f t="shared" si="1"/>
        <v>0</v>
      </c>
      <c r="L15" s="1338">
        <f t="shared" si="0"/>
        <v>58640</v>
      </c>
      <c r="M15" s="1341">
        <f>SUM(M13:M14)</f>
        <v>53524</v>
      </c>
    </row>
    <row r="16" spans="2:14" ht="20.100000000000001" customHeight="1" x14ac:dyDescent="0.2">
      <c r="B16" s="1335"/>
      <c r="C16" s="1339"/>
      <c r="D16" s="1340"/>
      <c r="E16" s="1341"/>
      <c r="F16" s="1341"/>
      <c r="G16" s="1341"/>
      <c r="H16" s="1341"/>
      <c r="I16" s="1341"/>
      <c r="J16" s="1341"/>
      <c r="K16" s="1341"/>
      <c r="L16" s="1338"/>
      <c r="M16" s="1341"/>
    </row>
    <row r="17" spans="2:14" ht="20.100000000000001" customHeight="1" x14ac:dyDescent="0.2">
      <c r="B17" s="1335" t="s">
        <v>2138</v>
      </c>
      <c r="C17" s="1339"/>
      <c r="D17" s="1340"/>
      <c r="E17" s="1341">
        <f>E15</f>
        <v>29959</v>
      </c>
      <c r="F17" s="1341">
        <f t="shared" ref="F17:K17" si="2">F15</f>
        <v>28681</v>
      </c>
      <c r="G17" s="1341">
        <f t="shared" si="2"/>
        <v>29959</v>
      </c>
      <c r="H17" s="1341">
        <f t="shared" si="2"/>
        <v>0</v>
      </c>
      <c r="I17" s="1341">
        <f t="shared" si="2"/>
        <v>28681</v>
      </c>
      <c r="J17" s="1341">
        <f t="shared" si="2"/>
        <v>0</v>
      </c>
      <c r="K17" s="1341">
        <f t="shared" si="2"/>
        <v>0</v>
      </c>
      <c r="L17" s="1338">
        <f t="shared" si="0"/>
        <v>58640</v>
      </c>
      <c r="M17" s="1341">
        <f>M15</f>
        <v>53524</v>
      </c>
    </row>
    <row r="18" spans="2:14" ht="20.100000000000001" customHeight="1" x14ac:dyDescent="0.2">
      <c r="B18" s="1335"/>
      <c r="C18" s="1339"/>
      <c r="D18" s="1340"/>
      <c r="E18" s="1341"/>
      <c r="F18" s="1341"/>
      <c r="G18" s="1341"/>
      <c r="H18" s="1341"/>
      <c r="I18" s="1341"/>
      <c r="J18" s="1341"/>
      <c r="K18" s="1341"/>
      <c r="L18" s="1338"/>
      <c r="M18" s="1341"/>
    </row>
    <row r="19" spans="2:14" ht="20.100000000000001" customHeight="1" x14ac:dyDescent="0.2">
      <c r="B19" s="1335" t="s">
        <v>2140</v>
      </c>
      <c r="C19" s="1339"/>
      <c r="D19" s="1340"/>
      <c r="E19" s="1341"/>
      <c r="F19" s="1341"/>
      <c r="G19" s="1341"/>
      <c r="H19" s="1341"/>
      <c r="I19" s="1341"/>
      <c r="J19" s="1341"/>
      <c r="K19" s="1341"/>
      <c r="L19" s="1338"/>
      <c r="M19" s="1341"/>
    </row>
    <row r="20" spans="2:14" ht="20.100000000000001" customHeight="1" x14ac:dyDescent="0.2">
      <c r="B20" s="1335" t="s">
        <v>2133</v>
      </c>
      <c r="C20" s="1339">
        <v>84.126000000000005</v>
      </c>
      <c r="D20" s="1340" t="s">
        <v>2134</v>
      </c>
      <c r="E20" s="1341">
        <v>19888</v>
      </c>
      <c r="F20" s="1341">
        <v>6657</v>
      </c>
      <c r="G20" s="1341">
        <v>26545</v>
      </c>
      <c r="H20" s="1341"/>
      <c r="I20" s="1341"/>
      <c r="J20" s="1341"/>
      <c r="K20" s="1341"/>
      <c r="L20" s="1338">
        <f t="shared" si="0"/>
        <v>26545</v>
      </c>
      <c r="M20" s="1341">
        <v>26545</v>
      </c>
    </row>
    <row r="21" spans="2:14" ht="20.100000000000001" customHeight="1" x14ac:dyDescent="0.2">
      <c r="B21" s="1335" t="s">
        <v>2133</v>
      </c>
      <c r="C21" s="1339">
        <v>84.126000000000005</v>
      </c>
      <c r="D21" s="1340" t="s">
        <v>2135</v>
      </c>
      <c r="E21" s="1341"/>
      <c r="F21" s="1341">
        <v>25582</v>
      </c>
      <c r="G21" s="1341"/>
      <c r="H21" s="1341"/>
      <c r="I21" s="1341">
        <v>26182</v>
      </c>
      <c r="J21" s="1341"/>
      <c r="K21" s="1341"/>
      <c r="L21" s="1338">
        <f t="shared" si="0"/>
        <v>26182</v>
      </c>
      <c r="M21" s="1341">
        <v>26545</v>
      </c>
    </row>
    <row r="22" spans="2:14" ht="20.100000000000001" customHeight="1" x14ac:dyDescent="0.2">
      <c r="B22" s="1335" t="s">
        <v>2136</v>
      </c>
      <c r="C22" s="1339"/>
      <c r="D22" s="1340"/>
      <c r="E22" s="1341">
        <f>SUM(E20:E21)</f>
        <v>19888</v>
      </c>
      <c r="F22" s="1341">
        <f t="shared" ref="F22:K22" si="3">SUM(F20:F21)</f>
        <v>32239</v>
      </c>
      <c r="G22" s="1341">
        <f t="shared" si="3"/>
        <v>26545</v>
      </c>
      <c r="H22" s="1341">
        <f t="shared" si="3"/>
        <v>0</v>
      </c>
      <c r="I22" s="1341">
        <f t="shared" si="3"/>
        <v>26182</v>
      </c>
      <c r="J22" s="1341">
        <f t="shared" si="3"/>
        <v>0</v>
      </c>
      <c r="K22" s="1341">
        <f t="shared" si="3"/>
        <v>0</v>
      </c>
      <c r="L22" s="1338">
        <f t="shared" si="0"/>
        <v>52727</v>
      </c>
      <c r="M22" s="1341">
        <f>SUM(M20:M21)</f>
        <v>53090</v>
      </c>
    </row>
    <row r="23" spans="2:14" ht="20.100000000000001" customHeight="1" x14ac:dyDescent="0.2">
      <c r="B23" s="1335"/>
      <c r="C23" s="1339"/>
      <c r="D23" s="1340"/>
      <c r="E23" s="1341"/>
      <c r="F23" s="1341"/>
      <c r="G23" s="1341"/>
      <c r="H23" s="1341"/>
      <c r="I23" s="1341"/>
      <c r="J23" s="1341"/>
      <c r="K23" s="1341"/>
      <c r="L23" s="1338"/>
      <c r="M23" s="1341"/>
    </row>
    <row r="24" spans="2:14" ht="20.100000000000001" customHeight="1" x14ac:dyDescent="0.2">
      <c r="B24" s="1335" t="s">
        <v>2139</v>
      </c>
      <c r="C24" s="1339"/>
      <c r="D24" s="1340"/>
      <c r="E24" s="1341">
        <f>E22</f>
        <v>19888</v>
      </c>
      <c r="F24" s="1341">
        <f t="shared" ref="F24:K24" si="4">F22</f>
        <v>32239</v>
      </c>
      <c r="G24" s="1341">
        <f t="shared" si="4"/>
        <v>26545</v>
      </c>
      <c r="H24" s="1341">
        <f t="shared" si="4"/>
        <v>0</v>
      </c>
      <c r="I24" s="1341">
        <f t="shared" si="4"/>
        <v>26182</v>
      </c>
      <c r="J24" s="1341">
        <f t="shared" si="4"/>
        <v>0</v>
      </c>
      <c r="K24" s="1341">
        <f t="shared" si="4"/>
        <v>0</v>
      </c>
      <c r="L24" s="1338">
        <f t="shared" si="0"/>
        <v>52727</v>
      </c>
      <c r="M24" s="1341">
        <f>M22</f>
        <v>53090</v>
      </c>
    </row>
    <row r="25" spans="2:14" ht="20.100000000000001" customHeight="1" x14ac:dyDescent="0.2">
      <c r="B25" s="1335"/>
      <c r="C25" s="1339"/>
      <c r="D25" s="1340"/>
      <c r="E25" s="1341"/>
      <c r="F25" s="1341"/>
      <c r="G25" s="1341"/>
      <c r="H25" s="1341"/>
      <c r="I25" s="1341"/>
      <c r="J25" s="1341"/>
      <c r="K25" s="1341"/>
      <c r="L25" s="1338"/>
      <c r="M25" s="1341"/>
    </row>
    <row r="26" spans="2:14" ht="20.100000000000001" customHeight="1" x14ac:dyDescent="0.2">
      <c r="B26" s="1335"/>
      <c r="C26" s="1339"/>
      <c r="D26" s="1340"/>
      <c r="E26" s="1341"/>
      <c r="F26" s="1341"/>
      <c r="G26" s="1341"/>
      <c r="H26" s="1341"/>
      <c r="I26" s="1341"/>
      <c r="J26" s="1341"/>
      <c r="K26" s="1341"/>
      <c r="L26" s="1338"/>
      <c r="M26" s="1341"/>
    </row>
    <row r="27" spans="2:14" ht="20.100000000000001" customHeight="1" x14ac:dyDescent="0.2">
      <c r="B27" s="1335"/>
      <c r="C27" s="1339"/>
      <c r="D27" s="1340"/>
      <c r="E27" s="1341"/>
      <c r="F27" s="1341"/>
      <c r="G27" s="1341"/>
      <c r="H27" s="1341"/>
      <c r="I27" s="1341"/>
      <c r="J27" s="1341"/>
      <c r="K27" s="1341"/>
      <c r="L27" s="1338"/>
      <c r="M27" s="1341"/>
      <c r="N27" s="1342"/>
    </row>
    <row r="28" spans="2:14" ht="12.75" customHeight="1" x14ac:dyDescent="0.2">
      <c r="B28" s="1343"/>
      <c r="C28" s="1344"/>
      <c r="D28" s="1345"/>
      <c r="E28" s="1346"/>
      <c r="F28" s="1346"/>
      <c r="G28" s="1346"/>
      <c r="H28" s="1346"/>
      <c r="I28" s="1346"/>
      <c r="J28" s="1346"/>
      <c r="K28" s="1346"/>
      <c r="L28" s="1346"/>
      <c r="M28" s="1346"/>
      <c r="N28" s="1342"/>
    </row>
    <row r="29" spans="2:14" x14ac:dyDescent="0.2">
      <c r="B29" s="1256"/>
      <c r="C29" s="1347"/>
      <c r="D29" s="1348"/>
      <c r="E29" s="1256"/>
      <c r="F29" s="1256"/>
      <c r="G29" s="1249"/>
      <c r="H29" s="1249"/>
      <c r="I29" s="1249"/>
      <c r="J29" s="1249"/>
      <c r="K29" s="1249"/>
      <c r="L29" s="1249"/>
      <c r="M29" s="1256"/>
      <c r="N29" s="1342"/>
    </row>
    <row r="30" spans="2:14" ht="13.5" customHeight="1" x14ac:dyDescent="0.2">
      <c r="B30" s="1281" t="s">
        <v>1836</v>
      </c>
      <c r="C30" s="1347"/>
      <c r="D30" s="1348"/>
      <c r="E30" s="1256"/>
      <c r="F30" s="1256"/>
      <c r="G30" s="1249"/>
      <c r="H30" s="1249"/>
      <c r="I30" s="1249"/>
      <c r="J30" s="1249"/>
      <c r="K30" s="1249"/>
      <c r="L30" s="1249"/>
      <c r="M30" s="1256"/>
      <c r="N30" s="1342"/>
    </row>
    <row r="31" spans="2:14" ht="8.25" customHeight="1" x14ac:dyDescent="0.2">
      <c r="B31" s="1281"/>
      <c r="C31" s="1347"/>
      <c r="D31" s="1348"/>
      <c r="E31" s="1256"/>
      <c r="F31" s="1256"/>
      <c r="G31" s="1249"/>
      <c r="H31" s="1249"/>
      <c r="I31" s="1249"/>
      <c r="J31" s="1249"/>
      <c r="K31" s="1249"/>
      <c r="L31" s="1249"/>
      <c r="M31" s="1256"/>
      <c r="N31" s="1342"/>
    </row>
    <row r="32" spans="2:14" x14ac:dyDescent="0.2">
      <c r="B32" s="1349" t="s">
        <v>1947</v>
      </c>
      <c r="C32" s="1350"/>
      <c r="D32" s="1351"/>
      <c r="E32" s="1352"/>
      <c r="F32" s="1352"/>
      <c r="G32" s="1352"/>
      <c r="H32" s="1352"/>
      <c r="I32" s="317"/>
      <c r="J32" s="317"/>
    </row>
    <row r="33" spans="2:13" x14ac:dyDescent="0.2">
      <c r="B33" s="1276"/>
      <c r="C33" s="1353"/>
      <c r="D33" s="1354"/>
      <c r="E33" s="1277"/>
      <c r="F33" s="1277"/>
      <c r="G33" s="317"/>
      <c r="H33" s="317"/>
      <c r="I33" s="317"/>
      <c r="J33" s="317"/>
    </row>
    <row r="34" spans="2:13" ht="13.5" customHeight="1" x14ac:dyDescent="0.2">
      <c r="B34" s="1275" t="s">
        <v>1307</v>
      </c>
      <c r="G34" s="317"/>
      <c r="H34" s="317"/>
      <c r="I34" s="317"/>
      <c r="J34" s="317"/>
    </row>
    <row r="35" spans="2:13" ht="13.5" customHeight="1" x14ac:dyDescent="0.2">
      <c r="B35" s="1357"/>
      <c r="C35" s="1358"/>
      <c r="D35" s="1359"/>
      <c r="E35" s="1295"/>
      <c r="F35" s="1295"/>
      <c r="G35" s="1295"/>
      <c r="H35" s="1295"/>
      <c r="I35" s="1295"/>
      <c r="J35" s="1295"/>
      <c r="K35" s="1360"/>
      <c r="L35" s="1360"/>
      <c r="M35" s="1295"/>
    </row>
    <row r="36" spans="2:13" ht="9.6" customHeight="1" x14ac:dyDescent="0.2">
      <c r="B36" s="1361"/>
      <c r="G36" s="317"/>
      <c r="H36" s="317"/>
      <c r="I36" s="317"/>
      <c r="J36" s="317"/>
    </row>
    <row r="37" spans="2:13" ht="11.25" customHeight="1" x14ac:dyDescent="0.2">
      <c r="B37" s="1362" t="s">
        <v>1837</v>
      </c>
      <c r="C37" s="1363"/>
      <c r="D37" s="1363"/>
      <c r="E37" s="1363"/>
      <c r="F37" s="1363"/>
      <c r="G37" s="1363"/>
      <c r="H37" s="1363"/>
      <c r="I37" s="1364"/>
      <c r="J37" s="1364"/>
      <c r="K37" s="1364"/>
      <c r="L37" s="1364"/>
      <c r="M37" s="1364"/>
    </row>
    <row r="38" spans="2:13" ht="11.25" customHeight="1" x14ac:dyDescent="0.2">
      <c r="B38" s="1365" t="s">
        <v>1665</v>
      </c>
      <c r="C38" s="1364"/>
      <c r="D38" s="1364"/>
      <c r="E38" s="1364"/>
      <c r="F38" s="1364"/>
      <c r="G38" s="1364"/>
      <c r="H38" s="1364"/>
      <c r="I38" s="1364"/>
      <c r="J38" s="1364"/>
      <c r="K38" s="1364"/>
      <c r="L38" s="1364"/>
      <c r="M38" s="1364"/>
    </row>
    <row r="39" spans="2:13" ht="3.95" customHeight="1" x14ac:dyDescent="0.2">
      <c r="B39" s="1365"/>
      <c r="C39" s="1364"/>
      <c r="D39" s="1364"/>
      <c r="E39" s="1364"/>
      <c r="F39" s="1364"/>
      <c r="G39" s="1364"/>
      <c r="H39" s="1364"/>
      <c r="I39" s="1364"/>
      <c r="J39" s="1364"/>
      <c r="K39" s="1364"/>
      <c r="L39" s="1364"/>
      <c r="M39" s="1364"/>
    </row>
    <row r="40" spans="2:13" ht="11.25" customHeight="1" x14ac:dyDescent="0.2">
      <c r="B40" s="1362" t="s">
        <v>1838</v>
      </c>
      <c r="C40" s="1364"/>
      <c r="D40" s="1364"/>
      <c r="E40" s="1364"/>
      <c r="F40" s="1364"/>
      <c r="G40" s="1364"/>
      <c r="H40" s="1364"/>
      <c r="I40" s="1364"/>
      <c r="J40" s="1364"/>
      <c r="K40" s="1364"/>
      <c r="L40" s="1364"/>
      <c r="M40" s="1364"/>
    </row>
    <row r="41" spans="2:13" ht="11.25" customHeight="1" x14ac:dyDescent="0.2">
      <c r="B41" s="1298" t="s">
        <v>1666</v>
      </c>
      <c r="C41" s="1366"/>
      <c r="D41" s="1367"/>
      <c r="E41" s="1298"/>
      <c r="F41" s="1298"/>
      <c r="G41" s="1298"/>
      <c r="H41" s="1298"/>
      <c r="I41" s="1298"/>
      <c r="J41" s="1298"/>
      <c r="K41" s="1368"/>
      <c r="L41" s="1368"/>
      <c r="M41" s="1298"/>
    </row>
    <row r="42" spans="2:13" ht="3.95" customHeight="1" x14ac:dyDescent="0.2">
      <c r="B42" s="1298"/>
      <c r="C42" s="1366"/>
      <c r="D42" s="1367"/>
      <c r="E42" s="1298"/>
      <c r="F42" s="1298"/>
      <c r="G42" s="1298"/>
      <c r="H42" s="1298"/>
      <c r="I42" s="1298"/>
      <c r="J42" s="1298"/>
      <c r="K42" s="1368"/>
      <c r="L42" s="1368"/>
      <c r="M42" s="1298"/>
    </row>
    <row r="43" spans="2:13" ht="11.25" customHeight="1" x14ac:dyDescent="0.2">
      <c r="B43" s="1369" t="s">
        <v>1839</v>
      </c>
      <c r="C43" s="1366"/>
      <c r="D43" s="1367"/>
      <c r="E43" s="1298"/>
      <c r="F43" s="1298"/>
      <c r="G43" s="1298"/>
      <c r="H43" s="1298"/>
      <c r="I43" s="1298"/>
      <c r="J43" s="1298"/>
      <c r="K43" s="1368"/>
      <c r="L43" s="1368"/>
      <c r="M43" s="1298"/>
    </row>
    <row r="44" spans="2:13" ht="3.95" customHeight="1" x14ac:dyDescent="0.2">
      <c r="B44" s="1369"/>
      <c r="C44" s="1366"/>
      <c r="D44" s="1367"/>
      <c r="E44" s="1298"/>
      <c r="F44" s="1298"/>
      <c r="G44" s="1298"/>
      <c r="H44" s="1298"/>
      <c r="I44" s="1298"/>
      <c r="J44" s="1298"/>
      <c r="K44" s="1368"/>
      <c r="L44" s="1368"/>
      <c r="M44" s="1298"/>
    </row>
    <row r="45" spans="2:13" ht="11.25" customHeight="1" x14ac:dyDescent="0.2">
      <c r="B45" s="1370" t="s">
        <v>1840</v>
      </c>
      <c r="C45" s="1366"/>
      <c r="D45" s="1367"/>
      <c r="E45" s="1298"/>
      <c r="F45" s="1298"/>
      <c r="G45" s="1298"/>
      <c r="H45" s="1298"/>
      <c r="I45" s="1298"/>
      <c r="J45" s="1298"/>
      <c r="K45" s="1368"/>
      <c r="L45" s="1368"/>
      <c r="M45" s="1298"/>
    </row>
    <row r="46" spans="2:13" ht="11.25" customHeight="1" x14ac:dyDescent="0.2">
      <c r="B46" s="1298" t="s">
        <v>1667</v>
      </c>
      <c r="G46" s="317"/>
      <c r="H46" s="317"/>
      <c r="I46" s="317"/>
      <c r="J46" s="317"/>
    </row>
    <row r="47" spans="2:13" ht="11.1" customHeight="1" x14ac:dyDescent="0.2">
      <c r="B47" s="1298"/>
      <c r="G47" s="317"/>
      <c r="H47" s="317"/>
      <c r="I47" s="317"/>
      <c r="J47" s="317"/>
    </row>
    <row r="48" spans="2:13" ht="11.1" customHeight="1" x14ac:dyDescent="0.2">
      <c r="B48" s="1298"/>
      <c r="G48" s="317"/>
      <c r="H48" s="317"/>
      <c r="I48" s="317"/>
      <c r="J48" s="317"/>
    </row>
    <row r="49" spans="7:13" ht="13.5" customHeight="1" x14ac:dyDescent="0.2">
      <c r="M49" s="1371"/>
    </row>
    <row r="50" spans="7:13" ht="13.5" customHeight="1" x14ac:dyDescent="0.2">
      <c r="M50" s="1371"/>
    </row>
    <row r="51" spans="7:13" ht="13.5" customHeight="1" x14ac:dyDescent="0.2">
      <c r="M51" s="1371"/>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7" right="0.7" top="0.75" bottom="0.75" header="0.3" footer="0.3"/>
  <pageSetup scale="76" firstPageNumber="38" orientation="landscape" useFirstPageNumber="1" r:id="rId1"/>
  <headerFooter>
    <oddHeader>&amp;L&amp;8Page 40&amp;R&amp;8Page 40</oddHeader>
    <oddFooter>&amp;LSee Notes to Financial Statements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colorId="8" zoomScale="110" zoomScaleNormal="110" workbookViewId="0"/>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79" t="s">
        <v>1229</v>
      </c>
      <c r="B2" s="2079"/>
      <c r="C2" s="2079"/>
      <c r="D2" s="2079"/>
      <c r="E2" s="2079"/>
      <c r="F2" s="2079"/>
      <c r="G2" s="2079"/>
      <c r="H2" s="2079"/>
      <c r="I2" s="2079"/>
      <c r="J2" s="2079"/>
    </row>
    <row r="3" spans="1:11" s="181" customFormat="1" ht="17.25" customHeight="1" x14ac:dyDescent="0.2">
      <c r="A3" s="207"/>
      <c r="B3" s="207"/>
      <c r="C3" s="208"/>
      <c r="D3" s="209"/>
      <c r="E3" s="210"/>
    </row>
    <row r="4" spans="1:11" x14ac:dyDescent="0.2">
      <c r="A4" s="344" t="s">
        <v>1734</v>
      </c>
      <c r="B4" s="344"/>
      <c r="C4" s="344"/>
      <c r="D4" s="344"/>
      <c r="E4" s="344"/>
      <c r="F4" s="344"/>
      <c r="G4" s="344"/>
      <c r="H4" s="344"/>
      <c r="I4" s="344"/>
      <c r="J4" s="344"/>
      <c r="K4" s="344"/>
    </row>
    <row r="5" spans="1:11" x14ac:dyDescent="0.2">
      <c r="A5" s="237" t="s">
        <v>1735</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893</v>
      </c>
      <c r="B7" s="212"/>
      <c r="C7" s="213"/>
      <c r="D7" s="215"/>
    </row>
    <row r="8" spans="1:11" x14ac:dyDescent="0.2">
      <c r="A8" s="216"/>
      <c r="B8" s="217"/>
      <c r="D8" s="218"/>
    </row>
    <row r="9" spans="1:11" s="181" customFormat="1" x14ac:dyDescent="0.2">
      <c r="A9" s="219"/>
      <c r="B9" s="220"/>
      <c r="C9" s="179">
        <v>1</v>
      </c>
      <c r="D9" s="221" t="s">
        <v>1638</v>
      </c>
    </row>
    <row r="10" spans="1:11" s="181" customFormat="1" x14ac:dyDescent="0.2">
      <c r="A10" s="222"/>
      <c r="B10" s="223"/>
      <c r="C10" s="224"/>
      <c r="D10" s="225" t="s">
        <v>1721</v>
      </c>
    </row>
    <row r="11" spans="1:11" s="181" customFormat="1" x14ac:dyDescent="0.2">
      <c r="A11" s="219"/>
      <c r="B11" s="226"/>
      <c r="C11" s="227">
        <v>2</v>
      </c>
      <c r="D11" s="228" t="s">
        <v>1722</v>
      </c>
    </row>
    <row r="12" spans="1:11" s="181" customFormat="1" hidden="1" x14ac:dyDescent="0.2">
      <c r="A12" s="219"/>
      <c r="B12" s="229"/>
      <c r="C12" s="227"/>
      <c r="D12" s="230"/>
    </row>
    <row r="13" spans="1:11" s="181" customFormat="1" x14ac:dyDescent="0.2">
      <c r="A13" s="219"/>
      <c r="B13" s="226"/>
      <c r="C13" s="227">
        <v>3</v>
      </c>
      <c r="D13" s="228" t="s">
        <v>1723</v>
      </c>
    </row>
    <row r="14" spans="1:11" s="181" customFormat="1" x14ac:dyDescent="0.2">
      <c r="A14" s="219"/>
      <c r="B14" s="226"/>
      <c r="C14" s="227">
        <v>4</v>
      </c>
      <c r="D14" s="228" t="s">
        <v>1724</v>
      </c>
    </row>
    <row r="15" spans="1:11" s="181" customFormat="1" x14ac:dyDescent="0.2">
      <c r="A15" s="219"/>
      <c r="B15" s="226"/>
      <c r="C15" s="227">
        <v>5</v>
      </c>
      <c r="D15" s="231" t="s">
        <v>1025</v>
      </c>
    </row>
    <row r="16" spans="1:11" s="181" customFormat="1" x14ac:dyDescent="0.2">
      <c r="A16" s="219"/>
      <c r="B16" s="226"/>
      <c r="C16" s="227">
        <v>6</v>
      </c>
      <c r="D16" s="231" t="s">
        <v>1533</v>
      </c>
    </row>
    <row r="17" spans="1:4" s="181" customFormat="1" ht="6" hidden="1" customHeight="1" x14ac:dyDescent="0.2">
      <c r="A17" s="219"/>
      <c r="B17" s="229"/>
      <c r="C17" s="227"/>
      <c r="D17" s="232"/>
    </row>
    <row r="18" spans="1:4" s="181" customFormat="1" ht="12" customHeight="1" x14ac:dyDescent="0.2">
      <c r="A18" s="219"/>
      <c r="B18" s="226"/>
      <c r="C18" s="227">
        <v>7</v>
      </c>
      <c r="D18" s="231" t="s">
        <v>1532</v>
      </c>
    </row>
    <row r="19" spans="1:4" s="181" customFormat="1" hidden="1" x14ac:dyDescent="0.2">
      <c r="A19" s="219"/>
      <c r="B19" s="229"/>
      <c r="C19" s="227"/>
      <c r="D19" s="232"/>
    </row>
    <row r="20" spans="1:4" s="181" customFormat="1" x14ac:dyDescent="0.2">
      <c r="A20" s="219"/>
      <c r="B20" s="226"/>
      <c r="C20" s="227">
        <v>8</v>
      </c>
      <c r="D20" s="231" t="s">
        <v>1725</v>
      </c>
    </row>
    <row r="21" spans="1:4" s="181" customFormat="1" x14ac:dyDescent="0.2">
      <c r="A21" s="219"/>
      <c r="B21" s="229"/>
      <c r="C21" s="227"/>
      <c r="D21" s="233" t="s">
        <v>1635</v>
      </c>
    </row>
    <row r="22" spans="1:4" s="181" customFormat="1" x14ac:dyDescent="0.2">
      <c r="A22" s="219"/>
      <c r="B22" s="226"/>
      <c r="C22" s="227">
        <v>9</v>
      </c>
      <c r="D22" s="231" t="s">
        <v>1726</v>
      </c>
    </row>
    <row r="23" spans="1:4" s="181" customFormat="1" x14ac:dyDescent="0.2">
      <c r="A23" s="219"/>
      <c r="B23" s="234"/>
      <c r="C23" s="227"/>
      <c r="D23" s="235" t="s">
        <v>1636</v>
      </c>
    </row>
    <row r="24" spans="1:4" s="181" customFormat="1" x14ac:dyDescent="0.2">
      <c r="A24" s="219"/>
      <c r="B24" s="226"/>
      <c r="C24" s="227">
        <v>10</v>
      </c>
      <c r="D24" s="231" t="s">
        <v>1727</v>
      </c>
    </row>
    <row r="25" spans="1:4" s="181" customFormat="1" x14ac:dyDescent="0.2">
      <c r="A25" s="219"/>
      <c r="B25" s="226"/>
      <c r="C25" s="227">
        <v>11</v>
      </c>
      <c r="D25" s="231" t="s">
        <v>1728</v>
      </c>
    </row>
    <row r="26" spans="1:4" s="181" customFormat="1" x14ac:dyDescent="0.2">
      <c r="A26" s="219"/>
      <c r="B26" s="234"/>
      <c r="C26" s="227"/>
      <c r="D26" s="235" t="s">
        <v>1637</v>
      </c>
    </row>
    <row r="27" spans="1:4" s="181" customFormat="1" x14ac:dyDescent="0.2">
      <c r="A27" s="219"/>
      <c r="B27" s="226"/>
      <c r="C27" s="227">
        <v>12</v>
      </c>
      <c r="D27" s="231" t="s">
        <v>1639</v>
      </c>
    </row>
    <row r="28" spans="1:4" s="181" customFormat="1" x14ac:dyDescent="0.2">
      <c r="A28" s="219"/>
      <c r="B28" s="229"/>
      <c r="C28" s="227"/>
      <c r="D28" s="225"/>
    </row>
    <row r="29" spans="1:4" s="181" customFormat="1" x14ac:dyDescent="0.2">
      <c r="A29" s="219"/>
      <c r="B29" s="226"/>
      <c r="C29" s="227">
        <v>13</v>
      </c>
      <c r="D29" s="231" t="s">
        <v>545</v>
      </c>
    </row>
    <row r="30" spans="1:4" s="181" customFormat="1" x14ac:dyDescent="0.2">
      <c r="A30" s="219"/>
      <c r="B30" s="229"/>
      <c r="C30" s="227"/>
      <c r="D30" s="225" t="s">
        <v>1729</v>
      </c>
    </row>
    <row r="31" spans="1:4" s="181" customFormat="1" x14ac:dyDescent="0.2">
      <c r="A31" s="219"/>
      <c r="B31" s="226"/>
      <c r="C31" s="227">
        <v>14</v>
      </c>
      <c r="D31" s="231" t="s">
        <v>1687</v>
      </c>
    </row>
    <row r="32" spans="1:4" s="181" customFormat="1" x14ac:dyDescent="0.2">
      <c r="A32" s="219"/>
      <c r="B32" s="236"/>
      <c r="C32" s="227"/>
      <c r="D32" s="237" t="s">
        <v>1892</v>
      </c>
    </row>
    <row r="33" spans="1:9" s="181" customFormat="1" ht="12" customHeight="1" x14ac:dyDescent="0.2">
      <c r="A33" s="219"/>
      <c r="B33" s="236"/>
      <c r="C33" s="227"/>
      <c r="D33" s="238" t="s">
        <v>1230</v>
      </c>
    </row>
    <row r="34" spans="1:9" s="181" customFormat="1" ht="8.25" hidden="1" customHeight="1" x14ac:dyDescent="0.2">
      <c r="A34" s="219"/>
      <c r="B34" s="229"/>
      <c r="C34" s="227"/>
      <c r="D34" s="239"/>
    </row>
    <row r="35" spans="1:9" s="181" customFormat="1" x14ac:dyDescent="0.2">
      <c r="A35" s="2093" t="s">
        <v>1730</v>
      </c>
      <c r="B35" s="2094"/>
      <c r="C35" s="2094"/>
      <c r="D35" s="2094"/>
      <c r="E35" s="2095"/>
      <c r="F35" s="2095"/>
      <c r="G35" s="2095"/>
      <c r="H35" s="2095"/>
      <c r="I35" s="2095"/>
    </row>
    <row r="36" spans="1:9" s="181" customFormat="1" x14ac:dyDescent="0.2">
      <c r="A36" s="219"/>
      <c r="B36" s="229"/>
      <c r="C36" s="227"/>
      <c r="D36" s="239"/>
    </row>
    <row r="37" spans="1:9" s="181" customFormat="1" x14ac:dyDescent="0.2">
      <c r="A37" s="219"/>
      <c r="B37" s="226"/>
      <c r="C37" s="227">
        <v>15</v>
      </c>
      <c r="D37" s="231" t="s">
        <v>379</v>
      </c>
    </row>
    <row r="38" spans="1:9" s="181" customFormat="1" x14ac:dyDescent="0.2">
      <c r="A38" s="219"/>
      <c r="B38" s="229"/>
      <c r="C38" s="227"/>
      <c r="D38" s="240" t="s">
        <v>1731</v>
      </c>
    </row>
    <row r="39" spans="1:9" s="181" customFormat="1" hidden="1" x14ac:dyDescent="0.2">
      <c r="A39" s="219"/>
      <c r="B39" s="229"/>
      <c r="C39" s="227"/>
      <c r="D39" s="241"/>
    </row>
    <row r="40" spans="1:9" s="181" customFormat="1" x14ac:dyDescent="0.2">
      <c r="A40" s="219"/>
      <c r="B40" s="226"/>
      <c r="C40" s="227">
        <v>16</v>
      </c>
      <c r="D40" s="242" t="s">
        <v>381</v>
      </c>
    </row>
    <row r="41" spans="1:9" s="181" customFormat="1" x14ac:dyDescent="0.2">
      <c r="A41" s="219"/>
      <c r="B41" s="229"/>
      <c r="C41" s="227"/>
      <c r="D41" s="240" t="s">
        <v>629</v>
      </c>
    </row>
    <row r="42" spans="1:9" s="181" customFormat="1" x14ac:dyDescent="0.2">
      <c r="A42" s="219"/>
      <c r="B42" s="226"/>
      <c r="C42" s="227">
        <v>17</v>
      </c>
      <c r="D42" s="242" t="s">
        <v>1732</v>
      </c>
    </row>
    <row r="43" spans="1:9" s="181" customFormat="1" x14ac:dyDescent="0.2">
      <c r="A43" s="219"/>
      <c r="B43" s="229"/>
      <c r="C43" s="227"/>
      <c r="D43" s="240" t="s">
        <v>1733</v>
      </c>
    </row>
    <row r="44" spans="1:9" s="181" customFormat="1" x14ac:dyDescent="0.2">
      <c r="A44" s="219"/>
      <c r="B44" s="226"/>
      <c r="C44" s="227">
        <v>18</v>
      </c>
      <c r="D44" s="242" t="s">
        <v>318</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93" t="s">
        <v>330</v>
      </c>
      <c r="B47" s="2096"/>
      <c r="C47" s="2096"/>
      <c r="D47" s="2096"/>
      <c r="E47" s="2097"/>
      <c r="F47" s="2097"/>
      <c r="G47" s="2097"/>
      <c r="H47" s="2097"/>
      <c r="I47" s="2097"/>
    </row>
    <row r="48" spans="1:9" s="181" customFormat="1" x14ac:dyDescent="0.2">
      <c r="A48" s="219"/>
      <c r="B48" s="229"/>
      <c r="C48" s="227"/>
      <c r="D48" s="239"/>
    </row>
    <row r="49" spans="1:10" s="181" customFormat="1" x14ac:dyDescent="0.2">
      <c r="A49" s="219"/>
      <c r="B49" s="226"/>
      <c r="C49" s="227">
        <v>19</v>
      </c>
      <c r="D49" s="243" t="s">
        <v>380</v>
      </c>
    </row>
    <row r="50" spans="1:10" s="181" customFormat="1" x14ac:dyDescent="0.2">
      <c r="A50" s="219"/>
      <c r="B50" s="226"/>
      <c r="C50" s="227">
        <v>20</v>
      </c>
      <c r="D50" s="243" t="s">
        <v>1736</v>
      </c>
    </row>
    <row r="51" spans="1:10" x14ac:dyDescent="0.2">
      <c r="B51" s="244"/>
      <c r="C51" s="245">
        <v>21</v>
      </c>
      <c r="D51" s="218" t="s">
        <v>1108</v>
      </c>
    </row>
    <row r="52" spans="1:10" x14ac:dyDescent="0.2">
      <c r="B52" s="246"/>
      <c r="C52" s="245"/>
      <c r="D52" s="240" t="s">
        <v>894</v>
      </c>
    </row>
    <row r="53" spans="1:10" s="181" customFormat="1" ht="15.75" customHeight="1" x14ac:dyDescent="0.2">
      <c r="A53" s="219"/>
      <c r="B53" s="220"/>
      <c r="C53" s="179">
        <v>22</v>
      </c>
      <c r="D53" s="247" t="s">
        <v>1536</v>
      </c>
      <c r="E53" s="248"/>
      <c r="F53" s="249"/>
      <c r="G53" s="249" t="s">
        <v>1535</v>
      </c>
      <c r="H53" s="250"/>
      <c r="I53" s="237" t="s">
        <v>1561</v>
      </c>
    </row>
    <row r="54" spans="1:10" s="181" customFormat="1" x14ac:dyDescent="0.2">
      <c r="A54" s="219"/>
      <c r="B54" s="220"/>
      <c r="C54" s="179">
        <v>23</v>
      </c>
      <c r="D54" s="243" t="s">
        <v>1428</v>
      </c>
      <c r="E54" s="248"/>
      <c r="F54" s="249"/>
    </row>
    <row r="55" spans="1:10" s="181" customFormat="1" x14ac:dyDescent="0.2">
      <c r="A55" s="214"/>
      <c r="B55" s="251"/>
      <c r="C55" s="251"/>
      <c r="D55" s="231" t="s">
        <v>1891</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100"/>
      <c r="C57" s="2101"/>
      <c r="D57" s="2101"/>
      <c r="E57" s="2101"/>
      <c r="F57" s="2101"/>
      <c r="G57" s="2101"/>
      <c r="H57" s="2101"/>
      <c r="I57" s="2101"/>
      <c r="J57" s="2102"/>
    </row>
    <row r="58" spans="1:10" s="181" customFormat="1" x14ac:dyDescent="0.2">
      <c r="A58" s="253"/>
      <c r="B58" s="2103"/>
      <c r="C58" s="2104"/>
      <c r="D58" s="2104"/>
      <c r="E58" s="2104"/>
      <c r="F58" s="2104"/>
      <c r="G58" s="2104"/>
      <c r="H58" s="2104"/>
      <c r="I58" s="2104"/>
      <c r="J58" s="2105"/>
    </row>
    <row r="59" spans="1:10" s="181" customFormat="1" x14ac:dyDescent="0.2">
      <c r="A59" s="253"/>
      <c r="B59" s="2103"/>
      <c r="C59" s="2104"/>
      <c r="D59" s="2104"/>
      <c r="E59" s="2104"/>
      <c r="F59" s="2104"/>
      <c r="G59" s="2104"/>
      <c r="H59" s="2104"/>
      <c r="I59" s="2104"/>
      <c r="J59" s="2105"/>
    </row>
    <row r="60" spans="1:10" s="181" customFormat="1" x14ac:dyDescent="0.2">
      <c r="A60" s="253"/>
      <c r="B60" s="2103"/>
      <c r="C60" s="2104"/>
      <c r="D60" s="2104"/>
      <c r="E60" s="2104"/>
      <c r="F60" s="2104"/>
      <c r="G60" s="2104"/>
      <c r="H60" s="2104"/>
      <c r="I60" s="2104"/>
      <c r="J60" s="2105"/>
    </row>
    <row r="61" spans="1:10" s="181" customFormat="1" x14ac:dyDescent="0.2">
      <c r="A61" s="253"/>
      <c r="B61" s="2103"/>
      <c r="C61" s="2104"/>
      <c r="D61" s="2104"/>
      <c r="E61" s="2104"/>
      <c r="F61" s="2104"/>
      <c r="G61" s="2104"/>
      <c r="H61" s="2104"/>
      <c r="I61" s="2104"/>
      <c r="J61" s="2105"/>
    </row>
    <row r="62" spans="1:10" s="181" customFormat="1" x14ac:dyDescent="0.2">
      <c r="A62" s="253"/>
      <c r="B62" s="2103"/>
      <c r="C62" s="2104"/>
      <c r="D62" s="2104"/>
      <c r="E62" s="2104"/>
      <c r="F62" s="2104"/>
      <c r="G62" s="2104"/>
      <c r="H62" s="2104"/>
      <c r="I62" s="2104"/>
      <c r="J62" s="2105"/>
    </row>
    <row r="63" spans="1:10" s="181" customFormat="1" x14ac:dyDescent="0.2">
      <c r="A63" s="253"/>
      <c r="B63" s="2103"/>
      <c r="C63" s="2104"/>
      <c r="D63" s="2104"/>
      <c r="E63" s="2104"/>
      <c r="F63" s="2104"/>
      <c r="G63" s="2104"/>
      <c r="H63" s="2104"/>
      <c r="I63" s="2104"/>
      <c r="J63" s="2105"/>
    </row>
    <row r="64" spans="1:10" s="181" customFormat="1" x14ac:dyDescent="0.2">
      <c r="A64" s="253"/>
      <c r="B64" s="2103"/>
      <c r="C64" s="2104"/>
      <c r="D64" s="2104"/>
      <c r="E64" s="2104"/>
      <c r="F64" s="2104"/>
      <c r="G64" s="2104"/>
      <c r="H64" s="2104"/>
      <c r="I64" s="2104"/>
      <c r="J64" s="2105"/>
    </row>
    <row r="65" spans="1:10" s="181" customFormat="1" x14ac:dyDescent="0.2">
      <c r="A65" s="253"/>
      <c r="B65" s="2103"/>
      <c r="C65" s="2104"/>
      <c r="D65" s="2104"/>
      <c r="E65" s="2104"/>
      <c r="F65" s="2104"/>
      <c r="G65" s="2104"/>
      <c r="H65" s="2104"/>
      <c r="I65" s="2104"/>
      <c r="J65" s="2105"/>
    </row>
    <row r="66" spans="1:10" s="181" customFormat="1" x14ac:dyDescent="0.2">
      <c r="A66" s="253"/>
      <c r="B66" s="2103"/>
      <c r="C66" s="2104"/>
      <c r="D66" s="2104"/>
      <c r="E66" s="2104"/>
      <c r="F66" s="2104"/>
      <c r="G66" s="2104"/>
      <c r="H66" s="2104"/>
      <c r="I66" s="2104"/>
      <c r="J66" s="2105"/>
    </row>
    <row r="67" spans="1:10" s="181" customFormat="1" ht="9" customHeight="1" x14ac:dyDescent="0.2">
      <c r="A67" s="254"/>
      <c r="B67" s="2106"/>
      <c r="C67" s="2107"/>
      <c r="D67" s="2107"/>
      <c r="E67" s="2107"/>
      <c r="F67" s="2107"/>
      <c r="G67" s="2107"/>
      <c r="H67" s="2107"/>
      <c r="I67" s="2107"/>
      <c r="J67" s="2108"/>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93" t="s">
        <v>1389</v>
      </c>
      <c r="B70" s="2096"/>
      <c r="C70" s="2096"/>
      <c r="D70" s="2096"/>
      <c r="E70" s="2097"/>
      <c r="F70" s="2097"/>
      <c r="G70" s="2097"/>
      <c r="H70" s="2097"/>
      <c r="I70" s="2097"/>
    </row>
    <row r="71" spans="1:10" s="181" customFormat="1" x14ac:dyDescent="0.2">
      <c r="A71" s="219"/>
      <c r="C71" s="257"/>
      <c r="D71" s="258" t="s">
        <v>1388</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2067</v>
      </c>
      <c r="B73" s="255"/>
      <c r="C73" s="256"/>
      <c r="D73" s="256"/>
      <c r="E73" s="256"/>
      <c r="F73" s="256"/>
      <c r="G73" s="256"/>
      <c r="H73" s="256"/>
    </row>
    <row r="74" spans="1:10" s="181" customFormat="1" x14ac:dyDescent="0.2">
      <c r="A74" s="259" t="s">
        <v>1496</v>
      </c>
      <c r="B74" s="255"/>
      <c r="C74" s="256"/>
      <c r="D74" s="256"/>
      <c r="E74" s="256"/>
      <c r="F74" s="256"/>
      <c r="G74" s="256"/>
      <c r="H74" s="256"/>
    </row>
    <row r="75" spans="1:10" s="181" customFormat="1" x14ac:dyDescent="0.2">
      <c r="A75" s="259" t="s">
        <v>1688</v>
      </c>
      <c r="B75" s="255"/>
      <c r="C75" s="256"/>
      <c r="D75" s="256"/>
      <c r="E75" s="256"/>
      <c r="F75" s="256"/>
      <c r="G75" s="256"/>
      <c r="H75" s="256"/>
    </row>
    <row r="76" spans="1:10" s="181" customFormat="1" ht="18.75" customHeight="1" x14ac:dyDescent="0.2">
      <c r="A76" s="239" t="s">
        <v>1497</v>
      </c>
      <c r="B76" s="255"/>
      <c r="C76" s="256"/>
      <c r="D76" s="256"/>
      <c r="E76" s="256"/>
      <c r="F76" s="256"/>
      <c r="G76" s="256"/>
      <c r="H76" s="256"/>
    </row>
    <row r="77" spans="1:10" s="181" customFormat="1" x14ac:dyDescent="0.2">
      <c r="C77" s="179">
        <v>24</v>
      </c>
      <c r="D77" s="247" t="s">
        <v>1744</v>
      </c>
      <c r="G77" s="297" t="s">
        <v>2017</v>
      </c>
      <c r="I77" s="1849"/>
      <c r="J77" s="261"/>
    </row>
    <row r="78" spans="1:10" s="181" customFormat="1" ht="6" customHeight="1" x14ac:dyDescent="0.2">
      <c r="A78" s="219"/>
      <c r="B78" s="262"/>
      <c r="C78" s="179"/>
      <c r="D78" s="247"/>
      <c r="E78" s="248"/>
      <c r="F78" s="249"/>
    </row>
    <row r="79" spans="1:10" s="181" customFormat="1" x14ac:dyDescent="0.2">
      <c r="A79" s="219"/>
      <c r="B79" s="262"/>
      <c r="C79" s="179">
        <v>25</v>
      </c>
      <c r="D79" s="247" t="s">
        <v>1742</v>
      </c>
      <c r="E79" s="248"/>
      <c r="F79" s="249"/>
    </row>
    <row r="80" spans="1:10" s="181" customFormat="1" x14ac:dyDescent="0.2">
      <c r="A80" s="219"/>
      <c r="B80" s="262"/>
      <c r="C80" s="179"/>
      <c r="D80" s="247" t="s">
        <v>1743</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98" t="s">
        <v>1386</v>
      </c>
      <c r="B83" s="2098"/>
      <c r="C83" s="2098"/>
      <c r="D83" s="2099"/>
      <c r="E83" s="263" t="s">
        <v>1423</v>
      </c>
      <c r="F83" s="263" t="s">
        <v>1424</v>
      </c>
      <c r="G83" s="263" t="s">
        <v>1425</v>
      </c>
      <c r="H83" s="263" t="s">
        <v>1426</v>
      </c>
      <c r="I83" s="263" t="s">
        <v>1427</v>
      </c>
      <c r="J83" s="264" t="s">
        <v>158</v>
      </c>
    </row>
    <row r="84" spans="1:10" s="181" customFormat="1" ht="13.5" customHeight="1" thickTop="1" x14ac:dyDescent="0.2">
      <c r="A84" s="265" t="s">
        <v>1518</v>
      </c>
      <c r="B84" s="266"/>
      <c r="C84" s="267"/>
      <c r="D84" s="268"/>
      <c r="E84" s="269"/>
      <c r="F84" s="269"/>
      <c r="G84" s="269"/>
      <c r="H84" s="269"/>
      <c r="I84" s="269"/>
      <c r="J84" s="270"/>
    </row>
    <row r="85" spans="1:10" s="181" customFormat="1" ht="13.5" customHeight="1" x14ac:dyDescent="0.2">
      <c r="A85" s="271" t="s">
        <v>2065</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1387</v>
      </c>
      <c r="B87" s="283"/>
      <c r="C87" s="284"/>
      <c r="D87" s="281"/>
      <c r="E87" s="269"/>
      <c r="F87" s="269"/>
      <c r="G87" s="269"/>
      <c r="H87" s="269"/>
      <c r="I87" s="269"/>
      <c r="J87" s="270"/>
    </row>
    <row r="88" spans="1:10" s="181" customFormat="1" ht="13.5" customHeight="1" x14ac:dyDescent="0.2">
      <c r="A88" s="285" t="s">
        <v>2065</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1737</v>
      </c>
      <c r="C92" s="179"/>
      <c r="E92" s="260"/>
      <c r="F92" s="296"/>
      <c r="H92" s="297"/>
    </row>
    <row r="93" spans="1:10" s="181" customFormat="1" ht="16.5" customHeight="1" x14ac:dyDescent="0.2">
      <c r="A93" s="219"/>
      <c r="B93" s="298" t="s">
        <v>2066</v>
      </c>
      <c r="C93" s="179"/>
      <c r="E93" s="260"/>
      <c r="F93" s="296"/>
      <c r="H93" s="297"/>
    </row>
    <row r="94" spans="1:10" s="181" customFormat="1" x14ac:dyDescent="0.2">
      <c r="A94" s="299" t="s">
        <v>1397</v>
      </c>
      <c r="B94" s="300"/>
      <c r="C94" s="300"/>
      <c r="D94" s="301"/>
      <c r="E94" s="302"/>
      <c r="F94" s="303"/>
      <c r="G94" s="304"/>
      <c r="H94" s="305"/>
      <c r="I94" s="306"/>
    </row>
    <row r="95" spans="1:10" s="181" customFormat="1" x14ac:dyDescent="0.2">
      <c r="A95" s="307"/>
      <c r="B95" s="308" t="s">
        <v>1738</v>
      </c>
      <c r="C95" s="309"/>
      <c r="D95" s="310"/>
      <c r="E95" s="304"/>
      <c r="F95" s="304"/>
      <c r="G95" s="304"/>
      <c r="H95" s="304"/>
      <c r="I95" s="304"/>
    </row>
    <row r="96" spans="1:10" s="181" customFormat="1" x14ac:dyDescent="0.2">
      <c r="A96" s="307" t="s">
        <v>1230</v>
      </c>
      <c r="B96" s="345" t="s">
        <v>1740</v>
      </c>
      <c r="C96" s="309"/>
      <c r="D96" s="311"/>
      <c r="E96" s="311"/>
      <c r="F96" s="311"/>
      <c r="G96" s="311"/>
      <c r="H96" s="311"/>
      <c r="I96" s="304"/>
    </row>
    <row r="97" spans="1:9" s="181" customFormat="1" x14ac:dyDescent="0.2">
      <c r="A97" s="307"/>
      <c r="B97" s="308" t="s">
        <v>1739</v>
      </c>
      <c r="C97" s="309"/>
      <c r="D97" s="311"/>
      <c r="E97" s="311"/>
      <c r="F97" s="311"/>
      <c r="G97" s="311"/>
      <c r="H97" s="311"/>
      <c r="I97" s="304"/>
    </row>
    <row r="98" spans="1:9" s="181" customFormat="1" x14ac:dyDescent="0.2">
      <c r="A98" s="308"/>
      <c r="B98" s="312" t="s">
        <v>1741</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1227</v>
      </c>
      <c r="C101" s="310"/>
      <c r="D101" s="310"/>
      <c r="E101" s="304"/>
      <c r="F101" s="304"/>
      <c r="G101" s="304"/>
      <c r="H101" s="304"/>
      <c r="I101" s="304"/>
    </row>
    <row r="102" spans="1:9" s="181" customFormat="1" x14ac:dyDescent="0.2">
      <c r="A102" s="316"/>
      <c r="B102" s="2080"/>
      <c r="C102" s="2081"/>
      <c r="D102" s="2081"/>
      <c r="E102" s="2081"/>
      <c r="F102" s="2081"/>
      <c r="G102" s="2081"/>
      <c r="H102" s="2081"/>
      <c r="I102" s="2082"/>
    </row>
    <row r="103" spans="1:9" s="181" customFormat="1" ht="11.25" customHeight="1" x14ac:dyDescent="0.2">
      <c r="A103" s="316"/>
      <c r="B103" s="2083"/>
      <c r="C103" s="2084"/>
      <c r="D103" s="2084"/>
      <c r="E103" s="2084"/>
      <c r="F103" s="2084"/>
      <c r="G103" s="2084"/>
      <c r="H103" s="2084"/>
      <c r="I103" s="2085"/>
    </row>
    <row r="104" spans="1:9" s="181" customFormat="1" ht="11.25" customHeight="1" x14ac:dyDescent="0.2">
      <c r="A104" s="316"/>
      <c r="B104" s="2083"/>
      <c r="C104" s="2084"/>
      <c r="D104" s="2084"/>
      <c r="E104" s="2084"/>
      <c r="F104" s="2084"/>
      <c r="G104" s="2084"/>
      <c r="H104" s="2084"/>
      <c r="I104" s="2085"/>
    </row>
    <row r="105" spans="1:9" s="181" customFormat="1" x14ac:dyDescent="0.2">
      <c r="A105" s="316"/>
      <c r="B105" s="2083"/>
      <c r="C105" s="2084"/>
      <c r="D105" s="2084"/>
      <c r="E105" s="2084"/>
      <c r="F105" s="2084"/>
      <c r="G105" s="2084"/>
      <c r="H105" s="2084"/>
      <c r="I105" s="2085"/>
    </row>
    <row r="106" spans="1:9" s="181" customFormat="1" ht="11.25" customHeight="1" x14ac:dyDescent="0.2">
      <c r="A106" s="316"/>
      <c r="B106" s="2083"/>
      <c r="C106" s="2084"/>
      <c r="D106" s="2084"/>
      <c r="E106" s="2084"/>
      <c r="F106" s="2084"/>
      <c r="G106" s="2084"/>
      <c r="H106" s="2084"/>
      <c r="I106" s="2085"/>
    </row>
    <row r="107" spans="1:9" s="181" customFormat="1" ht="11.25" customHeight="1" x14ac:dyDescent="0.2">
      <c r="A107" s="316"/>
      <c r="B107" s="2083"/>
      <c r="C107" s="2084"/>
      <c r="D107" s="2084"/>
      <c r="E107" s="2084"/>
      <c r="F107" s="2084"/>
      <c r="G107" s="2084"/>
      <c r="H107" s="2084"/>
      <c r="I107" s="2085"/>
    </row>
    <row r="108" spans="1:9" s="181" customFormat="1" ht="11.25" customHeight="1" x14ac:dyDescent="0.2">
      <c r="A108" s="316"/>
      <c r="B108" s="2083"/>
      <c r="C108" s="2084"/>
      <c r="D108" s="2084"/>
      <c r="E108" s="2084"/>
      <c r="F108" s="2084"/>
      <c r="G108" s="2084"/>
      <c r="H108" s="2084"/>
      <c r="I108" s="2085"/>
    </row>
    <row r="109" spans="1:9" s="181" customFormat="1" ht="11.25" customHeight="1" x14ac:dyDescent="0.2">
      <c r="A109" s="316"/>
      <c r="B109" s="2083"/>
      <c r="C109" s="2084"/>
      <c r="D109" s="2084"/>
      <c r="E109" s="2084"/>
      <c r="F109" s="2084"/>
      <c r="G109" s="2084"/>
      <c r="H109" s="2084"/>
      <c r="I109" s="2085"/>
    </row>
    <row r="110" spans="1:9" s="181" customFormat="1" ht="11.25" customHeight="1" x14ac:dyDescent="0.2">
      <c r="A110" s="316"/>
      <c r="B110" s="2083"/>
      <c r="C110" s="2084"/>
      <c r="D110" s="2084"/>
      <c r="E110" s="2084"/>
      <c r="F110" s="2084"/>
      <c r="G110" s="2084"/>
      <c r="H110" s="2084"/>
      <c r="I110" s="2085"/>
    </row>
    <row r="111" spans="1:9" s="181" customFormat="1" ht="11.25" customHeight="1" x14ac:dyDescent="0.2">
      <c r="A111" s="316"/>
      <c r="B111" s="2083"/>
      <c r="C111" s="2084"/>
      <c r="D111" s="2084"/>
      <c r="E111" s="2084"/>
      <c r="F111" s="2084"/>
      <c r="G111" s="2084"/>
      <c r="H111" s="2084"/>
      <c r="I111" s="2085"/>
    </row>
    <row r="112" spans="1:9" s="181" customFormat="1" ht="11.25" customHeight="1" x14ac:dyDescent="0.2">
      <c r="A112" s="316"/>
      <c r="B112" s="2086"/>
      <c r="C112" s="2087"/>
      <c r="D112" s="2087"/>
      <c r="E112" s="2087"/>
      <c r="F112" s="2087"/>
      <c r="G112" s="2087"/>
      <c r="H112" s="2087"/>
      <c r="I112" s="2088"/>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89" t="s">
        <v>2077</v>
      </c>
      <c r="D114" s="2089"/>
      <c r="E114" s="304"/>
      <c r="F114" s="304"/>
      <c r="G114" s="304"/>
      <c r="H114" s="304"/>
      <c r="I114" s="304"/>
    </row>
    <row r="115" spans="1:9" s="181" customFormat="1" ht="11.25" customHeight="1" x14ac:dyDescent="0.2">
      <c r="A115" s="316"/>
      <c r="B115" s="316"/>
      <c r="C115" s="318"/>
      <c r="D115" s="319" t="s">
        <v>1228</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90" t="s">
        <v>1396</v>
      </c>
      <c r="D117" s="2091"/>
      <c r="E117" s="2092"/>
      <c r="F117" s="2092"/>
      <c r="G117" s="2092"/>
      <c r="H117" s="2092"/>
      <c r="I117" s="304"/>
    </row>
    <row r="118" spans="1:9" s="181" customFormat="1" ht="24" customHeight="1" x14ac:dyDescent="0.2">
      <c r="A118" s="316"/>
      <c r="B118" s="316"/>
      <c r="C118" s="316"/>
      <c r="D118" s="323" t="s">
        <v>2351</v>
      </c>
      <c r="E118" s="322"/>
      <c r="F118" s="324"/>
      <c r="G118" s="1851"/>
      <c r="H118" s="322"/>
      <c r="I118" s="304"/>
    </row>
    <row r="119" spans="1:9" s="181" customFormat="1" ht="11.25" customHeight="1" x14ac:dyDescent="0.2">
      <c r="A119" s="325"/>
      <c r="B119" s="325"/>
      <c r="C119" s="326"/>
      <c r="D119" s="327" t="s">
        <v>378</v>
      </c>
      <c r="E119" s="310"/>
      <c r="F119" s="1850" t="s">
        <v>2018</v>
      </c>
      <c r="G119" s="328"/>
      <c r="H119" s="328"/>
      <c r="I119" s="304"/>
    </row>
    <row r="120" spans="1:9" x14ac:dyDescent="0.2">
      <c r="A120" s="329"/>
      <c r="B120" s="180"/>
      <c r="C120" s="330"/>
      <c r="D120" s="256"/>
      <c r="E120" s="256"/>
      <c r="F120" s="256"/>
      <c r="G120" s="256"/>
      <c r="H120" s="256"/>
      <c r="I120" s="304"/>
    </row>
    <row r="121" spans="1:9" x14ac:dyDescent="0.2">
      <c r="A121" s="329"/>
      <c r="B121" s="1501" t="s">
        <v>1689</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4"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52"/>
  <sheetViews>
    <sheetView showGridLines="0" zoomScaleNormal="100" workbookViewId="0">
      <selection activeCell="K36" sqref="K36"/>
    </sheetView>
  </sheetViews>
  <sheetFormatPr defaultColWidth="33.5703125" defaultRowHeight="12.75" x14ac:dyDescent="0.2"/>
  <cols>
    <col min="1" max="1" width="0.140625" style="317" customWidth="1"/>
    <col min="2" max="2" width="32.85546875" style="317" customWidth="1"/>
    <col min="3" max="3" width="8.7109375" style="1355" customWidth="1"/>
    <col min="4" max="4" width="12.7109375" style="1356" customWidth="1"/>
    <col min="5" max="6" width="11.7109375" style="317" customWidth="1"/>
    <col min="7" max="7" width="11.7109375" style="1257" customWidth="1"/>
    <col min="8" max="8" width="13.7109375" style="1257" bestFit="1" customWidth="1"/>
    <col min="9" max="9" width="11.7109375" style="1257" customWidth="1"/>
    <col min="10" max="10" width="13.7109375" style="1257" customWidth="1"/>
    <col min="11" max="12" width="11.7109375" style="1257" customWidth="1"/>
    <col min="13" max="13" width="11.7109375" style="317" customWidth="1"/>
    <col min="14" max="14" width="2.7109375" style="317" customWidth="1"/>
    <col min="15" max="16384" width="33.5703125" style="317"/>
  </cols>
  <sheetData>
    <row r="1" spans="2:14" ht="11.85" customHeight="1" x14ac:dyDescent="0.2">
      <c r="B1" s="2438" t="str">
        <f>'Single Audit Cover'!A7</f>
        <v>Jersey CUSD 100</v>
      </c>
      <c r="C1" s="2459"/>
      <c r="D1" s="2459"/>
      <c r="E1" s="2459"/>
      <c r="F1" s="2459"/>
      <c r="G1" s="2459"/>
      <c r="H1" s="2459"/>
      <c r="I1" s="2459"/>
      <c r="J1" s="2459"/>
      <c r="K1" s="2459"/>
      <c r="L1" s="2459"/>
      <c r="M1" s="2459"/>
    </row>
    <row r="2" spans="2:14" ht="15" x14ac:dyDescent="0.2">
      <c r="B2" s="2460">
        <f>'Single Audit Cover'!E7</f>
        <v>40042100026</v>
      </c>
      <c r="C2" s="2460"/>
      <c r="D2" s="2460"/>
      <c r="E2" s="2460"/>
      <c r="F2" s="2460"/>
      <c r="G2" s="2460"/>
      <c r="H2" s="2460"/>
      <c r="I2" s="2460"/>
      <c r="J2" s="2460"/>
      <c r="K2" s="2460"/>
      <c r="L2" s="2460"/>
      <c r="M2" s="2460"/>
      <c r="N2" s="1300"/>
    </row>
    <row r="3" spans="2:14" ht="15" x14ac:dyDescent="0.2">
      <c r="B3" s="2461" t="s">
        <v>1280</v>
      </c>
      <c r="C3" s="2461"/>
      <c r="D3" s="2461"/>
      <c r="E3" s="2461"/>
      <c r="F3" s="2461"/>
      <c r="G3" s="2461"/>
      <c r="H3" s="2461"/>
      <c r="I3" s="2461"/>
      <c r="J3" s="2461"/>
      <c r="K3" s="2461"/>
      <c r="L3" s="2461"/>
      <c r="M3" s="2461"/>
      <c r="N3" s="1300"/>
    </row>
    <row r="4" spans="2:14" ht="15" x14ac:dyDescent="0.2">
      <c r="B4" s="2462" t="str">
        <f>'Single Audit Cover'!A4</f>
        <v>Year Ending June 30, 2018</v>
      </c>
      <c r="C4" s="2462"/>
      <c r="D4" s="2462"/>
      <c r="E4" s="2462"/>
      <c r="F4" s="2462"/>
      <c r="G4" s="2462"/>
      <c r="H4" s="2462"/>
      <c r="I4" s="2462"/>
      <c r="J4" s="2462"/>
      <c r="K4" s="2462"/>
      <c r="L4" s="2462"/>
      <c r="M4" s="2462"/>
      <c r="N4" s="1300"/>
    </row>
    <row r="6" spans="2:14" x14ac:dyDescent="0.2">
      <c r="B6" s="1301"/>
      <c r="C6" s="1302"/>
      <c r="D6" s="1303" t="s">
        <v>1326</v>
      </c>
      <c r="E6" s="1304" t="s">
        <v>547</v>
      </c>
      <c r="F6" s="1305"/>
      <c r="G6" s="1306" t="s">
        <v>1833</v>
      </c>
      <c r="H6" s="1304"/>
      <c r="I6" s="1304"/>
      <c r="J6" s="1304"/>
      <c r="K6" s="1307"/>
      <c r="L6" s="1308"/>
      <c r="M6" s="1309"/>
    </row>
    <row r="7" spans="2:14" x14ac:dyDescent="0.2">
      <c r="B7" s="1310" t="s">
        <v>1661</v>
      </c>
      <c r="C7" s="1311"/>
      <c r="D7" s="1312"/>
      <c r="E7" s="1313"/>
      <c r="F7" s="1314"/>
      <c r="G7" s="1313"/>
      <c r="H7" s="1315" t="s">
        <v>1323</v>
      </c>
      <c r="I7" s="1313"/>
      <c r="J7" s="1316" t="s">
        <v>1323</v>
      </c>
      <c r="K7" s="1317"/>
      <c r="L7" s="1318" t="s">
        <v>1321</v>
      </c>
      <c r="M7" s="1319"/>
    </row>
    <row r="8" spans="2:14" x14ac:dyDescent="0.2">
      <c r="B8" s="1677"/>
      <c r="C8" s="1311" t="s">
        <v>1325</v>
      </c>
      <c r="D8" s="1312" t="s">
        <v>1324</v>
      </c>
      <c r="E8" s="1320" t="s">
        <v>1323</v>
      </c>
      <c r="F8" s="1321" t="s">
        <v>1323</v>
      </c>
      <c r="G8" s="1322" t="s">
        <v>1323</v>
      </c>
      <c r="H8" s="1315" t="s">
        <v>1662</v>
      </c>
      <c r="I8" s="1317" t="s">
        <v>1323</v>
      </c>
      <c r="J8" s="1316" t="s">
        <v>1946</v>
      </c>
      <c r="K8" s="1317" t="s">
        <v>1322</v>
      </c>
      <c r="L8" s="1318" t="s">
        <v>1318</v>
      </c>
      <c r="M8" s="1319" t="s">
        <v>30</v>
      </c>
    </row>
    <row r="9" spans="2:14" ht="14.25" x14ac:dyDescent="0.2">
      <c r="B9" s="1323" t="s">
        <v>1320</v>
      </c>
      <c r="C9" s="1311" t="s">
        <v>1834</v>
      </c>
      <c r="D9" s="1312" t="s">
        <v>1835</v>
      </c>
      <c r="E9" s="1320" t="s">
        <v>1662</v>
      </c>
      <c r="F9" s="1321" t="s">
        <v>1946</v>
      </c>
      <c r="G9" s="1322" t="s">
        <v>1662</v>
      </c>
      <c r="H9" s="1315" t="s">
        <v>1663</v>
      </c>
      <c r="I9" s="1317" t="s">
        <v>1946</v>
      </c>
      <c r="J9" s="1316" t="s">
        <v>1663</v>
      </c>
      <c r="K9" s="1317" t="s">
        <v>1319</v>
      </c>
      <c r="L9" s="1324" t="s">
        <v>1664</v>
      </c>
      <c r="M9" s="1319"/>
    </row>
    <row r="10" spans="2:14" ht="11.85" customHeight="1" x14ac:dyDescent="0.2">
      <c r="B10" s="1323" t="s">
        <v>1317</v>
      </c>
      <c r="C10" s="1325" t="s">
        <v>1316</v>
      </c>
      <c r="D10" s="1326" t="s">
        <v>1315</v>
      </c>
      <c r="E10" s="1327" t="s">
        <v>1314</v>
      </c>
      <c r="F10" s="1328" t="s">
        <v>1313</v>
      </c>
      <c r="G10" s="1329" t="s">
        <v>1312</v>
      </c>
      <c r="H10" s="1330" t="s">
        <v>1327</v>
      </c>
      <c r="I10" s="1331" t="s">
        <v>1311</v>
      </c>
      <c r="J10" s="1332" t="s">
        <v>1327</v>
      </c>
      <c r="K10" s="1333" t="s">
        <v>1310</v>
      </c>
      <c r="L10" s="1333" t="s">
        <v>1309</v>
      </c>
      <c r="M10" s="1334" t="s">
        <v>1308</v>
      </c>
    </row>
    <row r="11" spans="2:14" ht="20.100000000000001" customHeight="1" x14ac:dyDescent="0.2">
      <c r="B11" s="1335" t="s">
        <v>2127</v>
      </c>
      <c r="C11" s="1336"/>
      <c r="D11" s="1337"/>
      <c r="E11" s="1338"/>
      <c r="F11" s="1338"/>
      <c r="G11" s="1338"/>
      <c r="H11" s="1338"/>
      <c r="I11" s="1338"/>
      <c r="J11" s="1338"/>
      <c r="K11" s="1338"/>
      <c r="L11" s="1338"/>
      <c r="M11" s="1338"/>
    </row>
    <row r="12" spans="2:14" ht="20.100000000000001" customHeight="1" x14ac:dyDescent="0.2">
      <c r="B12" s="1335" t="s">
        <v>2143</v>
      </c>
      <c r="C12" s="1339"/>
      <c r="D12" s="1340"/>
      <c r="E12" s="1341"/>
      <c r="F12" s="1341"/>
      <c r="G12" s="1341"/>
      <c r="H12" s="1341"/>
      <c r="I12" s="1341"/>
      <c r="J12" s="1341"/>
      <c r="K12" s="1341"/>
      <c r="L12" s="1338"/>
      <c r="M12" s="1341"/>
    </row>
    <row r="13" spans="2:14" ht="20.100000000000001" customHeight="1" x14ac:dyDescent="0.2">
      <c r="B13" s="1335" t="s">
        <v>2144</v>
      </c>
      <c r="C13" s="1339"/>
      <c r="D13" s="1340"/>
      <c r="E13" s="1341"/>
      <c r="F13" s="1341"/>
      <c r="G13" s="1341"/>
      <c r="H13" s="1341"/>
      <c r="I13" s="1341"/>
      <c r="J13" s="1341"/>
      <c r="K13" s="1341"/>
      <c r="L13" s="1338"/>
      <c r="M13" s="1341"/>
    </row>
    <row r="14" spans="2:14" ht="20.100000000000001" customHeight="1" x14ac:dyDescent="0.2">
      <c r="B14" s="1335" t="s">
        <v>2145</v>
      </c>
      <c r="C14" s="1339">
        <v>84.173000000000002</v>
      </c>
      <c r="D14" s="1340" t="s">
        <v>2147</v>
      </c>
      <c r="E14" s="1341">
        <v>15578</v>
      </c>
      <c r="F14" s="1341"/>
      <c r="G14" s="1341">
        <v>3759</v>
      </c>
      <c r="H14" s="1341"/>
      <c r="I14" s="1341"/>
      <c r="J14" s="1341"/>
      <c r="K14" s="1341"/>
      <c r="L14" s="1338">
        <f t="shared" ref="L14:L27" si="0">+G14+I14+K14</f>
        <v>3759</v>
      </c>
      <c r="M14" s="1341">
        <v>33236</v>
      </c>
    </row>
    <row r="15" spans="2:14" ht="20.100000000000001" customHeight="1" x14ac:dyDescent="0.2">
      <c r="B15" s="1335" t="s">
        <v>2146</v>
      </c>
      <c r="C15" s="1339">
        <v>84.173000000000002</v>
      </c>
      <c r="D15" s="1340" t="s">
        <v>2148</v>
      </c>
      <c r="E15" s="1341">
        <v>21802</v>
      </c>
      <c r="F15" s="1341">
        <v>8305</v>
      </c>
      <c r="G15" s="1341">
        <v>25362</v>
      </c>
      <c r="H15" s="1341"/>
      <c r="I15" s="1341">
        <v>4745</v>
      </c>
      <c r="J15" s="1341"/>
      <c r="K15" s="1341"/>
      <c r="L15" s="1338">
        <f t="shared" si="0"/>
        <v>30107</v>
      </c>
      <c r="M15" s="1341">
        <v>36885</v>
      </c>
    </row>
    <row r="16" spans="2:14" ht="20.100000000000001" customHeight="1" x14ac:dyDescent="0.2">
      <c r="B16" s="1335" t="s">
        <v>2146</v>
      </c>
      <c r="C16" s="1339">
        <v>84.173000000000002</v>
      </c>
      <c r="D16" s="1340" t="s">
        <v>2149</v>
      </c>
      <c r="E16" s="1341"/>
      <c r="F16" s="1341">
        <v>16662</v>
      </c>
      <c r="G16" s="1341"/>
      <c r="H16" s="1341"/>
      <c r="I16" s="1341">
        <v>24567</v>
      </c>
      <c r="J16" s="1341"/>
      <c r="K16" s="1341"/>
      <c r="L16" s="1338">
        <f>+G16+I16+K16</f>
        <v>24567</v>
      </c>
      <c r="M16" s="1341">
        <v>37528</v>
      </c>
    </row>
    <row r="17" spans="2:14" ht="20.100000000000001" customHeight="1" x14ac:dyDescent="0.2">
      <c r="B17" s="1335" t="s">
        <v>2150</v>
      </c>
      <c r="C17" s="1339"/>
      <c r="D17" s="1340"/>
      <c r="E17" s="1341">
        <f>SUM(E14:E16)</f>
        <v>37380</v>
      </c>
      <c r="F17" s="1341">
        <f t="shared" ref="F17:K17" si="1">SUM(F14:F16)</f>
        <v>24967</v>
      </c>
      <c r="G17" s="1341">
        <f t="shared" si="1"/>
        <v>29121</v>
      </c>
      <c r="H17" s="1341">
        <f t="shared" si="1"/>
        <v>0</v>
      </c>
      <c r="I17" s="1341">
        <f t="shared" si="1"/>
        <v>29312</v>
      </c>
      <c r="J17" s="1341">
        <f t="shared" si="1"/>
        <v>0</v>
      </c>
      <c r="K17" s="1341">
        <f t="shared" si="1"/>
        <v>0</v>
      </c>
      <c r="L17" s="1338">
        <f t="shared" si="0"/>
        <v>58433</v>
      </c>
      <c r="M17" s="1341">
        <f>SUM(M14:M16)</f>
        <v>107649</v>
      </c>
    </row>
    <row r="18" spans="2:14" ht="20.100000000000001" customHeight="1" x14ac:dyDescent="0.2">
      <c r="B18" s="1335"/>
      <c r="C18" s="1339"/>
      <c r="D18" s="1340"/>
      <c r="E18" s="1341"/>
      <c r="F18" s="1341"/>
      <c r="G18" s="1341"/>
      <c r="H18" s="1341"/>
      <c r="I18" s="1341"/>
      <c r="J18" s="1341"/>
      <c r="K18" s="1341"/>
      <c r="L18" s="1338"/>
      <c r="M18" s="1341"/>
    </row>
    <row r="19" spans="2:14" ht="20.100000000000001" customHeight="1" x14ac:dyDescent="0.2">
      <c r="B19" s="1335" t="s">
        <v>2151</v>
      </c>
      <c r="C19" s="1339">
        <v>84.027000000000001</v>
      </c>
      <c r="D19" s="1340" t="s">
        <v>2153</v>
      </c>
      <c r="E19" s="1341">
        <v>-1163</v>
      </c>
      <c r="F19" s="1341"/>
      <c r="G19" s="1341"/>
      <c r="H19" s="1341"/>
      <c r="I19" s="1341"/>
      <c r="J19" s="1341"/>
      <c r="K19" s="1341"/>
      <c r="L19" s="1338"/>
      <c r="M19" s="1341">
        <v>576253</v>
      </c>
    </row>
    <row r="20" spans="2:14" ht="20.100000000000001" customHeight="1" x14ac:dyDescent="0.2">
      <c r="B20" s="1335" t="s">
        <v>2151</v>
      </c>
      <c r="C20" s="1339">
        <v>84.027000000000001</v>
      </c>
      <c r="D20" s="1340" t="s">
        <v>2154</v>
      </c>
      <c r="E20" s="1341">
        <v>133845</v>
      </c>
      <c r="F20" s="1341"/>
      <c r="G20" s="1341">
        <v>65196</v>
      </c>
      <c r="H20" s="1341"/>
      <c r="I20" s="1341"/>
      <c r="J20" s="1341"/>
      <c r="K20" s="1341"/>
      <c r="L20" s="1338">
        <f t="shared" si="0"/>
        <v>65196</v>
      </c>
      <c r="M20" s="1341">
        <v>574280</v>
      </c>
    </row>
    <row r="21" spans="2:14" ht="20.100000000000001" customHeight="1" x14ac:dyDescent="0.2">
      <c r="B21" s="1335" t="s">
        <v>2152</v>
      </c>
      <c r="C21" s="1339">
        <v>84.027000000000001</v>
      </c>
      <c r="D21" s="1340" t="s">
        <v>2155</v>
      </c>
      <c r="E21" s="1341">
        <v>480365</v>
      </c>
      <c r="F21" s="1341">
        <v>110439</v>
      </c>
      <c r="G21" s="1341">
        <v>554636</v>
      </c>
      <c r="H21" s="1341"/>
      <c r="I21" s="1341">
        <v>36168</v>
      </c>
      <c r="J21" s="1341"/>
      <c r="K21" s="1341"/>
      <c r="L21" s="1338">
        <f t="shared" si="0"/>
        <v>590804</v>
      </c>
      <c r="M21" s="1341">
        <v>591403</v>
      </c>
    </row>
    <row r="22" spans="2:14" ht="20.100000000000001" customHeight="1" x14ac:dyDescent="0.2">
      <c r="B22" s="1335" t="s">
        <v>2152</v>
      </c>
      <c r="C22" s="1339">
        <v>84.027000000000001</v>
      </c>
      <c r="D22" s="1340" t="s">
        <v>2156</v>
      </c>
      <c r="E22" s="1341"/>
      <c r="F22" s="1341">
        <v>470042</v>
      </c>
      <c r="G22" s="1341"/>
      <c r="H22" s="1341"/>
      <c r="I22" s="1341">
        <v>574439</v>
      </c>
      <c r="J22" s="1341"/>
      <c r="K22" s="1341"/>
      <c r="L22" s="1338">
        <f t="shared" si="0"/>
        <v>574439</v>
      </c>
      <c r="M22" s="1341">
        <v>588817</v>
      </c>
    </row>
    <row r="23" spans="2:14" ht="20.100000000000001" customHeight="1" x14ac:dyDescent="0.2">
      <c r="B23" s="1335" t="s">
        <v>2320</v>
      </c>
      <c r="C23" s="1339"/>
      <c r="D23" s="1340"/>
      <c r="E23" s="1341">
        <f>SUM(E19:E22)</f>
        <v>613047</v>
      </c>
      <c r="F23" s="1341">
        <f t="shared" ref="F23:K23" si="2">SUM(F19:F22)</f>
        <v>580481</v>
      </c>
      <c r="G23" s="1341">
        <f t="shared" si="2"/>
        <v>619832</v>
      </c>
      <c r="H23" s="1341">
        <f t="shared" si="2"/>
        <v>0</v>
      </c>
      <c r="I23" s="1341">
        <f t="shared" si="2"/>
        <v>610607</v>
      </c>
      <c r="J23" s="1341">
        <f t="shared" si="2"/>
        <v>0</v>
      </c>
      <c r="K23" s="1341">
        <f t="shared" si="2"/>
        <v>0</v>
      </c>
      <c r="L23" s="1338">
        <f>+G23+I23+K23</f>
        <v>1230439</v>
      </c>
      <c r="M23" s="1341">
        <f>SUM(M19:M22)</f>
        <v>2330753</v>
      </c>
    </row>
    <row r="24" spans="2:14" ht="20.100000000000001" customHeight="1" x14ac:dyDescent="0.2">
      <c r="B24" s="1335"/>
      <c r="C24" s="1339"/>
      <c r="D24" s="1340"/>
      <c r="E24" s="1341"/>
      <c r="F24" s="1341"/>
      <c r="G24" s="1341"/>
      <c r="H24" s="1341"/>
      <c r="I24" s="1341"/>
      <c r="J24" s="1341"/>
      <c r="K24" s="1341"/>
      <c r="L24" s="1338"/>
      <c r="M24" s="1341"/>
    </row>
    <row r="25" spans="2:14" ht="20.100000000000001" customHeight="1" x14ac:dyDescent="0.2">
      <c r="B25" s="1335" t="s">
        <v>2157</v>
      </c>
      <c r="C25" s="1339"/>
      <c r="D25" s="1340"/>
      <c r="E25" s="1341">
        <f>E23+E17</f>
        <v>650427</v>
      </c>
      <c r="F25" s="1341">
        <f>F23+F17</f>
        <v>605448</v>
      </c>
      <c r="G25" s="1341">
        <f t="shared" ref="G25:K25" si="3">G23+G17</f>
        <v>648953</v>
      </c>
      <c r="H25" s="1341">
        <f t="shared" si="3"/>
        <v>0</v>
      </c>
      <c r="I25" s="1341">
        <f t="shared" si="3"/>
        <v>639919</v>
      </c>
      <c r="J25" s="1341">
        <f t="shared" si="3"/>
        <v>0</v>
      </c>
      <c r="K25" s="1341">
        <f t="shared" si="3"/>
        <v>0</v>
      </c>
      <c r="L25" s="1338">
        <f t="shared" si="0"/>
        <v>1288872</v>
      </c>
      <c r="M25" s="1341">
        <f>M23+M17</f>
        <v>2438402</v>
      </c>
    </row>
    <row r="26" spans="2:14" ht="20.100000000000001" customHeight="1" x14ac:dyDescent="0.2">
      <c r="B26" s="1335" t="s">
        <v>2158</v>
      </c>
      <c r="C26" s="1339"/>
      <c r="D26" s="1340"/>
      <c r="E26" s="1341">
        <f>E25</f>
        <v>650427</v>
      </c>
      <c r="F26" s="1341">
        <f t="shared" ref="F26:K26" si="4">F25</f>
        <v>605448</v>
      </c>
      <c r="G26" s="1341">
        <f t="shared" si="4"/>
        <v>648953</v>
      </c>
      <c r="H26" s="1341">
        <f t="shared" si="4"/>
        <v>0</v>
      </c>
      <c r="I26" s="1341">
        <f t="shared" si="4"/>
        <v>639919</v>
      </c>
      <c r="J26" s="1341">
        <f t="shared" si="4"/>
        <v>0</v>
      </c>
      <c r="K26" s="1341">
        <f t="shared" si="4"/>
        <v>0</v>
      </c>
      <c r="L26" s="1338">
        <f t="shared" si="0"/>
        <v>1288872</v>
      </c>
      <c r="M26" s="1341">
        <f>M25</f>
        <v>2438402</v>
      </c>
    </row>
    <row r="27" spans="2:14" ht="20.100000000000001" customHeight="1" x14ac:dyDescent="0.2">
      <c r="B27" s="1335" t="s">
        <v>2159</v>
      </c>
      <c r="C27" s="1339"/>
      <c r="D27" s="1340"/>
      <c r="E27" s="1341">
        <f>E26+' SEFA (2)'!E24+' SEFA (2)'!E17+' SEFA'!E23+' SEFA'!E17</f>
        <v>1258351</v>
      </c>
      <c r="F27" s="1341">
        <f>F26+' SEFA (2)'!F24+' SEFA (2)'!F17+' SEFA'!F23+' SEFA'!F17</f>
        <v>1107334</v>
      </c>
      <c r="G27" s="1341">
        <f>G26+' SEFA (2)'!G24+' SEFA (2)'!G17+' SEFA'!G23+' SEFA'!G17</f>
        <v>1411720</v>
      </c>
      <c r="H27" s="1341">
        <f>H26+' SEFA (2)'!H24+' SEFA (2)'!H17+' SEFA'!H23+' SEFA'!H17</f>
        <v>0</v>
      </c>
      <c r="I27" s="1341">
        <f>I26+' SEFA (2)'!I24+' SEFA (2)'!I17+' SEFA'!I23+' SEFA'!I17</f>
        <v>1231076</v>
      </c>
      <c r="J27" s="1341">
        <f>J26+' SEFA (2)'!J24+' SEFA (2)'!J17+' SEFA'!J23+' SEFA'!J17</f>
        <v>0</v>
      </c>
      <c r="K27" s="1341">
        <f>K26+' SEFA (2)'!K24+' SEFA (2)'!K17+' SEFA'!K23+' SEFA'!K17</f>
        <v>34584</v>
      </c>
      <c r="L27" s="1338">
        <f t="shared" si="0"/>
        <v>2677380</v>
      </c>
      <c r="M27" s="1341">
        <f>M26+' SEFA (2)'!M24+' SEFA (2)'!M17+' SEFA'!M23+' SEFA'!M17</f>
        <v>5210130</v>
      </c>
      <c r="N27" s="1342"/>
    </row>
    <row r="28" spans="2:14" ht="12.75" customHeight="1" x14ac:dyDescent="0.2">
      <c r="B28" s="1343"/>
      <c r="C28" s="1344"/>
      <c r="D28" s="1345"/>
      <c r="E28" s="1346"/>
      <c r="F28" s="1346"/>
      <c r="G28" s="1346"/>
      <c r="H28" s="1346"/>
      <c r="I28" s="1346"/>
      <c r="J28" s="1346"/>
      <c r="K28" s="1346"/>
      <c r="L28" s="1346"/>
      <c r="M28" s="1346"/>
      <c r="N28" s="1342"/>
    </row>
    <row r="29" spans="2:14" x14ac:dyDescent="0.2">
      <c r="B29" s="1256"/>
      <c r="C29" s="1347"/>
      <c r="D29" s="1348"/>
      <c r="E29" s="1256"/>
      <c r="F29" s="1256"/>
      <c r="G29" s="1249"/>
      <c r="H29" s="1249"/>
      <c r="I29" s="1249"/>
      <c r="J29" s="1249"/>
      <c r="K29" s="1249"/>
      <c r="L29" s="1249"/>
      <c r="M29" s="1256"/>
      <c r="N29" s="1342"/>
    </row>
    <row r="30" spans="2:14" ht="13.5" customHeight="1" x14ac:dyDescent="0.2">
      <c r="B30" s="1281" t="s">
        <v>1836</v>
      </c>
      <c r="C30" s="1347"/>
      <c r="D30" s="1348"/>
      <c r="E30" s="1256"/>
      <c r="F30" s="1256"/>
      <c r="G30" s="1249"/>
      <c r="H30" s="1249"/>
      <c r="I30" s="1249"/>
      <c r="J30" s="1249"/>
      <c r="K30" s="1249"/>
      <c r="L30" s="1249"/>
      <c r="M30" s="1256"/>
      <c r="N30" s="1342"/>
    </row>
    <row r="31" spans="2:14" ht="8.25" customHeight="1" x14ac:dyDescent="0.2">
      <c r="B31" s="1281"/>
      <c r="C31" s="1347"/>
      <c r="D31" s="1348"/>
      <c r="E31" s="1256"/>
      <c r="F31" s="1256"/>
      <c r="G31" s="1249"/>
      <c r="H31" s="1249"/>
      <c r="I31" s="1249"/>
      <c r="J31" s="1249"/>
      <c r="K31" s="1249"/>
      <c r="L31" s="1249"/>
      <c r="M31" s="1256"/>
      <c r="N31" s="1342"/>
    </row>
    <row r="32" spans="2:14" x14ac:dyDescent="0.2">
      <c r="B32" s="1349" t="s">
        <v>1947</v>
      </c>
      <c r="C32" s="1350"/>
      <c r="D32" s="1351"/>
      <c r="E32" s="1352"/>
      <c r="F32" s="1352"/>
      <c r="G32" s="1352"/>
      <c r="H32" s="1352"/>
      <c r="I32" s="317"/>
      <c r="J32" s="317"/>
    </row>
    <row r="33" spans="2:13" x14ac:dyDescent="0.2">
      <c r="B33" s="1276"/>
      <c r="C33" s="1353"/>
      <c r="D33" s="1354"/>
      <c r="E33" s="1277"/>
      <c r="F33" s="1277"/>
      <c r="G33" s="317"/>
      <c r="H33" s="317"/>
      <c r="I33" s="317"/>
      <c r="J33" s="317"/>
    </row>
    <row r="34" spans="2:13" ht="13.5" customHeight="1" x14ac:dyDescent="0.2">
      <c r="B34" s="1275" t="s">
        <v>1307</v>
      </c>
      <c r="G34" s="317"/>
      <c r="H34" s="317"/>
      <c r="I34" s="317"/>
      <c r="J34" s="317"/>
    </row>
    <row r="35" spans="2:13" ht="13.5" customHeight="1" x14ac:dyDescent="0.2">
      <c r="B35" s="1357"/>
      <c r="C35" s="1358"/>
      <c r="D35" s="1359"/>
      <c r="E35" s="1295"/>
      <c r="F35" s="1295"/>
      <c r="G35" s="1295"/>
      <c r="H35" s="1295"/>
      <c r="I35" s="1295"/>
      <c r="J35" s="1295"/>
      <c r="K35" s="1360"/>
      <c r="L35" s="1360"/>
      <c r="M35" s="1295"/>
    </row>
    <row r="36" spans="2:13" ht="9.6" customHeight="1" x14ac:dyDescent="0.2">
      <c r="B36" s="1361"/>
      <c r="G36" s="317"/>
      <c r="H36" s="317"/>
      <c r="I36" s="317"/>
      <c r="J36" s="317"/>
    </row>
    <row r="37" spans="2:13" ht="11.25" customHeight="1" x14ac:dyDescent="0.2">
      <c r="B37" s="1362" t="s">
        <v>1837</v>
      </c>
      <c r="C37" s="1363"/>
      <c r="D37" s="1363"/>
      <c r="E37" s="1363"/>
      <c r="F37" s="1363"/>
      <c r="G37" s="1363"/>
      <c r="H37" s="1363"/>
      <c r="I37" s="1364"/>
      <c r="J37" s="1364"/>
      <c r="K37" s="1364"/>
      <c r="L37" s="1364"/>
      <c r="M37" s="1364"/>
    </row>
    <row r="38" spans="2:13" ht="11.25" customHeight="1" x14ac:dyDescent="0.2">
      <c r="B38" s="1365" t="s">
        <v>1665</v>
      </c>
      <c r="C38" s="1364"/>
      <c r="D38" s="1364"/>
      <c r="E38" s="1364"/>
      <c r="F38" s="1364"/>
      <c r="G38" s="1364"/>
      <c r="H38" s="1364"/>
      <c r="I38" s="1364"/>
      <c r="J38" s="1364"/>
      <c r="K38" s="1364"/>
      <c r="L38" s="1364"/>
      <c r="M38" s="1364"/>
    </row>
    <row r="39" spans="2:13" ht="3.95" customHeight="1" x14ac:dyDescent="0.2">
      <c r="B39" s="1365"/>
      <c r="C39" s="1364"/>
      <c r="D39" s="1364"/>
      <c r="E39" s="1364"/>
      <c r="F39" s="1364"/>
      <c r="G39" s="1364"/>
      <c r="H39" s="1364"/>
      <c r="I39" s="1364"/>
      <c r="J39" s="1364"/>
      <c r="K39" s="1364"/>
      <c r="L39" s="1364"/>
      <c r="M39" s="1364"/>
    </row>
    <row r="40" spans="2:13" ht="11.25" customHeight="1" x14ac:dyDescent="0.2">
      <c r="B40" s="1362" t="s">
        <v>1838</v>
      </c>
      <c r="C40" s="1364"/>
      <c r="D40" s="1364"/>
      <c r="E40" s="1364"/>
      <c r="F40" s="1364"/>
      <c r="G40" s="1364"/>
      <c r="H40" s="1364"/>
      <c r="I40" s="1364"/>
      <c r="J40" s="1364"/>
      <c r="K40" s="1364"/>
      <c r="L40" s="1364"/>
      <c r="M40" s="1364"/>
    </row>
    <row r="41" spans="2:13" ht="11.25" customHeight="1" x14ac:dyDescent="0.2">
      <c r="B41" s="1298" t="s">
        <v>1666</v>
      </c>
      <c r="C41" s="1366"/>
      <c r="D41" s="1367"/>
      <c r="E41" s="1298"/>
      <c r="F41" s="1298"/>
      <c r="G41" s="1298"/>
      <c r="H41" s="1298"/>
      <c r="I41" s="1298"/>
      <c r="J41" s="1298"/>
      <c r="K41" s="1368"/>
      <c r="L41" s="1368"/>
      <c r="M41" s="1298"/>
    </row>
    <row r="42" spans="2:13" ht="3.95" customHeight="1" x14ac:dyDescent="0.2">
      <c r="B42" s="1298"/>
      <c r="C42" s="1366"/>
      <c r="D42" s="1367"/>
      <c r="E42" s="1298"/>
      <c r="F42" s="1298"/>
      <c r="G42" s="1298"/>
      <c r="H42" s="1298"/>
      <c r="I42" s="1298"/>
      <c r="J42" s="1298"/>
      <c r="K42" s="1368"/>
      <c r="L42" s="1368"/>
      <c r="M42" s="1298"/>
    </row>
    <row r="43" spans="2:13" ht="11.25" customHeight="1" x14ac:dyDescent="0.2">
      <c r="B43" s="1369" t="s">
        <v>1839</v>
      </c>
      <c r="C43" s="1366"/>
      <c r="D43" s="1367"/>
      <c r="E43" s="1298"/>
      <c r="F43" s="1298"/>
      <c r="G43" s="1298"/>
      <c r="H43" s="1298"/>
      <c r="I43" s="1298"/>
      <c r="J43" s="1298"/>
      <c r="K43" s="1368"/>
      <c r="L43" s="1368"/>
      <c r="M43" s="1298"/>
    </row>
    <row r="44" spans="2:13" ht="3.95" customHeight="1" x14ac:dyDescent="0.2">
      <c r="B44" s="1369"/>
      <c r="C44" s="1366"/>
      <c r="D44" s="1367"/>
      <c r="E44" s="1298"/>
      <c r="F44" s="1298"/>
      <c r="G44" s="1298"/>
      <c r="H44" s="1298"/>
      <c r="I44" s="1298"/>
      <c r="J44" s="1298"/>
      <c r="K44" s="1368"/>
      <c r="L44" s="1368"/>
      <c r="M44" s="1298"/>
    </row>
    <row r="45" spans="2:13" ht="11.25" customHeight="1" x14ac:dyDescent="0.2">
      <c r="B45" s="1370" t="s">
        <v>1840</v>
      </c>
      <c r="C45" s="1366"/>
      <c r="D45" s="1367"/>
      <c r="E45" s="1298"/>
      <c r="F45" s="1298"/>
      <c r="G45" s="1298"/>
      <c r="H45" s="1298"/>
      <c r="I45" s="1298"/>
      <c r="J45" s="1298"/>
      <c r="K45" s="1368"/>
      <c r="L45" s="1368"/>
      <c r="M45" s="1298"/>
    </row>
    <row r="46" spans="2:13" ht="11.25" customHeight="1" x14ac:dyDescent="0.2">
      <c r="B46" s="1298" t="s">
        <v>1667</v>
      </c>
      <c r="G46" s="317"/>
      <c r="H46" s="317"/>
      <c r="I46" s="317"/>
      <c r="J46" s="317"/>
    </row>
    <row r="47" spans="2:13" ht="11.1" customHeight="1" x14ac:dyDescent="0.2">
      <c r="B47" s="1298"/>
      <c r="G47" s="317"/>
      <c r="H47" s="317"/>
      <c r="I47" s="317"/>
      <c r="J47" s="317"/>
    </row>
    <row r="48" spans="2:13" ht="11.1" customHeight="1" x14ac:dyDescent="0.2">
      <c r="B48" s="1298"/>
      <c r="G48" s="317"/>
      <c r="H48" s="317"/>
      <c r="I48" s="317"/>
      <c r="J48" s="317"/>
    </row>
    <row r="49" spans="7:13" ht="13.5" customHeight="1" x14ac:dyDescent="0.2">
      <c r="M49" s="1371"/>
    </row>
    <row r="50" spans="7:13" ht="13.5" customHeight="1" x14ac:dyDescent="0.2">
      <c r="M50" s="1371"/>
    </row>
    <row r="51" spans="7:13" ht="13.5" customHeight="1" x14ac:dyDescent="0.2">
      <c r="M51" s="1371"/>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7" right="0.7" top="0.75" bottom="0.75" header="0.3" footer="0.3"/>
  <pageSetup scale="76" firstPageNumber="38" orientation="landscape" useFirstPageNumber="1" r:id="rId1"/>
  <headerFooter>
    <oddHeader>&amp;L&amp;8Page 40&amp;R&amp;8Page 40</oddHeader>
    <oddFooter>&amp;LSee Notes to Financial Statements</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52"/>
  <sheetViews>
    <sheetView showGridLines="0" zoomScaleNormal="100" workbookViewId="0">
      <selection activeCell="K36" sqref="K36"/>
    </sheetView>
  </sheetViews>
  <sheetFormatPr defaultColWidth="33.5703125" defaultRowHeight="12.75" x14ac:dyDescent="0.2"/>
  <cols>
    <col min="1" max="1" width="0.140625" style="317" customWidth="1"/>
    <col min="2" max="2" width="32.85546875" style="317" customWidth="1"/>
    <col min="3" max="3" width="8.7109375" style="1355" customWidth="1"/>
    <col min="4" max="4" width="12.7109375" style="1356" customWidth="1"/>
    <col min="5" max="6" width="11.7109375" style="317" customWidth="1"/>
    <col min="7" max="7" width="11.7109375" style="1257" customWidth="1"/>
    <col min="8" max="8" width="13.7109375" style="1257" bestFit="1" customWidth="1"/>
    <col min="9" max="9" width="11.7109375" style="1257" customWidth="1"/>
    <col min="10" max="10" width="13.7109375" style="1257" customWidth="1"/>
    <col min="11" max="12" width="11.7109375" style="1257" customWidth="1"/>
    <col min="13" max="13" width="11.7109375" style="317" customWidth="1"/>
    <col min="14" max="14" width="2.7109375" style="317" customWidth="1"/>
    <col min="15" max="16384" width="33.5703125" style="317"/>
  </cols>
  <sheetData>
    <row r="1" spans="2:14" ht="11.85" customHeight="1" x14ac:dyDescent="0.2">
      <c r="B1" s="2438" t="str">
        <f>'Single Audit Cover'!A7</f>
        <v>Jersey CUSD 100</v>
      </c>
      <c r="C1" s="2459"/>
      <c r="D1" s="2459"/>
      <c r="E1" s="2459"/>
      <c r="F1" s="2459"/>
      <c r="G1" s="2459"/>
      <c r="H1" s="2459"/>
      <c r="I1" s="2459"/>
      <c r="J1" s="2459"/>
      <c r="K1" s="2459"/>
      <c r="L1" s="2459"/>
      <c r="M1" s="2459"/>
    </row>
    <row r="2" spans="2:14" ht="15" x14ac:dyDescent="0.2">
      <c r="B2" s="2460">
        <f>'Single Audit Cover'!E7</f>
        <v>40042100026</v>
      </c>
      <c r="C2" s="2460"/>
      <c r="D2" s="2460"/>
      <c r="E2" s="2460"/>
      <c r="F2" s="2460"/>
      <c r="G2" s="2460"/>
      <c r="H2" s="2460"/>
      <c r="I2" s="2460"/>
      <c r="J2" s="2460"/>
      <c r="K2" s="2460"/>
      <c r="L2" s="2460"/>
      <c r="M2" s="2460"/>
      <c r="N2" s="1300"/>
    </row>
    <row r="3" spans="2:14" ht="15" x14ac:dyDescent="0.2">
      <c r="B3" s="2461" t="s">
        <v>1280</v>
      </c>
      <c r="C3" s="2461"/>
      <c r="D3" s="2461"/>
      <c r="E3" s="2461"/>
      <c r="F3" s="2461"/>
      <c r="G3" s="2461"/>
      <c r="H3" s="2461"/>
      <c r="I3" s="2461"/>
      <c r="J3" s="2461"/>
      <c r="K3" s="2461"/>
      <c r="L3" s="2461"/>
      <c r="M3" s="2461"/>
      <c r="N3" s="1300"/>
    </row>
    <row r="4" spans="2:14" ht="15" x14ac:dyDescent="0.2">
      <c r="B4" s="2462" t="str">
        <f>'Single Audit Cover'!A4</f>
        <v>Year Ending June 30, 2018</v>
      </c>
      <c r="C4" s="2462"/>
      <c r="D4" s="2462"/>
      <c r="E4" s="2462"/>
      <c r="F4" s="2462"/>
      <c r="G4" s="2462"/>
      <c r="H4" s="2462"/>
      <c r="I4" s="2462"/>
      <c r="J4" s="2462"/>
      <c r="K4" s="2462"/>
      <c r="L4" s="2462"/>
      <c r="M4" s="2462"/>
      <c r="N4" s="1300"/>
    </row>
    <row r="6" spans="2:14" x14ac:dyDescent="0.2">
      <c r="B6" s="1301"/>
      <c r="C6" s="1302"/>
      <c r="D6" s="1303" t="s">
        <v>1326</v>
      </c>
      <c r="E6" s="1304" t="s">
        <v>547</v>
      </c>
      <c r="F6" s="1305"/>
      <c r="G6" s="1306" t="s">
        <v>1833</v>
      </c>
      <c r="H6" s="1304"/>
      <c r="I6" s="1304"/>
      <c r="J6" s="1304"/>
      <c r="K6" s="1307"/>
      <c r="L6" s="1308"/>
      <c r="M6" s="1309"/>
    </row>
    <row r="7" spans="2:14" x14ac:dyDescent="0.2">
      <c r="B7" s="1310" t="s">
        <v>1661</v>
      </c>
      <c r="C7" s="1311"/>
      <c r="D7" s="1312"/>
      <c r="E7" s="1313"/>
      <c r="F7" s="1314"/>
      <c r="G7" s="1313"/>
      <c r="H7" s="1315" t="s">
        <v>1323</v>
      </c>
      <c r="I7" s="1313"/>
      <c r="J7" s="1316" t="s">
        <v>1323</v>
      </c>
      <c r="K7" s="1317"/>
      <c r="L7" s="1318" t="s">
        <v>1321</v>
      </c>
      <c r="M7" s="1319"/>
    </row>
    <row r="8" spans="2:14" x14ac:dyDescent="0.2">
      <c r="B8" s="1677"/>
      <c r="C8" s="1311" t="s">
        <v>1325</v>
      </c>
      <c r="D8" s="1312" t="s">
        <v>1324</v>
      </c>
      <c r="E8" s="1320" t="s">
        <v>1323</v>
      </c>
      <c r="F8" s="1321" t="s">
        <v>1323</v>
      </c>
      <c r="G8" s="1322" t="s">
        <v>1323</v>
      </c>
      <c r="H8" s="1315" t="s">
        <v>1662</v>
      </c>
      <c r="I8" s="1317" t="s">
        <v>1323</v>
      </c>
      <c r="J8" s="1316" t="s">
        <v>1946</v>
      </c>
      <c r="K8" s="1317" t="s">
        <v>1322</v>
      </c>
      <c r="L8" s="1318" t="s">
        <v>1318</v>
      </c>
      <c r="M8" s="1319" t="s">
        <v>30</v>
      </c>
    </row>
    <row r="9" spans="2:14" ht="14.25" x14ac:dyDescent="0.2">
      <c r="B9" s="1323" t="s">
        <v>1320</v>
      </c>
      <c r="C9" s="1311" t="s">
        <v>1834</v>
      </c>
      <c r="D9" s="1312" t="s">
        <v>1835</v>
      </c>
      <c r="E9" s="1320" t="s">
        <v>1662</v>
      </c>
      <c r="F9" s="1321" t="s">
        <v>1946</v>
      </c>
      <c r="G9" s="1322" t="s">
        <v>1662</v>
      </c>
      <c r="H9" s="1315" t="s">
        <v>1663</v>
      </c>
      <c r="I9" s="1317" t="s">
        <v>1946</v>
      </c>
      <c r="J9" s="1316" t="s">
        <v>1663</v>
      </c>
      <c r="K9" s="1317" t="s">
        <v>1319</v>
      </c>
      <c r="L9" s="1324" t="s">
        <v>1664</v>
      </c>
      <c r="M9" s="1319"/>
    </row>
    <row r="10" spans="2:14" ht="11.85" customHeight="1" x14ac:dyDescent="0.2">
      <c r="B10" s="1323" t="s">
        <v>1317</v>
      </c>
      <c r="C10" s="1325" t="s">
        <v>1316</v>
      </c>
      <c r="D10" s="1326" t="s">
        <v>1315</v>
      </c>
      <c r="E10" s="1327" t="s">
        <v>1314</v>
      </c>
      <c r="F10" s="1328" t="s">
        <v>1313</v>
      </c>
      <c r="G10" s="1329" t="s">
        <v>1312</v>
      </c>
      <c r="H10" s="1330" t="s">
        <v>1327</v>
      </c>
      <c r="I10" s="1331" t="s">
        <v>1311</v>
      </c>
      <c r="J10" s="1332" t="s">
        <v>1327</v>
      </c>
      <c r="K10" s="1333" t="s">
        <v>1310</v>
      </c>
      <c r="L10" s="1333" t="s">
        <v>1309</v>
      </c>
      <c r="M10" s="1334" t="s">
        <v>1308</v>
      </c>
    </row>
    <row r="11" spans="2:14" ht="20.100000000000001" customHeight="1" x14ac:dyDescent="0.2">
      <c r="B11" s="1335" t="s">
        <v>2160</v>
      </c>
      <c r="C11" s="1336"/>
      <c r="D11" s="1337"/>
      <c r="E11" s="1338"/>
      <c r="F11" s="1338"/>
      <c r="G11" s="1338"/>
      <c r="H11" s="1338"/>
      <c r="I11" s="1338"/>
      <c r="J11" s="1338"/>
      <c r="K11" s="1338"/>
      <c r="L11" s="1338"/>
      <c r="M11" s="1338"/>
    </row>
    <row r="12" spans="2:14" ht="20.100000000000001" customHeight="1" x14ac:dyDescent="0.2">
      <c r="B12" s="1335" t="s">
        <v>2161</v>
      </c>
      <c r="C12" s="1339"/>
      <c r="D12" s="1340"/>
      <c r="E12" s="1341"/>
      <c r="F12" s="1341"/>
      <c r="G12" s="1341"/>
      <c r="H12" s="1341"/>
      <c r="I12" s="1341"/>
      <c r="J12" s="1341"/>
      <c r="K12" s="1341"/>
      <c r="L12" s="1338"/>
      <c r="M12" s="1341"/>
    </row>
    <row r="13" spans="2:14" ht="20.100000000000001" customHeight="1" x14ac:dyDescent="0.2">
      <c r="B13" s="1335" t="s">
        <v>2141</v>
      </c>
      <c r="C13" s="1339"/>
      <c r="D13" s="1340"/>
      <c r="E13" s="1341"/>
      <c r="F13" s="1341"/>
      <c r="G13" s="1341"/>
      <c r="H13" s="1341"/>
      <c r="I13" s="1341"/>
      <c r="J13" s="1341"/>
      <c r="K13" s="1341"/>
      <c r="L13" s="1338"/>
      <c r="M13" s="1341"/>
    </row>
    <row r="14" spans="2:14" ht="20.100000000000001" customHeight="1" x14ac:dyDescent="0.2">
      <c r="B14" s="1335" t="s">
        <v>2162</v>
      </c>
      <c r="C14" s="1339">
        <v>10.555</v>
      </c>
      <c r="D14" s="1340" t="s">
        <v>2165</v>
      </c>
      <c r="E14" s="1341">
        <v>123757</v>
      </c>
      <c r="F14" s="1341"/>
      <c r="G14" s="1341">
        <v>123757</v>
      </c>
      <c r="H14" s="1341"/>
      <c r="I14" s="1341"/>
      <c r="J14" s="1341"/>
      <c r="K14" s="1341"/>
      <c r="L14" s="1338">
        <f t="shared" ref="L14:L26" si="0">+G14+I14+K14</f>
        <v>123757</v>
      </c>
      <c r="M14" s="1341"/>
    </row>
    <row r="15" spans="2:14" ht="20.100000000000001" customHeight="1" x14ac:dyDescent="0.2">
      <c r="B15" s="1335" t="s">
        <v>2163</v>
      </c>
      <c r="C15" s="1339">
        <v>10.555</v>
      </c>
      <c r="D15" s="1340" t="s">
        <v>2166</v>
      </c>
      <c r="E15" s="1341">
        <v>376000</v>
      </c>
      <c r="F15" s="1341">
        <v>71945</v>
      </c>
      <c r="G15" s="1341">
        <v>376000</v>
      </c>
      <c r="H15" s="1341"/>
      <c r="I15" s="1341">
        <v>71945</v>
      </c>
      <c r="J15" s="1341"/>
      <c r="K15" s="1341"/>
      <c r="L15" s="1338">
        <f t="shared" si="0"/>
        <v>447945</v>
      </c>
      <c r="M15" s="1341"/>
    </row>
    <row r="16" spans="2:14" ht="20.100000000000001" customHeight="1" x14ac:dyDescent="0.2">
      <c r="B16" s="1335" t="s">
        <v>2163</v>
      </c>
      <c r="C16" s="1339">
        <v>10.555</v>
      </c>
      <c r="D16" s="1340" t="s">
        <v>2167</v>
      </c>
      <c r="E16" s="1341"/>
      <c r="F16" s="1341">
        <v>325210</v>
      </c>
      <c r="G16" s="1341"/>
      <c r="H16" s="1341"/>
      <c r="I16" s="1341">
        <v>325210</v>
      </c>
      <c r="J16" s="1341"/>
      <c r="K16" s="1341"/>
      <c r="L16" s="1338">
        <f>+G16+I16+K16</f>
        <v>325210</v>
      </c>
      <c r="M16" s="1341"/>
    </row>
    <row r="17" spans="2:14" ht="20.100000000000001" customHeight="1" x14ac:dyDescent="0.2">
      <c r="B17" s="1335" t="s">
        <v>2164</v>
      </c>
      <c r="C17" s="1339"/>
      <c r="D17" s="1340"/>
      <c r="E17" s="1341">
        <f>SUM(E14:E16)</f>
        <v>499757</v>
      </c>
      <c r="F17" s="1341">
        <f t="shared" ref="F17:K17" si="1">SUM(F14:F16)</f>
        <v>397155</v>
      </c>
      <c r="G17" s="1341">
        <f t="shared" si="1"/>
        <v>499757</v>
      </c>
      <c r="H17" s="1341">
        <f t="shared" si="1"/>
        <v>0</v>
      </c>
      <c r="I17" s="1341">
        <f t="shared" si="1"/>
        <v>397155</v>
      </c>
      <c r="J17" s="1341">
        <f t="shared" si="1"/>
        <v>0</v>
      </c>
      <c r="K17" s="1341">
        <f t="shared" si="1"/>
        <v>0</v>
      </c>
      <c r="L17" s="1338">
        <f t="shared" si="0"/>
        <v>896912</v>
      </c>
      <c r="M17" s="1341">
        <f>SUM(M14:M16)</f>
        <v>0</v>
      </c>
    </row>
    <row r="18" spans="2:14" ht="20.100000000000001" customHeight="1" x14ac:dyDescent="0.2">
      <c r="B18" s="1335"/>
      <c r="C18" s="1339"/>
      <c r="D18" s="1340"/>
      <c r="E18" s="1341"/>
      <c r="F18" s="1341"/>
      <c r="G18" s="1341"/>
      <c r="H18" s="1341"/>
      <c r="I18" s="1341"/>
      <c r="J18" s="1341"/>
      <c r="K18" s="1341"/>
      <c r="L18" s="1338"/>
      <c r="M18" s="1341"/>
    </row>
    <row r="19" spans="2:14" ht="20.100000000000001" customHeight="1" x14ac:dyDescent="0.2">
      <c r="B19" s="1335" t="s">
        <v>1118</v>
      </c>
      <c r="C19" s="1339">
        <v>10.553000000000001</v>
      </c>
      <c r="D19" s="1340" t="s">
        <v>2169</v>
      </c>
      <c r="E19" s="1341">
        <v>42588</v>
      </c>
      <c r="F19" s="1341"/>
      <c r="G19" s="1341">
        <v>42588</v>
      </c>
      <c r="H19" s="1341"/>
      <c r="I19" s="1341"/>
      <c r="J19" s="1341"/>
      <c r="K19" s="1341"/>
      <c r="L19" s="1338">
        <f t="shared" si="0"/>
        <v>42588</v>
      </c>
      <c r="M19" s="1341"/>
    </row>
    <row r="20" spans="2:14" ht="20.100000000000001" customHeight="1" x14ac:dyDescent="0.2">
      <c r="B20" s="1335" t="s">
        <v>2168</v>
      </c>
      <c r="C20" s="1339">
        <v>10.553000000000001</v>
      </c>
      <c r="D20" s="1340" t="s">
        <v>2170</v>
      </c>
      <c r="E20" s="1341">
        <v>129977</v>
      </c>
      <c r="F20" s="1341">
        <v>24183</v>
      </c>
      <c r="G20" s="1341">
        <v>129977</v>
      </c>
      <c r="H20" s="1341"/>
      <c r="I20" s="1341">
        <v>24183</v>
      </c>
      <c r="J20" s="1341"/>
      <c r="K20" s="1341"/>
      <c r="L20" s="1338">
        <f t="shared" si="0"/>
        <v>154160</v>
      </c>
      <c r="M20" s="1341"/>
    </row>
    <row r="21" spans="2:14" ht="20.100000000000001" customHeight="1" x14ac:dyDescent="0.2">
      <c r="B21" s="1335" t="s">
        <v>2168</v>
      </c>
      <c r="C21" s="1339">
        <v>10.553000000000001</v>
      </c>
      <c r="D21" s="1340" t="s">
        <v>2171</v>
      </c>
      <c r="E21" s="1341"/>
      <c r="F21" s="1341">
        <v>119258</v>
      </c>
      <c r="G21" s="1341"/>
      <c r="H21" s="1341"/>
      <c r="I21" s="1341">
        <v>119258</v>
      </c>
      <c r="J21" s="1341"/>
      <c r="K21" s="1341"/>
      <c r="L21" s="1338">
        <f t="shared" si="0"/>
        <v>119258</v>
      </c>
      <c r="M21" s="1341"/>
    </row>
    <row r="22" spans="2:14" ht="20.100000000000001" customHeight="1" x14ac:dyDescent="0.2">
      <c r="B22" s="1335" t="s">
        <v>2172</v>
      </c>
      <c r="C22" s="1339"/>
      <c r="D22" s="1340"/>
      <c r="E22" s="1341">
        <f>SUM(E19:E21)</f>
        <v>172565</v>
      </c>
      <c r="F22" s="1341">
        <f t="shared" ref="F22:K22" si="2">SUM(F19:F21)</f>
        <v>143441</v>
      </c>
      <c r="G22" s="1341">
        <f t="shared" si="2"/>
        <v>172565</v>
      </c>
      <c r="H22" s="1341">
        <f t="shared" si="2"/>
        <v>0</v>
      </c>
      <c r="I22" s="1341">
        <f t="shared" si="2"/>
        <v>143441</v>
      </c>
      <c r="J22" s="1341">
        <f t="shared" si="2"/>
        <v>0</v>
      </c>
      <c r="K22" s="1341">
        <f t="shared" si="2"/>
        <v>0</v>
      </c>
      <c r="L22" s="1338">
        <f t="shared" si="0"/>
        <v>316006</v>
      </c>
      <c r="M22" s="1341">
        <f>SUM(M19:M21)</f>
        <v>0</v>
      </c>
    </row>
    <row r="23" spans="2:14" ht="20.100000000000001" customHeight="1" x14ac:dyDescent="0.2">
      <c r="B23" s="1335"/>
      <c r="C23" s="1339"/>
      <c r="D23" s="1340"/>
      <c r="E23" s="1341"/>
      <c r="F23" s="1341"/>
      <c r="G23" s="1341"/>
      <c r="H23" s="1341"/>
      <c r="I23" s="1341"/>
      <c r="J23" s="1341"/>
      <c r="K23" s="1341"/>
      <c r="L23" s="1338"/>
      <c r="M23" s="1341"/>
    </row>
    <row r="24" spans="2:14" ht="20.100000000000001" customHeight="1" x14ac:dyDescent="0.2">
      <c r="B24" s="1335" t="s">
        <v>2308</v>
      </c>
      <c r="C24" s="1339">
        <v>10.555</v>
      </c>
      <c r="D24" s="1340" t="s">
        <v>2174</v>
      </c>
      <c r="E24" s="1341">
        <v>9997</v>
      </c>
      <c r="F24" s="1341"/>
      <c r="G24" s="1341">
        <v>9997</v>
      </c>
      <c r="H24" s="1341"/>
      <c r="I24" s="1341"/>
      <c r="J24" s="1341"/>
      <c r="K24" s="1341"/>
      <c r="L24" s="1338">
        <f t="shared" si="0"/>
        <v>9997</v>
      </c>
      <c r="M24" s="1341"/>
    </row>
    <row r="25" spans="2:14" ht="20.100000000000001" customHeight="1" x14ac:dyDescent="0.2">
      <c r="B25" s="1335" t="s">
        <v>2173</v>
      </c>
      <c r="C25" s="1339">
        <v>10.555</v>
      </c>
      <c r="D25" s="1340" t="s">
        <v>2175</v>
      </c>
      <c r="E25" s="1341"/>
      <c r="F25" s="1341">
        <v>9998</v>
      </c>
      <c r="G25" s="1341"/>
      <c r="H25" s="1341"/>
      <c r="I25" s="1341">
        <v>9998</v>
      </c>
      <c r="J25" s="1341"/>
      <c r="K25" s="1341"/>
      <c r="L25" s="1338">
        <f t="shared" si="0"/>
        <v>9998</v>
      </c>
      <c r="M25" s="1341"/>
    </row>
    <row r="26" spans="2:14" ht="20.100000000000001" customHeight="1" x14ac:dyDescent="0.2">
      <c r="B26" s="1335" t="s">
        <v>2309</v>
      </c>
      <c r="C26" s="1339"/>
      <c r="D26" s="1340"/>
      <c r="E26" s="1341">
        <f>SUM(E24:E25)</f>
        <v>9997</v>
      </c>
      <c r="F26" s="1341">
        <f t="shared" ref="F26:K26" si="3">SUM(F24:F25)</f>
        <v>9998</v>
      </c>
      <c r="G26" s="1341">
        <f t="shared" si="3"/>
        <v>9997</v>
      </c>
      <c r="H26" s="1341">
        <f t="shared" si="3"/>
        <v>0</v>
      </c>
      <c r="I26" s="1341">
        <f t="shared" si="3"/>
        <v>9998</v>
      </c>
      <c r="J26" s="1341">
        <f t="shared" si="3"/>
        <v>0</v>
      </c>
      <c r="K26" s="1341">
        <f t="shared" si="3"/>
        <v>0</v>
      </c>
      <c r="L26" s="1338">
        <f t="shared" si="0"/>
        <v>19995</v>
      </c>
      <c r="M26" s="1341">
        <f>SUM(M24:M25)</f>
        <v>0</v>
      </c>
    </row>
    <row r="27" spans="2:14" ht="20.100000000000001" customHeight="1" x14ac:dyDescent="0.2">
      <c r="B27" s="1335"/>
      <c r="C27" s="1339"/>
      <c r="D27" s="1340"/>
      <c r="E27" s="1341"/>
      <c r="F27" s="1341"/>
      <c r="G27" s="1341"/>
      <c r="H27" s="1341"/>
      <c r="I27" s="1341"/>
      <c r="J27" s="1341"/>
      <c r="K27" s="1341"/>
      <c r="L27" s="1338"/>
      <c r="M27" s="1341"/>
      <c r="N27" s="1342"/>
    </row>
    <row r="28" spans="2:14" ht="12.75" customHeight="1" x14ac:dyDescent="0.2">
      <c r="B28" s="1343"/>
      <c r="C28" s="1344"/>
      <c r="D28" s="1345"/>
      <c r="E28" s="1346"/>
      <c r="F28" s="1346"/>
      <c r="G28" s="1346"/>
      <c r="H28" s="1346"/>
      <c r="I28" s="1346"/>
      <c r="J28" s="1346"/>
      <c r="K28" s="1346"/>
      <c r="L28" s="1346"/>
      <c r="M28" s="1346"/>
      <c r="N28" s="1342"/>
    </row>
    <row r="29" spans="2:14" x14ac:dyDescent="0.2">
      <c r="B29" s="1256"/>
      <c r="C29" s="1347"/>
      <c r="D29" s="1348"/>
      <c r="E29" s="1256"/>
      <c r="F29" s="1256"/>
      <c r="G29" s="1249"/>
      <c r="H29" s="1249"/>
      <c r="I29" s="1249"/>
      <c r="J29" s="1249"/>
      <c r="K29" s="1249"/>
      <c r="L29" s="1249"/>
      <c r="M29" s="1256"/>
      <c r="N29" s="1342"/>
    </row>
    <row r="30" spans="2:14" ht="13.5" customHeight="1" x14ac:dyDescent="0.2">
      <c r="B30" s="1281" t="s">
        <v>1836</v>
      </c>
      <c r="C30" s="1347"/>
      <c r="D30" s="1348"/>
      <c r="E30" s="1256"/>
      <c r="F30" s="1256"/>
      <c r="G30" s="1249"/>
      <c r="H30" s="1249"/>
      <c r="I30" s="1249"/>
      <c r="J30" s="1249"/>
      <c r="K30" s="1249"/>
      <c r="L30" s="1249"/>
      <c r="M30" s="1256"/>
      <c r="N30" s="1342"/>
    </row>
    <row r="31" spans="2:14" ht="8.25" customHeight="1" x14ac:dyDescent="0.2">
      <c r="B31" s="1281"/>
      <c r="C31" s="1347"/>
      <c r="D31" s="1348"/>
      <c r="E31" s="1256"/>
      <c r="F31" s="1256"/>
      <c r="G31" s="1249"/>
      <c r="H31" s="1249"/>
      <c r="I31" s="1249"/>
      <c r="J31" s="1249"/>
      <c r="K31" s="1249"/>
      <c r="L31" s="1249"/>
      <c r="M31" s="1256"/>
      <c r="N31" s="1342"/>
    </row>
    <row r="32" spans="2:14" x14ac:dyDescent="0.2">
      <c r="B32" s="1349" t="s">
        <v>1947</v>
      </c>
      <c r="C32" s="1350"/>
      <c r="D32" s="1351"/>
      <c r="E32" s="1352"/>
      <c r="F32" s="1352"/>
      <c r="G32" s="1352"/>
      <c r="H32" s="1352"/>
      <c r="I32" s="317"/>
      <c r="J32" s="317"/>
    </row>
    <row r="33" spans="2:13" x14ac:dyDescent="0.2">
      <c r="B33" s="1276"/>
      <c r="C33" s="1353"/>
      <c r="D33" s="1354"/>
      <c r="E33" s="1277"/>
      <c r="F33" s="1277"/>
      <c r="G33" s="317"/>
      <c r="H33" s="317"/>
      <c r="I33" s="317"/>
      <c r="J33" s="317"/>
    </row>
    <row r="34" spans="2:13" ht="13.5" customHeight="1" x14ac:dyDescent="0.2">
      <c r="B34" s="1275" t="s">
        <v>1307</v>
      </c>
      <c r="G34" s="317"/>
      <c r="H34" s="317"/>
      <c r="I34" s="317"/>
      <c r="J34" s="317"/>
    </row>
    <row r="35" spans="2:13" ht="13.5" customHeight="1" x14ac:dyDescent="0.2">
      <c r="B35" s="1357"/>
      <c r="C35" s="1358"/>
      <c r="D35" s="1359"/>
      <c r="E35" s="1295"/>
      <c r="F35" s="1295"/>
      <c r="G35" s="1295"/>
      <c r="H35" s="1295"/>
      <c r="I35" s="1295"/>
      <c r="J35" s="1295"/>
      <c r="K35" s="1360"/>
      <c r="L35" s="1360"/>
      <c r="M35" s="1295"/>
    </row>
    <row r="36" spans="2:13" ht="9.6" customHeight="1" x14ac:dyDescent="0.2">
      <c r="B36" s="1361"/>
      <c r="G36" s="317"/>
      <c r="H36" s="317"/>
      <c r="I36" s="317"/>
      <c r="J36" s="317"/>
    </row>
    <row r="37" spans="2:13" ht="11.25" customHeight="1" x14ac:dyDescent="0.2">
      <c r="B37" s="1362" t="s">
        <v>1837</v>
      </c>
      <c r="C37" s="1363"/>
      <c r="D37" s="1363"/>
      <c r="E37" s="1363"/>
      <c r="F37" s="1363"/>
      <c r="G37" s="1363"/>
      <c r="H37" s="1363"/>
      <c r="I37" s="1364"/>
      <c r="J37" s="1364"/>
      <c r="K37" s="1364"/>
      <c r="L37" s="1364"/>
      <c r="M37" s="1364"/>
    </row>
    <row r="38" spans="2:13" ht="11.25" customHeight="1" x14ac:dyDescent="0.2">
      <c r="B38" s="1365" t="s">
        <v>1665</v>
      </c>
      <c r="C38" s="1364"/>
      <c r="D38" s="1364"/>
      <c r="E38" s="1364"/>
      <c r="F38" s="1364"/>
      <c r="G38" s="1364"/>
      <c r="H38" s="1364"/>
      <c r="I38" s="1364"/>
      <c r="J38" s="1364"/>
      <c r="K38" s="1364"/>
      <c r="L38" s="1364"/>
      <c r="M38" s="1364"/>
    </row>
    <row r="39" spans="2:13" ht="3.95" customHeight="1" x14ac:dyDescent="0.2">
      <c r="B39" s="1365"/>
      <c r="C39" s="1364"/>
      <c r="D39" s="1364"/>
      <c r="E39" s="1364"/>
      <c r="F39" s="1364"/>
      <c r="G39" s="1364"/>
      <c r="H39" s="1364"/>
      <c r="I39" s="1364"/>
      <c r="J39" s="1364"/>
      <c r="K39" s="1364"/>
      <c r="L39" s="1364"/>
      <c r="M39" s="1364"/>
    </row>
    <row r="40" spans="2:13" ht="11.25" customHeight="1" x14ac:dyDescent="0.2">
      <c r="B40" s="1362" t="s">
        <v>1838</v>
      </c>
      <c r="C40" s="1364"/>
      <c r="D40" s="1364"/>
      <c r="E40" s="1364"/>
      <c r="F40" s="1364"/>
      <c r="G40" s="1364"/>
      <c r="H40" s="1364"/>
      <c r="I40" s="1364"/>
      <c r="J40" s="1364"/>
      <c r="K40" s="1364"/>
      <c r="L40" s="1364"/>
      <c r="M40" s="1364"/>
    </row>
    <row r="41" spans="2:13" ht="11.25" customHeight="1" x14ac:dyDescent="0.2">
      <c r="B41" s="1298" t="s">
        <v>1666</v>
      </c>
      <c r="C41" s="1366"/>
      <c r="D41" s="1367"/>
      <c r="E41" s="1298"/>
      <c r="F41" s="1298"/>
      <c r="G41" s="1298"/>
      <c r="H41" s="1298"/>
      <c r="I41" s="1298"/>
      <c r="J41" s="1298"/>
      <c r="K41" s="1368"/>
      <c r="L41" s="1368"/>
      <c r="M41" s="1298"/>
    </row>
    <row r="42" spans="2:13" ht="3.95" customHeight="1" x14ac:dyDescent="0.2">
      <c r="B42" s="1298"/>
      <c r="C42" s="1366"/>
      <c r="D42" s="1367"/>
      <c r="E42" s="1298"/>
      <c r="F42" s="1298"/>
      <c r="G42" s="1298"/>
      <c r="H42" s="1298"/>
      <c r="I42" s="1298"/>
      <c r="J42" s="1298"/>
      <c r="K42" s="1368"/>
      <c r="L42" s="1368"/>
      <c r="M42" s="1298"/>
    </row>
    <row r="43" spans="2:13" ht="11.25" customHeight="1" x14ac:dyDescent="0.2">
      <c r="B43" s="1369" t="s">
        <v>1839</v>
      </c>
      <c r="C43" s="1366"/>
      <c r="D43" s="1367"/>
      <c r="E43" s="1298"/>
      <c r="F43" s="1298"/>
      <c r="G43" s="1298"/>
      <c r="H43" s="1298"/>
      <c r="I43" s="1298"/>
      <c r="J43" s="1298"/>
      <c r="K43" s="1368"/>
      <c r="L43" s="1368"/>
      <c r="M43" s="1298"/>
    </row>
    <row r="44" spans="2:13" ht="3.95" customHeight="1" x14ac:dyDescent="0.2">
      <c r="B44" s="1369"/>
      <c r="C44" s="1366"/>
      <c r="D44" s="1367"/>
      <c r="E44" s="1298"/>
      <c r="F44" s="1298"/>
      <c r="G44" s="1298"/>
      <c r="H44" s="1298"/>
      <c r="I44" s="1298"/>
      <c r="J44" s="1298"/>
      <c r="K44" s="1368"/>
      <c r="L44" s="1368"/>
      <c r="M44" s="1298"/>
    </row>
    <row r="45" spans="2:13" ht="11.25" customHeight="1" x14ac:dyDescent="0.2">
      <c r="B45" s="1370" t="s">
        <v>1840</v>
      </c>
      <c r="C45" s="1366"/>
      <c r="D45" s="1367"/>
      <c r="E45" s="1298"/>
      <c r="F45" s="1298"/>
      <c r="G45" s="1298"/>
      <c r="H45" s="1298"/>
      <c r="I45" s="1298"/>
      <c r="J45" s="1298"/>
      <c r="K45" s="1368"/>
      <c r="L45" s="1368"/>
      <c r="M45" s="1298"/>
    </row>
    <row r="46" spans="2:13" ht="11.25" customHeight="1" x14ac:dyDescent="0.2">
      <c r="B46" s="1298" t="s">
        <v>1667</v>
      </c>
      <c r="G46" s="317"/>
      <c r="H46" s="317"/>
      <c r="I46" s="317"/>
      <c r="J46" s="317"/>
    </row>
    <row r="47" spans="2:13" ht="11.1" customHeight="1" x14ac:dyDescent="0.2">
      <c r="B47" s="1298"/>
      <c r="G47" s="317"/>
      <c r="H47" s="317"/>
      <c r="I47" s="317"/>
      <c r="J47" s="317"/>
    </row>
    <row r="48" spans="2:13" ht="11.1" customHeight="1" x14ac:dyDescent="0.2">
      <c r="B48" s="1298"/>
      <c r="G48" s="317"/>
      <c r="H48" s="317"/>
      <c r="I48" s="317"/>
      <c r="J48" s="317"/>
    </row>
    <row r="49" spans="7:13" ht="13.5" customHeight="1" x14ac:dyDescent="0.2">
      <c r="M49" s="1371"/>
    </row>
    <row r="50" spans="7:13" ht="13.5" customHeight="1" x14ac:dyDescent="0.2">
      <c r="M50" s="1371"/>
    </row>
    <row r="51" spans="7:13" ht="13.5" customHeight="1" x14ac:dyDescent="0.2">
      <c r="M51" s="1371"/>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7" right="0.7" top="0.75" bottom="0.75" header="0.3" footer="0.3"/>
  <pageSetup scale="76" firstPageNumber="38" orientation="landscape" useFirstPageNumber="1" r:id="rId1"/>
  <headerFooter>
    <oddHeader>&amp;L&amp;8Page 40&amp;R&amp;8Page 40</oddHeader>
    <oddFooter>&amp;LSee Notes to Financial Statements</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52"/>
  <sheetViews>
    <sheetView showGridLines="0" zoomScaleNormal="100" workbookViewId="0">
      <selection activeCell="K36" sqref="K36"/>
    </sheetView>
  </sheetViews>
  <sheetFormatPr defaultColWidth="33.5703125" defaultRowHeight="12.75" x14ac:dyDescent="0.2"/>
  <cols>
    <col min="1" max="1" width="0.140625" style="317" customWidth="1"/>
    <col min="2" max="2" width="32.85546875" style="317" customWidth="1"/>
    <col min="3" max="3" width="8.7109375" style="1355" customWidth="1"/>
    <col min="4" max="4" width="12.7109375" style="1356" customWidth="1"/>
    <col min="5" max="6" width="11.7109375" style="317" customWidth="1"/>
    <col min="7" max="7" width="11.7109375" style="1257" customWidth="1"/>
    <col min="8" max="8" width="13.7109375" style="1257" bestFit="1" customWidth="1"/>
    <col min="9" max="9" width="11.7109375" style="1257" customWidth="1"/>
    <col min="10" max="10" width="13.7109375" style="1257" customWidth="1"/>
    <col min="11" max="12" width="11.7109375" style="1257" customWidth="1"/>
    <col min="13" max="13" width="11.7109375" style="317" customWidth="1"/>
    <col min="14" max="14" width="2.7109375" style="317" customWidth="1"/>
    <col min="15" max="16384" width="33.5703125" style="317"/>
  </cols>
  <sheetData>
    <row r="1" spans="2:14" ht="11.85" customHeight="1" x14ac:dyDescent="0.2">
      <c r="B1" s="2438" t="str">
        <f>'Single Audit Cover'!A7</f>
        <v>Jersey CUSD 100</v>
      </c>
      <c r="C1" s="2459"/>
      <c r="D1" s="2459"/>
      <c r="E1" s="2459"/>
      <c r="F1" s="2459"/>
      <c r="G1" s="2459"/>
      <c r="H1" s="2459"/>
      <c r="I1" s="2459"/>
      <c r="J1" s="2459"/>
      <c r="K1" s="2459"/>
      <c r="L1" s="2459"/>
      <c r="M1" s="2459"/>
    </row>
    <row r="2" spans="2:14" ht="15" x14ac:dyDescent="0.2">
      <c r="B2" s="2460">
        <f>'Single Audit Cover'!E7</f>
        <v>40042100026</v>
      </c>
      <c r="C2" s="2460"/>
      <c r="D2" s="2460"/>
      <c r="E2" s="2460"/>
      <c r="F2" s="2460"/>
      <c r="G2" s="2460"/>
      <c r="H2" s="2460"/>
      <c r="I2" s="2460"/>
      <c r="J2" s="2460"/>
      <c r="K2" s="2460"/>
      <c r="L2" s="2460"/>
      <c r="M2" s="2460"/>
      <c r="N2" s="1300"/>
    </row>
    <row r="3" spans="2:14" ht="15" x14ac:dyDescent="0.2">
      <c r="B3" s="2461" t="s">
        <v>1280</v>
      </c>
      <c r="C3" s="2461"/>
      <c r="D3" s="2461"/>
      <c r="E3" s="2461"/>
      <c r="F3" s="2461"/>
      <c r="G3" s="2461"/>
      <c r="H3" s="2461"/>
      <c r="I3" s="2461"/>
      <c r="J3" s="2461"/>
      <c r="K3" s="2461"/>
      <c r="L3" s="2461"/>
      <c r="M3" s="2461"/>
      <c r="N3" s="1300"/>
    </row>
    <row r="4" spans="2:14" ht="15" x14ac:dyDescent="0.2">
      <c r="B4" s="2462" t="str">
        <f>'Single Audit Cover'!A4</f>
        <v>Year Ending June 30, 2018</v>
      </c>
      <c r="C4" s="2462"/>
      <c r="D4" s="2462"/>
      <c r="E4" s="2462"/>
      <c r="F4" s="2462"/>
      <c r="G4" s="2462"/>
      <c r="H4" s="2462"/>
      <c r="I4" s="2462"/>
      <c r="J4" s="2462"/>
      <c r="K4" s="2462"/>
      <c r="L4" s="2462"/>
      <c r="M4" s="2462"/>
      <c r="N4" s="1300"/>
    </row>
    <row r="6" spans="2:14" x14ac:dyDescent="0.2">
      <c r="B6" s="1301"/>
      <c r="C6" s="1302"/>
      <c r="D6" s="1303" t="s">
        <v>1326</v>
      </c>
      <c r="E6" s="1304" t="s">
        <v>547</v>
      </c>
      <c r="F6" s="1305"/>
      <c r="G6" s="1306" t="s">
        <v>1833</v>
      </c>
      <c r="H6" s="1304"/>
      <c r="I6" s="1304"/>
      <c r="J6" s="1304"/>
      <c r="K6" s="1307"/>
      <c r="L6" s="1308"/>
      <c r="M6" s="1309"/>
    </row>
    <row r="7" spans="2:14" x14ac:dyDescent="0.2">
      <c r="B7" s="1310" t="s">
        <v>1661</v>
      </c>
      <c r="C7" s="1311"/>
      <c r="D7" s="1312"/>
      <c r="E7" s="1313"/>
      <c r="F7" s="1314"/>
      <c r="G7" s="1313"/>
      <c r="H7" s="1315" t="s">
        <v>1323</v>
      </c>
      <c r="I7" s="1313"/>
      <c r="J7" s="1316" t="s">
        <v>1323</v>
      </c>
      <c r="K7" s="1317"/>
      <c r="L7" s="1318" t="s">
        <v>1321</v>
      </c>
      <c r="M7" s="1319"/>
    </row>
    <row r="8" spans="2:14" x14ac:dyDescent="0.2">
      <c r="B8" s="1677"/>
      <c r="C8" s="1311" t="s">
        <v>1325</v>
      </c>
      <c r="D8" s="1312" t="s">
        <v>1324</v>
      </c>
      <c r="E8" s="1320" t="s">
        <v>1323</v>
      </c>
      <c r="F8" s="1321" t="s">
        <v>1323</v>
      </c>
      <c r="G8" s="1322" t="s">
        <v>1323</v>
      </c>
      <c r="H8" s="1315" t="s">
        <v>1662</v>
      </c>
      <c r="I8" s="1317" t="s">
        <v>1323</v>
      </c>
      <c r="J8" s="1316" t="s">
        <v>1946</v>
      </c>
      <c r="K8" s="1317" t="s">
        <v>1322</v>
      </c>
      <c r="L8" s="1318" t="s">
        <v>1318</v>
      </c>
      <c r="M8" s="1319" t="s">
        <v>30</v>
      </c>
    </row>
    <row r="9" spans="2:14" ht="14.25" x14ac:dyDescent="0.2">
      <c r="B9" s="1323" t="s">
        <v>1320</v>
      </c>
      <c r="C9" s="1311" t="s">
        <v>1834</v>
      </c>
      <c r="D9" s="1312" t="s">
        <v>1835</v>
      </c>
      <c r="E9" s="1320" t="s">
        <v>1662</v>
      </c>
      <c r="F9" s="1321" t="s">
        <v>1946</v>
      </c>
      <c r="G9" s="1322" t="s">
        <v>1662</v>
      </c>
      <c r="H9" s="1315" t="s">
        <v>1663</v>
      </c>
      <c r="I9" s="1317" t="s">
        <v>1946</v>
      </c>
      <c r="J9" s="1316" t="s">
        <v>1663</v>
      </c>
      <c r="K9" s="1317" t="s">
        <v>1319</v>
      </c>
      <c r="L9" s="1324" t="s">
        <v>1664</v>
      </c>
      <c r="M9" s="1319"/>
    </row>
    <row r="10" spans="2:14" ht="11.85" customHeight="1" x14ac:dyDescent="0.2">
      <c r="B10" s="1323" t="s">
        <v>1317</v>
      </c>
      <c r="C10" s="1325" t="s">
        <v>1316</v>
      </c>
      <c r="D10" s="1326" t="s">
        <v>1315</v>
      </c>
      <c r="E10" s="1327" t="s">
        <v>1314</v>
      </c>
      <c r="F10" s="1328" t="s">
        <v>1313</v>
      </c>
      <c r="G10" s="1329" t="s">
        <v>1312</v>
      </c>
      <c r="H10" s="1330" t="s">
        <v>1327</v>
      </c>
      <c r="I10" s="1331" t="s">
        <v>1311</v>
      </c>
      <c r="J10" s="1332" t="s">
        <v>1327</v>
      </c>
      <c r="K10" s="1333" t="s">
        <v>1310</v>
      </c>
      <c r="L10" s="1333" t="s">
        <v>1309</v>
      </c>
      <c r="M10" s="1334" t="s">
        <v>1308</v>
      </c>
    </row>
    <row r="11" spans="2:14" ht="20.100000000000001" customHeight="1" x14ac:dyDescent="0.2">
      <c r="B11" s="1335" t="s">
        <v>2176</v>
      </c>
      <c r="C11" s="1336"/>
      <c r="D11" s="1337"/>
      <c r="E11" s="1338"/>
      <c r="F11" s="1338"/>
      <c r="G11" s="1338"/>
      <c r="H11" s="1338"/>
      <c r="I11" s="1338"/>
      <c r="J11" s="1338"/>
      <c r="K11" s="1338"/>
      <c r="L11" s="1338"/>
      <c r="M11" s="1338"/>
    </row>
    <row r="12" spans="2:14" ht="20.100000000000001" customHeight="1" x14ac:dyDescent="0.2">
      <c r="B12" s="1335" t="s">
        <v>2177</v>
      </c>
      <c r="C12" s="1339"/>
      <c r="D12" s="1340"/>
      <c r="E12" s="1341"/>
      <c r="F12" s="1341"/>
      <c r="G12" s="1341"/>
      <c r="H12" s="1341"/>
      <c r="I12" s="1341"/>
      <c r="J12" s="1341"/>
      <c r="K12" s="1341"/>
      <c r="L12" s="1338"/>
      <c r="M12" s="1341"/>
    </row>
    <row r="13" spans="2:14" ht="20.100000000000001" customHeight="1" x14ac:dyDescent="0.2">
      <c r="B13" s="1335" t="s">
        <v>2141</v>
      </c>
      <c r="C13" s="1339"/>
      <c r="D13" s="1340"/>
      <c r="E13" s="1341"/>
      <c r="F13" s="1341"/>
      <c r="G13" s="1341"/>
      <c r="H13" s="1341"/>
      <c r="I13" s="1341"/>
      <c r="J13" s="1341"/>
      <c r="K13" s="1341"/>
      <c r="L13" s="1338"/>
      <c r="M13" s="1341"/>
    </row>
    <row r="14" spans="2:14" ht="20.100000000000001" customHeight="1" x14ac:dyDescent="0.2">
      <c r="B14" s="1335" t="s">
        <v>2310</v>
      </c>
      <c r="C14" s="1339">
        <v>10.555</v>
      </c>
      <c r="D14" s="1340" t="s">
        <v>2174</v>
      </c>
      <c r="E14" s="1341">
        <v>74510</v>
      </c>
      <c r="F14" s="1341"/>
      <c r="G14" s="1341">
        <v>74510</v>
      </c>
      <c r="H14" s="1341"/>
      <c r="I14" s="1341"/>
      <c r="J14" s="1341"/>
      <c r="K14" s="1341"/>
      <c r="L14" s="1338">
        <f t="shared" ref="L14:L22" si="0">+G14+I14+K14</f>
        <v>74510</v>
      </c>
      <c r="M14" s="1341"/>
    </row>
    <row r="15" spans="2:14" ht="20.100000000000001" customHeight="1" x14ac:dyDescent="0.2">
      <c r="B15" s="1335" t="s">
        <v>2178</v>
      </c>
      <c r="C15" s="1339">
        <v>10.555</v>
      </c>
      <c r="D15" s="1340" t="s">
        <v>2175</v>
      </c>
      <c r="E15" s="1341"/>
      <c r="F15" s="1341">
        <v>77125</v>
      </c>
      <c r="G15" s="1341"/>
      <c r="H15" s="1341"/>
      <c r="I15" s="1341">
        <v>77125</v>
      </c>
      <c r="J15" s="1341"/>
      <c r="K15" s="1341"/>
      <c r="L15" s="1338">
        <f t="shared" si="0"/>
        <v>77125</v>
      </c>
      <c r="M15" s="1341"/>
    </row>
    <row r="16" spans="2:14" ht="20.100000000000001" customHeight="1" x14ac:dyDescent="0.2">
      <c r="B16" s="1335" t="s">
        <v>2179</v>
      </c>
      <c r="C16" s="1339"/>
      <c r="D16" s="1340"/>
      <c r="E16" s="1341">
        <f>SUM(E14:E15)</f>
        <v>74510</v>
      </c>
      <c r="F16" s="1341">
        <f t="shared" ref="F16:K16" si="1">SUM(F14:F15)</f>
        <v>77125</v>
      </c>
      <c r="G16" s="1341">
        <f t="shared" si="1"/>
        <v>74510</v>
      </c>
      <c r="H16" s="1341">
        <f t="shared" si="1"/>
        <v>0</v>
      </c>
      <c r="I16" s="1341">
        <f t="shared" si="1"/>
        <v>77125</v>
      </c>
      <c r="J16" s="1341">
        <f t="shared" si="1"/>
        <v>0</v>
      </c>
      <c r="K16" s="1341">
        <f t="shared" si="1"/>
        <v>0</v>
      </c>
      <c r="L16" s="1338">
        <f>+G16+I16+K16</f>
        <v>151635</v>
      </c>
      <c r="M16" s="1341">
        <f>SUM(M14:M15)</f>
        <v>0</v>
      </c>
    </row>
    <row r="17" spans="2:14" ht="20.100000000000001" customHeight="1" x14ac:dyDescent="0.2">
      <c r="B17" s="1335"/>
      <c r="C17" s="1339"/>
      <c r="D17" s="1340"/>
      <c r="E17" s="1341"/>
      <c r="F17" s="1341"/>
      <c r="G17" s="1341"/>
      <c r="H17" s="1341"/>
      <c r="I17" s="1341"/>
      <c r="J17" s="1341"/>
      <c r="K17" s="1341"/>
      <c r="L17" s="1338"/>
      <c r="M17" s="1341"/>
    </row>
    <row r="18" spans="2:14" ht="20.100000000000001" customHeight="1" x14ac:dyDescent="0.2">
      <c r="B18" s="1335" t="s">
        <v>2180</v>
      </c>
      <c r="C18" s="1339"/>
      <c r="D18" s="1340"/>
      <c r="E18" s="1341">
        <f>E16+' SEFA (4)'!E26+' SEFA (4)'!E22+' SEFA (4)'!E17</f>
        <v>756829</v>
      </c>
      <c r="F18" s="1341">
        <f>F16+' SEFA (4)'!F26+' SEFA (4)'!F22+' SEFA (4)'!F17</f>
        <v>627719</v>
      </c>
      <c r="G18" s="1341">
        <f>G16+' SEFA (4)'!G26+' SEFA (4)'!G22+' SEFA (4)'!G17</f>
        <v>756829</v>
      </c>
      <c r="H18" s="1341">
        <f>H16+' SEFA (4)'!H26+' SEFA (4)'!H22+' SEFA (4)'!H17</f>
        <v>0</v>
      </c>
      <c r="I18" s="1341">
        <f>I16+' SEFA (4)'!I26+' SEFA (4)'!I22+' SEFA (4)'!I17</f>
        <v>627719</v>
      </c>
      <c r="J18" s="1341">
        <f>J16+' SEFA (4)'!J26+' SEFA (4)'!J22+' SEFA (4)'!J17</f>
        <v>0</v>
      </c>
      <c r="K18" s="1341">
        <f>K16+' SEFA (4)'!K26+' SEFA (4)'!K22+' SEFA (4)'!K17</f>
        <v>0</v>
      </c>
      <c r="L18" s="1338">
        <f t="shared" si="0"/>
        <v>1384548</v>
      </c>
      <c r="M18" s="1341">
        <f>M16+' SEFA (4)'!M26+' SEFA (4)'!M22+' SEFA (4)'!M17</f>
        <v>0</v>
      </c>
    </row>
    <row r="19" spans="2:14" ht="20.100000000000001" customHeight="1" x14ac:dyDescent="0.2">
      <c r="B19" s="1335"/>
      <c r="C19" s="1339"/>
      <c r="D19" s="1340"/>
      <c r="E19" s="1341"/>
      <c r="F19" s="1341"/>
      <c r="G19" s="1341"/>
      <c r="H19" s="1341"/>
      <c r="I19" s="1341"/>
      <c r="J19" s="1341"/>
      <c r="K19" s="1341"/>
      <c r="L19" s="1338"/>
      <c r="M19" s="1341"/>
    </row>
    <row r="20" spans="2:14" ht="20.100000000000001" customHeight="1" x14ac:dyDescent="0.2">
      <c r="B20" s="1335" t="s">
        <v>2142</v>
      </c>
      <c r="C20" s="1339"/>
      <c r="D20" s="1340"/>
      <c r="E20" s="1341">
        <f>E18</f>
        <v>756829</v>
      </c>
      <c r="F20" s="1341">
        <f t="shared" ref="F20:K20" si="2">F18</f>
        <v>627719</v>
      </c>
      <c r="G20" s="1341">
        <f t="shared" si="2"/>
        <v>756829</v>
      </c>
      <c r="H20" s="1341">
        <f t="shared" si="2"/>
        <v>0</v>
      </c>
      <c r="I20" s="1341">
        <f t="shared" si="2"/>
        <v>627719</v>
      </c>
      <c r="J20" s="1341">
        <f t="shared" si="2"/>
        <v>0</v>
      </c>
      <c r="K20" s="1341">
        <f t="shared" si="2"/>
        <v>0</v>
      </c>
      <c r="L20" s="1338">
        <f t="shared" si="0"/>
        <v>1384548</v>
      </c>
      <c r="M20" s="1341">
        <f>M18</f>
        <v>0</v>
      </c>
    </row>
    <row r="21" spans="2:14" ht="20.100000000000001" customHeight="1" x14ac:dyDescent="0.2">
      <c r="B21" s="1335"/>
      <c r="C21" s="1339"/>
      <c r="D21" s="1340"/>
      <c r="E21" s="1341"/>
      <c r="F21" s="1341"/>
      <c r="G21" s="1341"/>
      <c r="H21" s="1341"/>
      <c r="I21" s="1341"/>
      <c r="J21" s="1341"/>
      <c r="K21" s="1341"/>
      <c r="L21" s="1338"/>
      <c r="M21" s="1341"/>
    </row>
    <row r="22" spans="2:14" ht="20.100000000000001" customHeight="1" x14ac:dyDescent="0.2">
      <c r="B22" s="1335" t="s">
        <v>2181</v>
      </c>
      <c r="C22" s="1339"/>
      <c r="D22" s="1340"/>
      <c r="E22" s="1341">
        <f>E20</f>
        <v>756829</v>
      </c>
      <c r="F22" s="1341">
        <f t="shared" ref="F22:K22" si="3">F20</f>
        <v>627719</v>
      </c>
      <c r="G22" s="1341">
        <f t="shared" si="3"/>
        <v>756829</v>
      </c>
      <c r="H22" s="1341">
        <f t="shared" si="3"/>
        <v>0</v>
      </c>
      <c r="I22" s="1341">
        <f t="shared" si="3"/>
        <v>627719</v>
      </c>
      <c r="J22" s="1341">
        <f t="shared" si="3"/>
        <v>0</v>
      </c>
      <c r="K22" s="1341">
        <f t="shared" si="3"/>
        <v>0</v>
      </c>
      <c r="L22" s="1338">
        <f t="shared" si="0"/>
        <v>1384548</v>
      </c>
      <c r="M22" s="1341">
        <f>M20</f>
        <v>0</v>
      </c>
    </row>
    <row r="23" spans="2:14" ht="20.100000000000001" customHeight="1" x14ac:dyDescent="0.2">
      <c r="B23" s="1335"/>
      <c r="C23" s="1339"/>
      <c r="D23" s="1340"/>
      <c r="E23" s="1341"/>
      <c r="F23" s="1341"/>
      <c r="G23" s="1341"/>
      <c r="H23" s="1341"/>
      <c r="I23" s="1341"/>
      <c r="J23" s="1341"/>
      <c r="K23" s="1341"/>
      <c r="L23" s="1338"/>
      <c r="M23" s="1341"/>
    </row>
    <row r="24" spans="2:14" ht="20.100000000000001" customHeight="1" x14ac:dyDescent="0.2">
      <c r="B24" s="1335"/>
      <c r="C24" s="1339"/>
      <c r="D24" s="1340"/>
      <c r="E24" s="1341"/>
      <c r="F24" s="1341"/>
      <c r="G24" s="1341"/>
      <c r="H24" s="1341"/>
      <c r="I24" s="1341"/>
      <c r="J24" s="1341"/>
      <c r="K24" s="1341"/>
      <c r="L24" s="1338"/>
      <c r="M24" s="1341"/>
    </row>
    <row r="25" spans="2:14" ht="20.100000000000001" customHeight="1" x14ac:dyDescent="0.2">
      <c r="B25" s="1335"/>
      <c r="C25" s="1339"/>
      <c r="D25" s="1340"/>
      <c r="E25" s="1341"/>
      <c r="F25" s="1341"/>
      <c r="G25" s="1341"/>
      <c r="H25" s="1341"/>
      <c r="I25" s="1341"/>
      <c r="J25" s="1341"/>
      <c r="K25" s="1341"/>
      <c r="L25" s="1338"/>
      <c r="M25" s="1341"/>
    </row>
    <row r="26" spans="2:14" ht="20.100000000000001" customHeight="1" x14ac:dyDescent="0.2">
      <c r="B26" s="1335"/>
      <c r="C26" s="1339"/>
      <c r="D26" s="1340"/>
      <c r="E26" s="1341"/>
      <c r="F26" s="1341"/>
      <c r="G26" s="1341"/>
      <c r="H26" s="1341"/>
      <c r="I26" s="1341"/>
      <c r="J26" s="1341"/>
      <c r="K26" s="1341"/>
      <c r="L26" s="1338"/>
      <c r="M26" s="1341"/>
    </row>
    <row r="27" spans="2:14" ht="20.100000000000001" customHeight="1" x14ac:dyDescent="0.2">
      <c r="B27" s="1335"/>
      <c r="C27" s="1339"/>
      <c r="D27" s="1340"/>
      <c r="E27" s="1341"/>
      <c r="F27" s="1341"/>
      <c r="G27" s="1341"/>
      <c r="H27" s="1341"/>
      <c r="I27" s="1341"/>
      <c r="J27" s="1341"/>
      <c r="K27" s="1341"/>
      <c r="L27" s="1338"/>
      <c r="M27" s="1341"/>
      <c r="N27" s="1342"/>
    </row>
    <row r="28" spans="2:14" ht="12.75" customHeight="1" x14ac:dyDescent="0.2">
      <c r="B28" s="1343"/>
      <c r="C28" s="1344"/>
      <c r="D28" s="1345"/>
      <c r="E28" s="1346"/>
      <c r="F28" s="1346"/>
      <c r="G28" s="1346"/>
      <c r="H28" s="1346"/>
      <c r="I28" s="1346"/>
      <c r="J28" s="1346"/>
      <c r="K28" s="1346"/>
      <c r="L28" s="1346"/>
      <c r="M28" s="1346"/>
      <c r="N28" s="1342"/>
    </row>
    <row r="29" spans="2:14" x14ac:dyDescent="0.2">
      <c r="B29" s="1256"/>
      <c r="C29" s="1347"/>
      <c r="D29" s="1348"/>
      <c r="E29" s="1256"/>
      <c r="F29" s="1256"/>
      <c r="G29" s="1249"/>
      <c r="H29" s="1249"/>
      <c r="I29" s="1249"/>
      <c r="J29" s="1249"/>
      <c r="K29" s="1249"/>
      <c r="L29" s="1249"/>
      <c r="M29" s="1256"/>
      <c r="N29" s="1342"/>
    </row>
    <row r="30" spans="2:14" ht="13.5" customHeight="1" x14ac:dyDescent="0.2">
      <c r="B30" s="1281" t="s">
        <v>1836</v>
      </c>
      <c r="C30" s="1347"/>
      <c r="D30" s="1348"/>
      <c r="E30" s="1256"/>
      <c r="F30" s="1256"/>
      <c r="G30" s="1249"/>
      <c r="H30" s="1249"/>
      <c r="I30" s="1249"/>
      <c r="J30" s="1249"/>
      <c r="K30" s="1249"/>
      <c r="L30" s="1249"/>
      <c r="M30" s="1256"/>
      <c r="N30" s="1342"/>
    </row>
    <row r="31" spans="2:14" ht="8.25" customHeight="1" x14ac:dyDescent="0.2">
      <c r="B31" s="1281"/>
      <c r="C31" s="1347"/>
      <c r="D31" s="1348"/>
      <c r="E31" s="1256"/>
      <c r="F31" s="1256"/>
      <c r="G31" s="1249"/>
      <c r="H31" s="1249"/>
      <c r="I31" s="1249"/>
      <c r="J31" s="1249"/>
      <c r="K31" s="1249"/>
      <c r="L31" s="1249"/>
      <c r="M31" s="1256"/>
      <c r="N31" s="1342"/>
    </row>
    <row r="32" spans="2:14" x14ac:dyDescent="0.2">
      <c r="B32" s="1349" t="s">
        <v>1947</v>
      </c>
      <c r="C32" s="1350"/>
      <c r="D32" s="1351"/>
      <c r="E32" s="1352"/>
      <c r="F32" s="1352"/>
      <c r="G32" s="1352"/>
      <c r="H32" s="1352"/>
      <c r="I32" s="317"/>
      <c r="J32" s="317"/>
    </row>
    <row r="33" spans="2:13" x14ac:dyDescent="0.2">
      <c r="B33" s="1276"/>
      <c r="C33" s="1353"/>
      <c r="D33" s="1354"/>
      <c r="E33" s="1277"/>
      <c r="F33" s="1277"/>
      <c r="G33" s="317"/>
      <c r="H33" s="317"/>
      <c r="I33" s="317"/>
      <c r="J33" s="317"/>
    </row>
    <row r="34" spans="2:13" ht="13.5" customHeight="1" x14ac:dyDescent="0.2">
      <c r="B34" s="1275" t="s">
        <v>1307</v>
      </c>
      <c r="G34" s="317"/>
      <c r="H34" s="317"/>
      <c r="I34" s="317"/>
      <c r="J34" s="317"/>
    </row>
    <row r="35" spans="2:13" ht="13.5" customHeight="1" x14ac:dyDescent="0.2">
      <c r="B35" s="1357"/>
      <c r="C35" s="1358"/>
      <c r="D35" s="1359"/>
      <c r="E35" s="1295"/>
      <c r="F35" s="1295"/>
      <c r="G35" s="1295"/>
      <c r="H35" s="1295"/>
      <c r="I35" s="1295"/>
      <c r="J35" s="1295"/>
      <c r="K35" s="1360"/>
      <c r="L35" s="1360"/>
      <c r="M35" s="1295"/>
    </row>
    <row r="36" spans="2:13" ht="9.6" customHeight="1" x14ac:dyDescent="0.2">
      <c r="B36" s="1361"/>
      <c r="G36" s="317"/>
      <c r="H36" s="317"/>
      <c r="I36" s="317"/>
      <c r="J36" s="317"/>
    </row>
    <row r="37" spans="2:13" ht="11.25" customHeight="1" x14ac:dyDescent="0.2">
      <c r="B37" s="1362" t="s">
        <v>1837</v>
      </c>
      <c r="C37" s="1363"/>
      <c r="D37" s="1363"/>
      <c r="E37" s="1363"/>
      <c r="F37" s="1363"/>
      <c r="G37" s="1363"/>
      <c r="H37" s="1363"/>
      <c r="I37" s="1364"/>
      <c r="J37" s="1364"/>
      <c r="K37" s="1364"/>
      <c r="L37" s="1364"/>
      <c r="M37" s="1364"/>
    </row>
    <row r="38" spans="2:13" ht="11.25" customHeight="1" x14ac:dyDescent="0.2">
      <c r="B38" s="1365" t="s">
        <v>1665</v>
      </c>
      <c r="C38" s="1364"/>
      <c r="D38" s="1364"/>
      <c r="E38" s="1364"/>
      <c r="F38" s="1364"/>
      <c r="G38" s="1364"/>
      <c r="H38" s="1364"/>
      <c r="I38" s="1364"/>
      <c r="J38" s="1364"/>
      <c r="K38" s="1364"/>
      <c r="L38" s="1364"/>
      <c r="M38" s="1364"/>
    </row>
    <row r="39" spans="2:13" ht="3.95" customHeight="1" x14ac:dyDescent="0.2">
      <c r="B39" s="1365"/>
      <c r="C39" s="1364"/>
      <c r="D39" s="1364"/>
      <c r="E39" s="1364"/>
      <c r="F39" s="1364"/>
      <c r="G39" s="1364"/>
      <c r="H39" s="1364"/>
      <c r="I39" s="1364"/>
      <c r="J39" s="1364"/>
      <c r="K39" s="1364"/>
      <c r="L39" s="1364"/>
      <c r="M39" s="1364"/>
    </row>
    <row r="40" spans="2:13" ht="11.25" customHeight="1" x14ac:dyDescent="0.2">
      <c r="B40" s="1362" t="s">
        <v>1838</v>
      </c>
      <c r="C40" s="1364"/>
      <c r="D40" s="1364"/>
      <c r="E40" s="1364"/>
      <c r="F40" s="1364"/>
      <c r="G40" s="1364"/>
      <c r="H40" s="1364"/>
      <c r="I40" s="1364"/>
      <c r="J40" s="1364"/>
      <c r="K40" s="1364"/>
      <c r="L40" s="1364"/>
      <c r="M40" s="1364"/>
    </row>
    <row r="41" spans="2:13" ht="11.25" customHeight="1" x14ac:dyDescent="0.2">
      <c r="B41" s="1298" t="s">
        <v>1666</v>
      </c>
      <c r="C41" s="1366"/>
      <c r="D41" s="1367"/>
      <c r="E41" s="1298"/>
      <c r="F41" s="1298"/>
      <c r="G41" s="1298"/>
      <c r="H41" s="1298"/>
      <c r="I41" s="1298"/>
      <c r="J41" s="1298"/>
      <c r="K41" s="1368"/>
      <c r="L41" s="1368"/>
      <c r="M41" s="1298"/>
    </row>
    <row r="42" spans="2:13" ht="3.95" customHeight="1" x14ac:dyDescent="0.2">
      <c r="B42" s="1298"/>
      <c r="C42" s="1366"/>
      <c r="D42" s="1367"/>
      <c r="E42" s="1298"/>
      <c r="F42" s="1298"/>
      <c r="G42" s="1298"/>
      <c r="H42" s="1298"/>
      <c r="I42" s="1298"/>
      <c r="J42" s="1298"/>
      <c r="K42" s="1368"/>
      <c r="L42" s="1368"/>
      <c r="M42" s="1298"/>
    </row>
    <row r="43" spans="2:13" ht="11.25" customHeight="1" x14ac:dyDescent="0.2">
      <c r="B43" s="1369" t="s">
        <v>1839</v>
      </c>
      <c r="C43" s="1366"/>
      <c r="D43" s="1367"/>
      <c r="E43" s="1298"/>
      <c r="F43" s="1298"/>
      <c r="G43" s="1298"/>
      <c r="H43" s="1298"/>
      <c r="I43" s="1298"/>
      <c r="J43" s="1298"/>
      <c r="K43" s="1368"/>
      <c r="L43" s="1368"/>
      <c r="M43" s="1298"/>
    </row>
    <row r="44" spans="2:13" ht="3.95" customHeight="1" x14ac:dyDescent="0.2">
      <c r="B44" s="1369"/>
      <c r="C44" s="1366"/>
      <c r="D44" s="1367"/>
      <c r="E44" s="1298"/>
      <c r="F44" s="1298"/>
      <c r="G44" s="1298"/>
      <c r="H44" s="1298"/>
      <c r="I44" s="1298"/>
      <c r="J44" s="1298"/>
      <c r="K44" s="1368"/>
      <c r="L44" s="1368"/>
      <c r="M44" s="1298"/>
    </row>
    <row r="45" spans="2:13" ht="11.25" customHeight="1" x14ac:dyDescent="0.2">
      <c r="B45" s="1370" t="s">
        <v>1840</v>
      </c>
      <c r="C45" s="1366"/>
      <c r="D45" s="1367"/>
      <c r="E45" s="1298"/>
      <c r="F45" s="1298"/>
      <c r="G45" s="1298"/>
      <c r="H45" s="1298"/>
      <c r="I45" s="1298"/>
      <c r="J45" s="1298"/>
      <c r="K45" s="1368"/>
      <c r="L45" s="1368"/>
      <c r="M45" s="1298"/>
    </row>
    <row r="46" spans="2:13" ht="11.25" customHeight="1" x14ac:dyDescent="0.2">
      <c r="B46" s="1298" t="s">
        <v>1667</v>
      </c>
      <c r="G46" s="317"/>
      <c r="H46" s="317"/>
      <c r="I46" s="317"/>
      <c r="J46" s="317"/>
    </row>
    <row r="47" spans="2:13" ht="11.1" customHeight="1" x14ac:dyDescent="0.2">
      <c r="B47" s="1298"/>
      <c r="G47" s="317"/>
      <c r="H47" s="317"/>
      <c r="I47" s="317"/>
      <c r="J47" s="317"/>
    </row>
    <row r="48" spans="2:13" ht="11.1" customHeight="1" x14ac:dyDescent="0.2">
      <c r="B48" s="1298"/>
      <c r="G48" s="317"/>
      <c r="H48" s="317"/>
      <c r="I48" s="317"/>
      <c r="J48" s="317"/>
    </row>
    <row r="49" spans="7:13" ht="13.5" customHeight="1" x14ac:dyDescent="0.2">
      <c r="M49" s="1371"/>
    </row>
    <row r="50" spans="7:13" ht="13.5" customHeight="1" x14ac:dyDescent="0.2">
      <c r="M50" s="1371"/>
    </row>
    <row r="51" spans="7:13" ht="13.5" customHeight="1" x14ac:dyDescent="0.2">
      <c r="M51" s="1371"/>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7" right="0.7" top="0.75" bottom="0.75" header="0.3" footer="0.3"/>
  <pageSetup scale="76" firstPageNumber="38" orientation="landscape" useFirstPageNumber="1" r:id="rId1"/>
  <headerFooter>
    <oddHeader>&amp;L&amp;8Page 40&amp;R&amp;8Page 40</oddHeader>
    <oddFooter>&amp;LSee Notes to Financial Statements</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52"/>
  <sheetViews>
    <sheetView showGridLines="0" topLeftCell="A7" zoomScaleNormal="100" workbookViewId="0">
      <selection activeCell="K36" sqref="K36"/>
    </sheetView>
  </sheetViews>
  <sheetFormatPr defaultColWidth="33.5703125" defaultRowHeight="12.75" x14ac:dyDescent="0.2"/>
  <cols>
    <col min="1" max="1" width="0.140625" style="317" customWidth="1"/>
    <col min="2" max="2" width="32.85546875" style="317" customWidth="1"/>
    <col min="3" max="3" width="8.7109375" style="1355" customWidth="1"/>
    <col min="4" max="4" width="12.7109375" style="1356" customWidth="1"/>
    <col min="5" max="6" width="11.7109375" style="317" customWidth="1"/>
    <col min="7" max="7" width="11.7109375" style="1257" customWidth="1"/>
    <col min="8" max="8" width="13.7109375" style="1257" bestFit="1" customWidth="1"/>
    <col min="9" max="9" width="11.7109375" style="1257" customWidth="1"/>
    <col min="10" max="10" width="13.7109375" style="1257" customWidth="1"/>
    <col min="11" max="12" width="11.7109375" style="1257" customWidth="1"/>
    <col min="13" max="13" width="11.7109375" style="317" customWidth="1"/>
    <col min="14" max="14" width="2.7109375" style="317" customWidth="1"/>
    <col min="15" max="16384" width="33.5703125" style="317"/>
  </cols>
  <sheetData>
    <row r="1" spans="2:14" ht="11.85" customHeight="1" x14ac:dyDescent="0.2">
      <c r="B1" s="2438" t="str">
        <f>'Single Audit Cover'!A7</f>
        <v>Jersey CUSD 100</v>
      </c>
      <c r="C1" s="2459"/>
      <c r="D1" s="2459"/>
      <c r="E1" s="2459"/>
      <c r="F1" s="2459"/>
      <c r="G1" s="2459"/>
      <c r="H1" s="2459"/>
      <c r="I1" s="2459"/>
      <c r="J1" s="2459"/>
      <c r="K1" s="2459"/>
      <c r="L1" s="2459"/>
      <c r="M1" s="2459"/>
    </row>
    <row r="2" spans="2:14" ht="15" x14ac:dyDescent="0.2">
      <c r="B2" s="2460">
        <f>'Single Audit Cover'!E7</f>
        <v>40042100026</v>
      </c>
      <c r="C2" s="2460"/>
      <c r="D2" s="2460"/>
      <c r="E2" s="2460"/>
      <c r="F2" s="2460"/>
      <c r="G2" s="2460"/>
      <c r="H2" s="2460"/>
      <c r="I2" s="2460"/>
      <c r="J2" s="2460"/>
      <c r="K2" s="2460"/>
      <c r="L2" s="2460"/>
      <c r="M2" s="2460"/>
      <c r="N2" s="1300"/>
    </row>
    <row r="3" spans="2:14" ht="15" x14ac:dyDescent="0.2">
      <c r="B3" s="2461" t="s">
        <v>1280</v>
      </c>
      <c r="C3" s="2461"/>
      <c r="D3" s="2461"/>
      <c r="E3" s="2461"/>
      <c r="F3" s="2461"/>
      <c r="G3" s="2461"/>
      <c r="H3" s="2461"/>
      <c r="I3" s="2461"/>
      <c r="J3" s="2461"/>
      <c r="K3" s="2461"/>
      <c r="L3" s="2461"/>
      <c r="M3" s="2461"/>
      <c r="N3" s="1300"/>
    </row>
    <row r="4" spans="2:14" ht="15" x14ac:dyDescent="0.2">
      <c r="B4" s="2462" t="str">
        <f>'Single Audit Cover'!A4</f>
        <v>Year Ending June 30, 2018</v>
      </c>
      <c r="C4" s="2462"/>
      <c r="D4" s="2462"/>
      <c r="E4" s="2462"/>
      <c r="F4" s="2462"/>
      <c r="G4" s="2462"/>
      <c r="H4" s="2462"/>
      <c r="I4" s="2462"/>
      <c r="J4" s="2462"/>
      <c r="K4" s="2462"/>
      <c r="L4" s="2462"/>
      <c r="M4" s="2462"/>
      <c r="N4" s="1300"/>
    </row>
    <row r="6" spans="2:14" x14ac:dyDescent="0.2">
      <c r="B6" s="1301"/>
      <c r="C6" s="1302"/>
      <c r="D6" s="1303" t="s">
        <v>1326</v>
      </c>
      <c r="E6" s="1304" t="s">
        <v>547</v>
      </c>
      <c r="F6" s="1305"/>
      <c r="G6" s="1306" t="s">
        <v>1833</v>
      </c>
      <c r="H6" s="1304"/>
      <c r="I6" s="1304"/>
      <c r="J6" s="1304"/>
      <c r="K6" s="1307"/>
      <c r="L6" s="1308"/>
      <c r="M6" s="1309"/>
    </row>
    <row r="7" spans="2:14" x14ac:dyDescent="0.2">
      <c r="B7" s="1310" t="s">
        <v>1661</v>
      </c>
      <c r="C7" s="1311"/>
      <c r="D7" s="1312"/>
      <c r="E7" s="1313"/>
      <c r="F7" s="1314"/>
      <c r="G7" s="1313"/>
      <c r="H7" s="1315" t="s">
        <v>1323</v>
      </c>
      <c r="I7" s="1313"/>
      <c r="J7" s="1316" t="s">
        <v>1323</v>
      </c>
      <c r="K7" s="1317"/>
      <c r="L7" s="1318" t="s">
        <v>1321</v>
      </c>
      <c r="M7" s="1319"/>
    </row>
    <row r="8" spans="2:14" x14ac:dyDescent="0.2">
      <c r="B8" s="1677"/>
      <c r="C8" s="1311" t="s">
        <v>1325</v>
      </c>
      <c r="D8" s="1312" t="s">
        <v>1324</v>
      </c>
      <c r="E8" s="1320" t="s">
        <v>1323</v>
      </c>
      <c r="F8" s="1321" t="s">
        <v>1323</v>
      </c>
      <c r="G8" s="1322" t="s">
        <v>1323</v>
      </c>
      <c r="H8" s="1315" t="s">
        <v>1662</v>
      </c>
      <c r="I8" s="1317" t="s">
        <v>1323</v>
      </c>
      <c r="J8" s="1316" t="s">
        <v>1946</v>
      </c>
      <c r="K8" s="1317" t="s">
        <v>1322</v>
      </c>
      <c r="L8" s="1318" t="s">
        <v>1318</v>
      </c>
      <c r="M8" s="1319" t="s">
        <v>30</v>
      </c>
    </row>
    <row r="9" spans="2:14" ht="14.25" x14ac:dyDescent="0.2">
      <c r="B9" s="1323" t="s">
        <v>1320</v>
      </c>
      <c r="C9" s="1311" t="s">
        <v>1834</v>
      </c>
      <c r="D9" s="1312" t="s">
        <v>1835</v>
      </c>
      <c r="E9" s="1320" t="s">
        <v>1662</v>
      </c>
      <c r="F9" s="1321" t="s">
        <v>1946</v>
      </c>
      <c r="G9" s="1322" t="s">
        <v>1662</v>
      </c>
      <c r="H9" s="1315" t="s">
        <v>1663</v>
      </c>
      <c r="I9" s="1317" t="s">
        <v>1946</v>
      </c>
      <c r="J9" s="1316" t="s">
        <v>1663</v>
      </c>
      <c r="K9" s="1317" t="s">
        <v>1319</v>
      </c>
      <c r="L9" s="1324" t="s">
        <v>1664</v>
      </c>
      <c r="M9" s="1319"/>
    </row>
    <row r="10" spans="2:14" ht="11.85" customHeight="1" x14ac:dyDescent="0.2">
      <c r="B10" s="1323" t="s">
        <v>1317</v>
      </c>
      <c r="C10" s="1325" t="s">
        <v>1316</v>
      </c>
      <c r="D10" s="1326" t="s">
        <v>1315</v>
      </c>
      <c r="E10" s="1327" t="s">
        <v>1314</v>
      </c>
      <c r="F10" s="1328" t="s">
        <v>1313</v>
      </c>
      <c r="G10" s="1329" t="s">
        <v>1312</v>
      </c>
      <c r="H10" s="1330" t="s">
        <v>1327</v>
      </c>
      <c r="I10" s="1331" t="s">
        <v>1311</v>
      </c>
      <c r="J10" s="1332" t="s">
        <v>1327</v>
      </c>
      <c r="K10" s="1333" t="s">
        <v>1310</v>
      </c>
      <c r="L10" s="1333" t="s">
        <v>1309</v>
      </c>
      <c r="M10" s="1334" t="s">
        <v>1308</v>
      </c>
    </row>
    <row r="11" spans="2:14" ht="20.100000000000001" customHeight="1" x14ac:dyDescent="0.2">
      <c r="B11" s="1335" t="s">
        <v>2182</v>
      </c>
      <c r="C11" s="1336"/>
      <c r="D11" s="1337"/>
      <c r="E11" s="1338"/>
      <c r="F11" s="1338"/>
      <c r="G11" s="1338"/>
      <c r="H11" s="1338"/>
      <c r="I11" s="1338"/>
      <c r="J11" s="1338"/>
      <c r="K11" s="1338"/>
      <c r="L11" s="1338"/>
      <c r="M11" s="1338"/>
    </row>
    <row r="12" spans="2:14" ht="20.100000000000001" customHeight="1" x14ac:dyDescent="0.2">
      <c r="B12" s="1335" t="s">
        <v>2183</v>
      </c>
      <c r="C12" s="1339"/>
      <c r="D12" s="1340"/>
      <c r="E12" s="1341"/>
      <c r="F12" s="1341"/>
      <c r="G12" s="1341"/>
      <c r="H12" s="1341"/>
      <c r="I12" s="1341"/>
      <c r="J12" s="1341"/>
      <c r="K12" s="1341"/>
      <c r="L12" s="1338"/>
      <c r="M12" s="1341"/>
    </row>
    <row r="13" spans="2:14" ht="20.100000000000001" customHeight="1" x14ac:dyDescent="0.2">
      <c r="B13" s="1335" t="s">
        <v>2184</v>
      </c>
      <c r="C13" s="1339">
        <v>93.778000000000006</v>
      </c>
      <c r="D13" s="1340" t="s">
        <v>2185</v>
      </c>
      <c r="E13" s="1341">
        <v>32124</v>
      </c>
      <c r="F13" s="1341"/>
      <c r="G13" s="1341">
        <v>32124</v>
      </c>
      <c r="H13" s="1341"/>
      <c r="I13" s="1341"/>
      <c r="J13" s="1341"/>
      <c r="K13" s="1341"/>
      <c r="L13" s="1338">
        <f t="shared" ref="L13:L27" si="0">+G13+I13+K13</f>
        <v>32124</v>
      </c>
      <c r="M13" s="1341"/>
    </row>
    <row r="14" spans="2:14" ht="20.100000000000001" customHeight="1" x14ac:dyDescent="0.2">
      <c r="B14" s="1335" t="s">
        <v>2184</v>
      </c>
      <c r="C14" s="1339">
        <v>93.778000000000006</v>
      </c>
      <c r="D14" s="1340" t="s">
        <v>2186</v>
      </c>
      <c r="E14" s="1341"/>
      <c r="F14" s="1341">
        <v>32048</v>
      </c>
      <c r="G14" s="1341"/>
      <c r="H14" s="1341"/>
      <c r="I14" s="1341">
        <v>32048</v>
      </c>
      <c r="J14" s="1341"/>
      <c r="K14" s="1341"/>
      <c r="L14" s="1338">
        <f t="shared" si="0"/>
        <v>32048</v>
      </c>
      <c r="M14" s="1341"/>
    </row>
    <row r="15" spans="2:14" ht="20.100000000000001" customHeight="1" x14ac:dyDescent="0.2">
      <c r="B15" s="1335" t="s">
        <v>2187</v>
      </c>
      <c r="C15" s="1339"/>
      <c r="D15" s="1340"/>
      <c r="E15" s="1341">
        <f>SUM(E13:E14)</f>
        <v>32124</v>
      </c>
      <c r="F15" s="1341">
        <f t="shared" ref="F15:K15" si="1">SUM(F13:F14)</f>
        <v>32048</v>
      </c>
      <c r="G15" s="1341">
        <f t="shared" si="1"/>
        <v>32124</v>
      </c>
      <c r="H15" s="1341">
        <f t="shared" si="1"/>
        <v>0</v>
      </c>
      <c r="I15" s="1341">
        <f t="shared" si="1"/>
        <v>32048</v>
      </c>
      <c r="J15" s="1341">
        <f t="shared" si="1"/>
        <v>0</v>
      </c>
      <c r="K15" s="1341">
        <f t="shared" si="1"/>
        <v>0</v>
      </c>
      <c r="L15" s="1338">
        <f t="shared" si="0"/>
        <v>64172</v>
      </c>
      <c r="M15" s="1341">
        <f>SUM(M13:M14)</f>
        <v>0</v>
      </c>
    </row>
    <row r="16" spans="2:14" ht="20.100000000000001" customHeight="1" x14ac:dyDescent="0.2">
      <c r="B16" s="1335"/>
      <c r="C16" s="1339"/>
      <c r="D16" s="1340"/>
      <c r="E16" s="1341"/>
      <c r="F16" s="1341"/>
      <c r="G16" s="1341"/>
      <c r="H16" s="1341"/>
      <c r="I16" s="1341"/>
      <c r="J16" s="1341"/>
      <c r="K16" s="1341"/>
      <c r="L16" s="1338"/>
      <c r="M16" s="1341"/>
    </row>
    <row r="17" spans="2:14" ht="20.100000000000001" customHeight="1" x14ac:dyDescent="0.2">
      <c r="B17" s="1335" t="s">
        <v>2188</v>
      </c>
      <c r="C17" s="1339"/>
      <c r="D17" s="1340"/>
      <c r="E17" s="1341">
        <f>E15</f>
        <v>32124</v>
      </c>
      <c r="F17" s="1341">
        <f t="shared" ref="F17:K17" si="2">F15</f>
        <v>32048</v>
      </c>
      <c r="G17" s="1341">
        <f t="shared" si="2"/>
        <v>32124</v>
      </c>
      <c r="H17" s="1341">
        <f t="shared" si="2"/>
        <v>0</v>
      </c>
      <c r="I17" s="1341">
        <f t="shared" si="2"/>
        <v>32048</v>
      </c>
      <c r="J17" s="1341">
        <f t="shared" si="2"/>
        <v>0</v>
      </c>
      <c r="K17" s="1341">
        <f t="shared" si="2"/>
        <v>0</v>
      </c>
      <c r="L17" s="1338">
        <f t="shared" si="0"/>
        <v>64172</v>
      </c>
      <c r="M17" s="1341">
        <f>M15</f>
        <v>0</v>
      </c>
    </row>
    <row r="18" spans="2:14" ht="20.100000000000001" customHeight="1" x14ac:dyDescent="0.2">
      <c r="B18" s="1335"/>
      <c r="C18" s="1339"/>
      <c r="D18" s="1340"/>
      <c r="E18" s="1341"/>
      <c r="F18" s="1341"/>
      <c r="G18" s="1341"/>
      <c r="H18" s="1341"/>
      <c r="I18" s="1341"/>
      <c r="J18" s="1341"/>
      <c r="K18" s="1341"/>
      <c r="L18" s="1338"/>
      <c r="M18" s="1341"/>
    </row>
    <row r="19" spans="2:14" ht="20.100000000000001" customHeight="1" x14ac:dyDescent="0.2">
      <c r="B19" s="1335" t="s">
        <v>2132</v>
      </c>
      <c r="C19" s="1339"/>
      <c r="D19" s="1340"/>
      <c r="E19" s="1341"/>
      <c r="F19" s="1341"/>
      <c r="G19" s="1341"/>
      <c r="H19" s="1341"/>
      <c r="I19" s="1341"/>
      <c r="J19" s="1341"/>
      <c r="K19" s="1341"/>
      <c r="L19" s="1338"/>
      <c r="M19" s="1341"/>
    </row>
    <row r="20" spans="2:14" ht="20.100000000000001" customHeight="1" x14ac:dyDescent="0.2">
      <c r="B20" s="1335" t="s">
        <v>2189</v>
      </c>
      <c r="C20" s="1339">
        <v>93.959000000000003</v>
      </c>
      <c r="D20" s="1340" t="s">
        <v>2190</v>
      </c>
      <c r="E20" s="1341">
        <v>4137</v>
      </c>
      <c r="F20" s="1341"/>
      <c r="G20" s="1341"/>
      <c r="H20" s="1341"/>
      <c r="I20" s="1341"/>
      <c r="J20" s="1341"/>
      <c r="K20" s="1341"/>
      <c r="L20" s="1338"/>
      <c r="M20" s="1341">
        <v>49687</v>
      </c>
    </row>
    <row r="21" spans="2:14" ht="20.100000000000001" customHeight="1" x14ac:dyDescent="0.2">
      <c r="B21" s="1335" t="s">
        <v>2189</v>
      </c>
      <c r="C21" s="1339">
        <v>93.959000000000003</v>
      </c>
      <c r="D21" s="1340" t="s">
        <v>2191</v>
      </c>
      <c r="E21" s="1341">
        <v>53118</v>
      </c>
      <c r="F21" s="1341">
        <v>9291</v>
      </c>
      <c r="G21" s="1341">
        <v>60732</v>
      </c>
      <c r="H21" s="1341"/>
      <c r="I21" s="1341"/>
      <c r="J21" s="1341"/>
      <c r="K21" s="1341"/>
      <c r="L21" s="1338">
        <f t="shared" si="0"/>
        <v>60732</v>
      </c>
      <c r="M21" s="1341">
        <v>66292</v>
      </c>
    </row>
    <row r="22" spans="2:14" ht="20.100000000000001" customHeight="1" x14ac:dyDescent="0.2">
      <c r="B22" s="1335" t="s">
        <v>2189</v>
      </c>
      <c r="C22" s="1339">
        <v>93.959000000000003</v>
      </c>
      <c r="D22" s="1340" t="s">
        <v>2192</v>
      </c>
      <c r="E22" s="1341"/>
      <c r="F22" s="1341">
        <v>51790</v>
      </c>
      <c r="G22" s="1341"/>
      <c r="H22" s="1341"/>
      <c r="I22" s="1341">
        <v>62454</v>
      </c>
      <c r="J22" s="1341"/>
      <c r="K22" s="1341"/>
      <c r="L22" s="1338">
        <f t="shared" si="0"/>
        <v>62454</v>
      </c>
      <c r="M22" s="1341">
        <v>99999</v>
      </c>
    </row>
    <row r="23" spans="2:14" ht="20.100000000000001" customHeight="1" x14ac:dyDescent="0.2">
      <c r="B23" s="1335" t="s">
        <v>2193</v>
      </c>
      <c r="C23" s="1339"/>
      <c r="D23" s="1340"/>
      <c r="E23" s="1341">
        <f>SUM(E20:E22)</f>
        <v>57255</v>
      </c>
      <c r="F23" s="1341">
        <f t="shared" ref="F23:K23" si="3">SUM(F20:F22)</f>
        <v>61081</v>
      </c>
      <c r="G23" s="1341">
        <f t="shared" si="3"/>
        <v>60732</v>
      </c>
      <c r="H23" s="1341">
        <f t="shared" si="3"/>
        <v>0</v>
      </c>
      <c r="I23" s="1341">
        <f t="shared" si="3"/>
        <v>62454</v>
      </c>
      <c r="J23" s="1341">
        <f t="shared" si="3"/>
        <v>0</v>
      </c>
      <c r="K23" s="1341">
        <f t="shared" si="3"/>
        <v>0</v>
      </c>
      <c r="L23" s="1338">
        <f>+G23+I23+K23</f>
        <v>123186</v>
      </c>
      <c r="M23" s="1341">
        <f>SUM(M20:M22)</f>
        <v>215978</v>
      </c>
    </row>
    <row r="24" spans="2:14" ht="20.100000000000001" customHeight="1" x14ac:dyDescent="0.2">
      <c r="B24" s="1335"/>
      <c r="C24" s="1339"/>
      <c r="D24" s="1340"/>
      <c r="E24" s="1341"/>
      <c r="F24" s="1341"/>
      <c r="G24" s="1341"/>
      <c r="H24" s="1341"/>
      <c r="I24" s="1341"/>
      <c r="J24" s="1341"/>
      <c r="K24" s="1341"/>
      <c r="L24" s="1338"/>
      <c r="M24" s="1341"/>
    </row>
    <row r="25" spans="2:14" ht="20.100000000000001" customHeight="1" x14ac:dyDescent="0.2">
      <c r="B25" s="1335" t="s">
        <v>2139</v>
      </c>
      <c r="C25" s="1339"/>
      <c r="D25" s="1340"/>
      <c r="E25" s="1341">
        <f>E23</f>
        <v>57255</v>
      </c>
      <c r="F25" s="1341">
        <f t="shared" ref="F25:K25" si="4">F23</f>
        <v>61081</v>
      </c>
      <c r="G25" s="1341">
        <f t="shared" si="4"/>
        <v>60732</v>
      </c>
      <c r="H25" s="1341">
        <f t="shared" si="4"/>
        <v>0</v>
      </c>
      <c r="I25" s="1341">
        <f t="shared" si="4"/>
        <v>62454</v>
      </c>
      <c r="J25" s="1341">
        <f t="shared" si="4"/>
        <v>0</v>
      </c>
      <c r="K25" s="1341">
        <f t="shared" si="4"/>
        <v>0</v>
      </c>
      <c r="L25" s="1338">
        <f t="shared" si="0"/>
        <v>123186</v>
      </c>
      <c r="M25" s="1341">
        <f>M23</f>
        <v>215978</v>
      </c>
    </row>
    <row r="26" spans="2:14" ht="20.100000000000001" customHeight="1" x14ac:dyDescent="0.2">
      <c r="B26" s="1335" t="s">
        <v>2194</v>
      </c>
      <c r="C26" s="1339"/>
      <c r="D26" s="1340"/>
      <c r="E26" s="1341">
        <f>E25+E17</f>
        <v>89379</v>
      </c>
      <c r="F26" s="1341">
        <f t="shared" ref="F26:K26" si="5">F25+F17</f>
        <v>93129</v>
      </c>
      <c r="G26" s="1341">
        <f t="shared" si="5"/>
        <v>92856</v>
      </c>
      <c r="H26" s="1341">
        <f t="shared" si="5"/>
        <v>0</v>
      </c>
      <c r="I26" s="1341">
        <f t="shared" si="5"/>
        <v>94502</v>
      </c>
      <c r="J26" s="1341">
        <f t="shared" si="5"/>
        <v>0</v>
      </c>
      <c r="K26" s="1341">
        <f t="shared" si="5"/>
        <v>0</v>
      </c>
      <c r="L26" s="1338">
        <f t="shared" si="0"/>
        <v>187358</v>
      </c>
      <c r="M26" s="1341">
        <f>M25+M17</f>
        <v>215978</v>
      </c>
    </row>
    <row r="27" spans="2:14" ht="20.100000000000001" customHeight="1" x14ac:dyDescent="0.2">
      <c r="B27" s="1335" t="s">
        <v>2195</v>
      </c>
      <c r="C27" s="1339"/>
      <c r="D27" s="1340"/>
      <c r="E27" s="1341">
        <f>E26+' SEFA (5)'!E22+' SEFA (3)'!E27</f>
        <v>2104559</v>
      </c>
      <c r="F27" s="1341">
        <f>F26+' SEFA (5)'!F22+' SEFA (3)'!F27</f>
        <v>1828182</v>
      </c>
      <c r="G27" s="1341">
        <f>G26+' SEFA (5)'!G22+' SEFA (3)'!G27</f>
        <v>2261405</v>
      </c>
      <c r="H27" s="1341">
        <f>H26+' SEFA (5)'!H22+' SEFA (3)'!H27</f>
        <v>0</v>
      </c>
      <c r="I27" s="1341">
        <f>I26+' SEFA (5)'!I22+' SEFA (3)'!I27</f>
        <v>1953297</v>
      </c>
      <c r="J27" s="1341">
        <f>J26+' SEFA (5)'!J22+' SEFA (3)'!J27</f>
        <v>0</v>
      </c>
      <c r="K27" s="1341">
        <f>K26+' SEFA (5)'!K22+' SEFA (3)'!K27</f>
        <v>34584</v>
      </c>
      <c r="L27" s="1338">
        <f t="shared" si="0"/>
        <v>4249286</v>
      </c>
      <c r="M27" s="1341">
        <f>M26+' SEFA (5)'!M22+' SEFA (3)'!M27</f>
        <v>5426108</v>
      </c>
      <c r="N27" s="1342"/>
    </row>
    <row r="28" spans="2:14" ht="12.75" customHeight="1" x14ac:dyDescent="0.2">
      <c r="B28" s="1343"/>
      <c r="C28" s="1344"/>
      <c r="D28" s="1345"/>
      <c r="E28" s="1346"/>
      <c r="F28" s="1346"/>
      <c r="G28" s="1346"/>
      <c r="H28" s="1346"/>
      <c r="I28" s="1346"/>
      <c r="J28" s="1346"/>
      <c r="K28" s="1346"/>
      <c r="L28" s="1346"/>
      <c r="M28" s="1346"/>
      <c r="N28" s="1342"/>
    </row>
    <row r="29" spans="2:14" x14ac:dyDescent="0.2">
      <c r="B29" s="1256"/>
      <c r="C29" s="1347"/>
      <c r="D29" s="1348"/>
      <c r="E29" s="1256"/>
      <c r="F29" s="1256"/>
      <c r="G29" s="1249"/>
      <c r="H29" s="1249"/>
      <c r="I29" s="1249"/>
      <c r="J29" s="1249"/>
      <c r="K29" s="1249"/>
      <c r="L29" s="1249"/>
      <c r="M29" s="1256"/>
      <c r="N29" s="1342"/>
    </row>
    <row r="30" spans="2:14" ht="13.5" customHeight="1" x14ac:dyDescent="0.2">
      <c r="B30" s="1281" t="s">
        <v>1836</v>
      </c>
      <c r="C30" s="1347"/>
      <c r="D30" s="1348"/>
      <c r="E30" s="1256"/>
      <c r="F30" s="1256"/>
      <c r="G30" s="1249"/>
      <c r="H30" s="1249"/>
      <c r="I30" s="1249"/>
      <c r="J30" s="1249"/>
      <c r="K30" s="1249"/>
      <c r="L30" s="1249"/>
      <c r="M30" s="1256"/>
      <c r="N30" s="1342"/>
    </row>
    <row r="31" spans="2:14" ht="8.25" customHeight="1" x14ac:dyDescent="0.2">
      <c r="B31" s="1281"/>
      <c r="C31" s="1347"/>
      <c r="D31" s="1348"/>
      <c r="E31" s="1256"/>
      <c r="F31" s="1256"/>
      <c r="G31" s="1249"/>
      <c r="H31" s="1249"/>
      <c r="I31" s="1249"/>
      <c r="J31" s="1249"/>
      <c r="K31" s="1249"/>
      <c r="L31" s="1249"/>
      <c r="M31" s="1256"/>
      <c r="N31" s="1342"/>
    </row>
    <row r="32" spans="2:14" x14ac:dyDescent="0.2">
      <c r="B32" s="1349" t="s">
        <v>1947</v>
      </c>
      <c r="C32" s="1350"/>
      <c r="D32" s="1351"/>
      <c r="E32" s="1352"/>
      <c r="F32" s="1352"/>
      <c r="G32" s="1352"/>
      <c r="H32" s="1352"/>
      <c r="I32" s="317"/>
      <c r="J32" s="317"/>
    </row>
    <row r="33" spans="2:13" x14ac:dyDescent="0.2">
      <c r="B33" s="1276"/>
      <c r="C33" s="1353"/>
      <c r="D33" s="1354"/>
      <c r="E33" s="1277"/>
      <c r="F33" s="1277"/>
      <c r="G33" s="317"/>
      <c r="H33" s="317"/>
      <c r="I33" s="317"/>
      <c r="J33" s="317"/>
    </row>
    <row r="34" spans="2:13" ht="13.5" customHeight="1" x14ac:dyDescent="0.2">
      <c r="B34" s="1275" t="s">
        <v>1307</v>
      </c>
      <c r="G34" s="317"/>
      <c r="H34" s="317"/>
      <c r="I34" s="317"/>
      <c r="J34" s="317"/>
    </row>
    <row r="35" spans="2:13" ht="13.5" customHeight="1" x14ac:dyDescent="0.2">
      <c r="B35" s="1357"/>
      <c r="C35" s="1358"/>
      <c r="D35" s="1359"/>
      <c r="E35" s="1295"/>
      <c r="F35" s="1295"/>
      <c r="G35" s="1295"/>
      <c r="H35" s="1295"/>
      <c r="I35" s="1295"/>
      <c r="J35" s="1295"/>
      <c r="K35" s="1360"/>
      <c r="L35" s="1360"/>
      <c r="M35" s="1295"/>
    </row>
    <row r="36" spans="2:13" ht="9.6" customHeight="1" x14ac:dyDescent="0.2">
      <c r="B36" s="1361"/>
      <c r="G36" s="317"/>
      <c r="H36" s="317"/>
      <c r="I36" s="317"/>
      <c r="J36" s="317"/>
    </row>
    <row r="37" spans="2:13" ht="11.25" customHeight="1" x14ac:dyDescent="0.2">
      <c r="B37" s="1362" t="s">
        <v>1837</v>
      </c>
      <c r="C37" s="1363"/>
      <c r="D37" s="1363"/>
      <c r="E37" s="1363"/>
      <c r="F37" s="1363"/>
      <c r="G37" s="1363"/>
      <c r="H37" s="1363"/>
      <c r="I37" s="1364"/>
      <c r="J37" s="1364"/>
      <c r="K37" s="1364"/>
      <c r="L37" s="1364"/>
      <c r="M37" s="1364"/>
    </row>
    <row r="38" spans="2:13" ht="11.25" customHeight="1" x14ac:dyDescent="0.2">
      <c r="B38" s="1365" t="s">
        <v>1665</v>
      </c>
      <c r="C38" s="1364"/>
      <c r="D38" s="1364"/>
      <c r="E38" s="1364"/>
      <c r="F38" s="1364"/>
      <c r="G38" s="1364"/>
      <c r="H38" s="1364"/>
      <c r="I38" s="1364"/>
      <c r="J38" s="1364"/>
      <c r="K38" s="1364"/>
      <c r="L38" s="1364"/>
      <c r="M38" s="1364"/>
    </row>
    <row r="39" spans="2:13" ht="3.95" customHeight="1" x14ac:dyDescent="0.2">
      <c r="B39" s="1365"/>
      <c r="C39" s="1364"/>
      <c r="D39" s="1364"/>
      <c r="E39" s="1364"/>
      <c r="F39" s="1364"/>
      <c r="G39" s="1364"/>
      <c r="H39" s="1364"/>
      <c r="I39" s="1364"/>
      <c r="J39" s="1364"/>
      <c r="K39" s="1364"/>
      <c r="L39" s="1364"/>
      <c r="M39" s="1364"/>
    </row>
    <row r="40" spans="2:13" ht="11.25" customHeight="1" x14ac:dyDescent="0.2">
      <c r="B40" s="1362" t="s">
        <v>1838</v>
      </c>
      <c r="C40" s="1364"/>
      <c r="D40" s="1364"/>
      <c r="E40" s="1364"/>
      <c r="F40" s="1364"/>
      <c r="G40" s="1364"/>
      <c r="H40" s="1364"/>
      <c r="I40" s="1364"/>
      <c r="J40" s="1364"/>
      <c r="K40" s="1364"/>
      <c r="L40" s="1364"/>
      <c r="M40" s="1364"/>
    </row>
    <row r="41" spans="2:13" ht="11.25" customHeight="1" x14ac:dyDescent="0.2">
      <c r="B41" s="1298" t="s">
        <v>1666</v>
      </c>
      <c r="C41" s="1366"/>
      <c r="D41" s="1367"/>
      <c r="E41" s="1298"/>
      <c r="F41" s="1298"/>
      <c r="G41" s="1298"/>
      <c r="H41" s="1298"/>
      <c r="I41" s="1298"/>
      <c r="J41" s="1298"/>
      <c r="K41" s="1368"/>
      <c r="L41" s="1368"/>
      <c r="M41" s="1298"/>
    </row>
    <row r="42" spans="2:13" ht="3.95" customHeight="1" x14ac:dyDescent="0.2">
      <c r="B42" s="1298"/>
      <c r="C42" s="1366"/>
      <c r="D42" s="1367"/>
      <c r="E42" s="1298"/>
      <c r="F42" s="1298"/>
      <c r="G42" s="1298"/>
      <c r="H42" s="1298"/>
      <c r="I42" s="1298"/>
      <c r="J42" s="1298"/>
      <c r="K42" s="1368"/>
      <c r="L42" s="1368"/>
      <c r="M42" s="1298"/>
    </row>
    <row r="43" spans="2:13" ht="11.25" customHeight="1" x14ac:dyDescent="0.2">
      <c r="B43" s="1369" t="s">
        <v>1839</v>
      </c>
      <c r="C43" s="1366"/>
      <c r="D43" s="1367"/>
      <c r="E43" s="1298"/>
      <c r="F43" s="1298"/>
      <c r="G43" s="1298"/>
      <c r="H43" s="1298"/>
      <c r="I43" s="1298"/>
      <c r="J43" s="1298"/>
      <c r="K43" s="1368"/>
      <c r="L43" s="1368"/>
      <c r="M43" s="1298"/>
    </row>
    <row r="44" spans="2:13" ht="3.95" customHeight="1" x14ac:dyDescent="0.2">
      <c r="B44" s="1369"/>
      <c r="C44" s="1366"/>
      <c r="D44" s="1367"/>
      <c r="E44" s="1298"/>
      <c r="F44" s="1298"/>
      <c r="G44" s="1298"/>
      <c r="H44" s="1298"/>
      <c r="I44" s="1298"/>
      <c r="J44" s="1298"/>
      <c r="K44" s="1368"/>
      <c r="L44" s="1368"/>
      <c r="M44" s="1298"/>
    </row>
    <row r="45" spans="2:13" ht="11.25" customHeight="1" x14ac:dyDescent="0.2">
      <c r="B45" s="1370" t="s">
        <v>1840</v>
      </c>
      <c r="C45" s="1366"/>
      <c r="D45" s="1367"/>
      <c r="E45" s="1298"/>
      <c r="F45" s="1298"/>
      <c r="G45" s="1298"/>
      <c r="H45" s="1298"/>
      <c r="I45" s="1298"/>
      <c r="J45" s="1298"/>
      <c r="K45" s="1368"/>
      <c r="L45" s="1368"/>
      <c r="M45" s="1298"/>
    </row>
    <row r="46" spans="2:13" ht="11.25" customHeight="1" x14ac:dyDescent="0.2">
      <c r="B46" s="1298" t="s">
        <v>1667</v>
      </c>
      <c r="G46" s="317"/>
      <c r="H46" s="317"/>
      <c r="I46" s="317"/>
      <c r="J46" s="317"/>
    </row>
    <row r="47" spans="2:13" ht="11.1" customHeight="1" x14ac:dyDescent="0.2">
      <c r="B47" s="1298"/>
      <c r="G47" s="317"/>
      <c r="H47" s="317"/>
      <c r="I47" s="317"/>
      <c r="J47" s="317"/>
    </row>
    <row r="48" spans="2:13" ht="11.1" customHeight="1" x14ac:dyDescent="0.2">
      <c r="B48" s="1298"/>
      <c r="G48" s="317"/>
      <c r="H48" s="317"/>
      <c r="I48" s="317"/>
      <c r="J48" s="317"/>
    </row>
    <row r="49" spans="7:13" ht="13.5" customHeight="1" x14ac:dyDescent="0.2">
      <c r="M49" s="1371"/>
    </row>
    <row r="50" spans="7:13" ht="13.5" customHeight="1" x14ac:dyDescent="0.2">
      <c r="M50" s="1371"/>
    </row>
    <row r="51" spans="7:13" ht="13.5" customHeight="1" x14ac:dyDescent="0.2">
      <c r="M51" s="1371"/>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7" right="0.7" top="0.75" bottom="0.75" header="0.3" footer="0.3"/>
  <pageSetup scale="76" firstPageNumber="38" orientation="landscape" useFirstPageNumber="1" r:id="rId1"/>
  <headerFooter>
    <oddHeader>&amp;L&amp;8Page 40&amp;R&amp;8Page 40</oddHeader>
    <oddFooter>&amp;LSee Notes to Financial Statements</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activeCell="K36" sqref="K36"/>
    </sheetView>
  </sheetViews>
  <sheetFormatPr defaultColWidth="8" defaultRowHeight="12.75" x14ac:dyDescent="0.2"/>
  <cols>
    <col min="1" max="1" width="1.42578125" style="317" customWidth="1"/>
    <col min="2" max="2" width="53.28515625" style="317" customWidth="1"/>
    <col min="3" max="3" width="14" style="1257" customWidth="1"/>
    <col min="4" max="4" width="16.7109375" style="1257" customWidth="1"/>
    <col min="5" max="5" width="7.5703125" style="317" customWidth="1"/>
    <col min="6" max="6" width="2.7109375" style="317" customWidth="1"/>
    <col min="7" max="7" width="3.28515625" style="317" customWidth="1"/>
    <col min="8" max="16384" width="8" style="317"/>
  </cols>
  <sheetData>
    <row r="1" spans="1:7" ht="13.5" customHeight="1" x14ac:dyDescent="0.2">
      <c r="A1" s="2472" t="str">
        <f>'Single Audit Cover'!A7</f>
        <v>Jersey CUSD 100</v>
      </c>
      <c r="B1" s="2472"/>
      <c r="C1" s="2472"/>
      <c r="D1" s="2472"/>
      <c r="E1" s="2472"/>
      <c r="F1" s="2472"/>
    </row>
    <row r="2" spans="1:7" ht="13.5" customHeight="1" x14ac:dyDescent="0.2">
      <c r="A2" s="2460">
        <f>'Single Audit Cover'!E7</f>
        <v>40042100026</v>
      </c>
      <c r="B2" s="2460"/>
      <c r="C2" s="2460"/>
      <c r="D2" s="2460"/>
      <c r="E2" s="2460"/>
      <c r="F2" s="2460"/>
      <c r="G2" s="1274"/>
    </row>
    <row r="3" spans="1:7" ht="15.75" customHeight="1" x14ac:dyDescent="0.2">
      <c r="A3" s="2473" t="s">
        <v>1332</v>
      </c>
      <c r="B3" s="2473"/>
      <c r="C3" s="2473"/>
      <c r="D3" s="2473"/>
      <c r="E3" s="2473"/>
      <c r="F3" s="2473"/>
    </row>
    <row r="4" spans="1:7" ht="13.5" customHeight="1" x14ac:dyDescent="0.2">
      <c r="A4" s="2474" t="str">
        <f>'Single Audit Cover'!A4</f>
        <v>Year Ending June 30, 2018</v>
      </c>
      <c r="B4" s="2474"/>
      <c r="C4" s="2474"/>
      <c r="D4" s="2474"/>
      <c r="E4" s="2474"/>
      <c r="F4" s="2474"/>
    </row>
    <row r="5" spans="1:7" ht="8.25" customHeight="1" x14ac:dyDescent="0.2">
      <c r="C5" s="317"/>
      <c r="D5" s="317"/>
    </row>
    <row r="6" spans="1:7" ht="13.5" customHeight="1" x14ac:dyDescent="0.2">
      <c r="A6" s="1275" t="s">
        <v>1830</v>
      </c>
      <c r="C6" s="317"/>
      <c r="D6" s="317"/>
    </row>
    <row r="7" spans="1:7" ht="60.95" customHeight="1" x14ac:dyDescent="0.2">
      <c r="A7" s="2471" t="s">
        <v>2311</v>
      </c>
      <c r="B7" s="2471"/>
      <c r="C7" s="2471"/>
      <c r="D7" s="2471"/>
      <c r="E7" s="2471"/>
      <c r="F7" s="2471"/>
    </row>
    <row r="8" spans="1:7" ht="12" customHeight="1" x14ac:dyDescent="0.2">
      <c r="A8" s="1275"/>
      <c r="B8" s="1281"/>
      <c r="C8" s="1281"/>
      <c r="D8" s="1281"/>
    </row>
    <row r="9" spans="1:7" ht="15" customHeight="1" x14ac:dyDescent="0.2">
      <c r="A9" s="1276" t="s">
        <v>1831</v>
      </c>
      <c r="B9" s="1279"/>
      <c r="C9" s="1279"/>
      <c r="D9" s="1279"/>
      <c r="E9" s="1277"/>
      <c r="F9" s="1277"/>
      <c r="G9" s="1277"/>
    </row>
    <row r="10" spans="1:7" ht="15" customHeight="1" x14ac:dyDescent="0.2">
      <c r="A10" s="1278" t="s">
        <v>1627</v>
      </c>
      <c r="B10" s="1279"/>
      <c r="C10" s="1280"/>
      <c r="D10" s="1279" t="s">
        <v>1628</v>
      </c>
      <c r="E10" s="1280" t="s">
        <v>2076</v>
      </c>
      <c r="F10" s="1279" t="s">
        <v>101</v>
      </c>
      <c r="G10" s="1277"/>
    </row>
    <row r="11" spans="1:7" ht="12" customHeight="1" x14ac:dyDescent="0.2">
      <c r="A11" s="1278" t="s">
        <v>2314</v>
      </c>
      <c r="B11" s="1279"/>
      <c r="C11" s="1915"/>
      <c r="D11" s="1279"/>
      <c r="E11" s="1915"/>
      <c r="F11" s="1279"/>
      <c r="G11" s="1277"/>
    </row>
    <row r="12" spans="1:7" x14ac:dyDescent="0.2">
      <c r="A12" s="1275" t="s">
        <v>1668</v>
      </c>
      <c r="C12" s="1259"/>
      <c r="D12" s="1259"/>
    </row>
    <row r="13" spans="1:7" ht="24.75" customHeight="1" x14ac:dyDescent="0.2">
      <c r="A13" s="2471" t="s">
        <v>2312</v>
      </c>
      <c r="B13" s="2471"/>
      <c r="C13" s="2471"/>
      <c r="D13" s="2471"/>
      <c r="E13" s="2471"/>
      <c r="F13" s="2471"/>
    </row>
    <row r="14" spans="1:7" ht="9.75" customHeight="1" x14ac:dyDescent="0.2">
      <c r="C14" s="1259"/>
      <c r="D14" s="1259"/>
    </row>
    <row r="15" spans="1:7" ht="13.5" customHeight="1" x14ac:dyDescent="0.2">
      <c r="C15" s="1859" t="s">
        <v>1331</v>
      </c>
      <c r="D15" s="2469" t="s">
        <v>1330</v>
      </c>
      <c r="E15" s="2469"/>
      <c r="F15" s="2469"/>
    </row>
    <row r="16" spans="1:7" ht="13.5" customHeight="1" x14ac:dyDescent="0.2">
      <c r="A16" s="1281"/>
      <c r="B16" s="1275" t="s">
        <v>1329</v>
      </c>
      <c r="C16" s="1859" t="s">
        <v>1328</v>
      </c>
      <c r="D16" s="2470" t="s">
        <v>1669</v>
      </c>
      <c r="E16" s="2470"/>
      <c r="F16" s="2470"/>
    </row>
    <row r="17" spans="1:6" ht="20.45" customHeight="1" x14ac:dyDescent="0.2">
      <c r="A17" s="1282"/>
      <c r="B17" s="1283" t="s">
        <v>2313</v>
      </c>
      <c r="C17" s="1284"/>
      <c r="D17" s="2464"/>
      <c r="E17" s="2464"/>
      <c r="F17" s="2464"/>
    </row>
    <row r="18" spans="1:6" ht="20.65" customHeight="1" x14ac:dyDescent="0.2">
      <c r="A18" s="1282"/>
      <c r="B18" s="1283"/>
      <c r="C18" s="1284"/>
      <c r="D18" s="2464"/>
      <c r="E18" s="2464"/>
      <c r="F18" s="2464"/>
    </row>
    <row r="19" spans="1:6" ht="20.65" customHeight="1" x14ac:dyDescent="0.2">
      <c r="A19" s="1282"/>
      <c r="B19" s="1283"/>
      <c r="C19" s="1284"/>
      <c r="D19" s="2464"/>
      <c r="E19" s="2464"/>
      <c r="F19" s="2464"/>
    </row>
    <row r="20" spans="1:6" ht="20.65" customHeight="1" x14ac:dyDescent="0.2">
      <c r="A20" s="1282"/>
      <c r="B20" s="1283"/>
      <c r="C20" s="1284"/>
      <c r="D20" s="2464"/>
      <c r="E20" s="2464"/>
      <c r="F20" s="2464"/>
    </row>
    <row r="21" spans="1:6" ht="20.65" customHeight="1" x14ac:dyDescent="0.2">
      <c r="A21" s="1282"/>
      <c r="B21" s="1283"/>
      <c r="C21" s="1284"/>
      <c r="D21" s="2464"/>
      <c r="E21" s="2464"/>
      <c r="F21" s="2464"/>
    </row>
    <row r="22" spans="1:6" ht="20.65" customHeight="1" x14ac:dyDescent="0.2">
      <c r="A22" s="1282"/>
      <c r="B22" s="1283"/>
      <c r="C22" s="1284"/>
      <c r="D22" s="2464"/>
      <c r="E22" s="2464"/>
      <c r="F22" s="2464"/>
    </row>
    <row r="23" spans="1:6" ht="20.65" customHeight="1" x14ac:dyDescent="0.2">
      <c r="A23" s="1282"/>
      <c r="B23" s="1283"/>
      <c r="C23" s="1284"/>
      <c r="D23" s="2464"/>
      <c r="E23" s="2464"/>
      <c r="F23" s="2464"/>
    </row>
    <row r="24" spans="1:6" ht="20.65" customHeight="1" x14ac:dyDescent="0.2">
      <c r="A24" s="1282"/>
      <c r="B24" s="1283"/>
      <c r="C24" s="1284"/>
      <c r="D24" s="2464"/>
      <c r="E24" s="2464"/>
      <c r="F24" s="2464"/>
    </row>
    <row r="25" spans="1:6" ht="20.65" customHeight="1" x14ac:dyDescent="0.2">
      <c r="A25" s="1282"/>
      <c r="B25" s="1283"/>
      <c r="C25" s="1284"/>
      <c r="D25" s="2464"/>
      <c r="E25" s="2464"/>
      <c r="F25" s="2464"/>
    </row>
    <row r="26" spans="1:6" ht="20.65" customHeight="1" x14ac:dyDescent="0.2">
      <c r="A26" s="1282"/>
      <c r="B26" s="1283"/>
      <c r="C26" s="1284"/>
      <c r="D26" s="2464"/>
      <c r="E26" s="2464"/>
      <c r="F26" s="2464"/>
    </row>
    <row r="27" spans="1:6" ht="20.65" customHeight="1" x14ac:dyDescent="0.2">
      <c r="A27" s="1282"/>
      <c r="B27" s="1283"/>
      <c r="C27" s="1284"/>
      <c r="D27" s="2464"/>
      <c r="E27" s="2464"/>
      <c r="F27" s="2464"/>
    </row>
    <row r="28" spans="1:6" ht="20.65" customHeight="1" x14ac:dyDescent="0.2">
      <c r="A28" s="1282"/>
      <c r="B28" s="1283"/>
      <c r="C28" s="1284"/>
      <c r="D28" s="2464"/>
      <c r="E28" s="2464"/>
      <c r="F28" s="2464"/>
    </row>
    <row r="29" spans="1:6" ht="20.65" customHeight="1" x14ac:dyDescent="0.2">
      <c r="A29" s="1282"/>
      <c r="B29" s="1283"/>
      <c r="C29" s="1284"/>
      <c r="D29" s="2464"/>
      <c r="E29" s="2464"/>
      <c r="F29" s="2464"/>
    </row>
    <row r="30" spans="1:6" ht="12" customHeight="1" x14ac:dyDescent="0.2">
      <c r="A30" s="328"/>
      <c r="B30" s="328"/>
      <c r="C30" s="1476"/>
      <c r="D30" s="1916"/>
      <c r="E30" s="1285"/>
    </row>
    <row r="31" spans="1:6" ht="12" customHeight="1" x14ac:dyDescent="0.2">
      <c r="A31" s="1286" t="s">
        <v>1629</v>
      </c>
      <c r="B31" s="328"/>
      <c r="C31" s="1476"/>
      <c r="D31" s="1916"/>
      <c r="E31" s="1285"/>
    </row>
    <row r="32" spans="1:6" ht="30" customHeight="1" x14ac:dyDescent="0.2">
      <c r="A32" s="2465" t="s">
        <v>2315</v>
      </c>
      <c r="B32" s="2465"/>
      <c r="C32" s="2465"/>
      <c r="D32" s="2465"/>
      <c r="E32" s="2465"/>
      <c r="F32" s="2465"/>
    </row>
    <row r="33" spans="1:6" ht="13.5" customHeight="1" x14ac:dyDescent="0.2">
      <c r="A33" s="328" t="s">
        <v>1508</v>
      </c>
      <c r="B33" s="328"/>
      <c r="C33" s="1945">
        <f>'SEFA Reconcile'!D14</f>
        <v>87123</v>
      </c>
      <c r="D33" s="1916"/>
      <c r="E33" s="1285"/>
    </row>
    <row r="34" spans="1:6" ht="13.5" customHeight="1" x14ac:dyDescent="0.2">
      <c r="A34" s="328" t="s">
        <v>1945</v>
      </c>
      <c r="B34" s="328"/>
      <c r="C34" s="1287">
        <v>0</v>
      </c>
      <c r="D34" s="1916" t="s">
        <v>1670</v>
      </c>
      <c r="E34" s="2466">
        <f>+C33+C34</f>
        <v>87123</v>
      </c>
      <c r="F34" s="2467"/>
    </row>
    <row r="35" spans="1:6" ht="12" customHeight="1" x14ac:dyDescent="0.2">
      <c r="A35" s="328"/>
      <c r="B35" s="328"/>
      <c r="C35" s="1917"/>
      <c r="D35" s="1916"/>
      <c r="E35" s="1288"/>
      <c r="F35" s="1289"/>
    </row>
    <row r="36" spans="1:6" ht="13.5" customHeight="1" x14ac:dyDescent="0.2">
      <c r="A36" s="1286" t="s">
        <v>1630</v>
      </c>
      <c r="B36" s="328"/>
      <c r="C36" s="1476"/>
      <c r="D36" s="1916"/>
      <c r="E36" s="1285"/>
    </row>
    <row r="37" spans="1:6" ht="14.25" customHeight="1" x14ac:dyDescent="0.2">
      <c r="A37" s="328" t="s">
        <v>1562</v>
      </c>
      <c r="B37" s="328"/>
      <c r="C37" s="1918"/>
      <c r="D37" s="1916"/>
      <c r="E37" s="1285"/>
    </row>
    <row r="38" spans="1:6" ht="14.25" customHeight="1" x14ac:dyDescent="0.2">
      <c r="A38" s="328"/>
      <c r="B38" s="328" t="s">
        <v>1509</v>
      </c>
      <c r="C38" s="1290">
        <v>0</v>
      </c>
      <c r="D38" s="1916"/>
      <c r="E38" s="1285"/>
    </row>
    <row r="39" spans="1:6" ht="14.25" customHeight="1" x14ac:dyDescent="0.2">
      <c r="A39" s="328"/>
      <c r="B39" s="328" t="s">
        <v>1510</v>
      </c>
      <c r="C39" s="1290">
        <v>0</v>
      </c>
      <c r="D39" s="1916"/>
      <c r="E39" s="1285"/>
    </row>
    <row r="40" spans="1:6" ht="14.25" customHeight="1" x14ac:dyDescent="0.2">
      <c r="A40" s="328"/>
      <c r="B40" s="328" t="s">
        <v>1511</v>
      </c>
      <c r="C40" s="1290">
        <v>0</v>
      </c>
      <c r="D40" s="1916"/>
      <c r="E40" s="1285"/>
    </row>
    <row r="41" spans="1:6" ht="14.25" customHeight="1" x14ac:dyDescent="0.2">
      <c r="A41" s="328"/>
      <c r="B41" s="328" t="s">
        <v>1512</v>
      </c>
      <c r="C41" s="1290">
        <v>0</v>
      </c>
      <c r="D41" s="1916"/>
      <c r="E41" s="1285"/>
    </row>
    <row r="42" spans="1:6" ht="14.25" customHeight="1" x14ac:dyDescent="0.2">
      <c r="A42" s="328" t="s">
        <v>1513</v>
      </c>
      <c r="B42" s="328"/>
      <c r="C42" s="1914">
        <v>0</v>
      </c>
      <c r="D42" s="1916"/>
      <c r="E42" s="1285"/>
    </row>
    <row r="43" spans="1:6" ht="14.25" customHeight="1" x14ac:dyDescent="0.2">
      <c r="A43" s="328" t="s">
        <v>1514</v>
      </c>
      <c r="B43" s="328"/>
      <c r="C43" s="1291">
        <v>0</v>
      </c>
      <c r="D43" s="1916"/>
      <c r="E43" s="1285"/>
    </row>
    <row r="44" spans="1:6" ht="14.25" customHeight="1" x14ac:dyDescent="0.2">
      <c r="A44" s="328"/>
      <c r="B44" s="328"/>
      <c r="C44" s="1918" t="s">
        <v>1515</v>
      </c>
      <c r="D44" s="1916"/>
      <c r="E44" s="1285"/>
    </row>
    <row r="45" spans="1:6" ht="13.5" customHeight="1" x14ac:dyDescent="0.2">
      <c r="B45" s="322"/>
      <c r="C45" s="1292"/>
      <c r="D45" s="1292"/>
    </row>
    <row r="46" spans="1:6" x14ac:dyDescent="0.2">
      <c r="A46" s="1293" t="s">
        <v>1832</v>
      </c>
      <c r="C46" s="317"/>
      <c r="D46" s="317"/>
    </row>
    <row r="47" spans="1:6" s="322" customFormat="1" ht="11.25" customHeight="1" x14ac:dyDescent="0.2">
      <c r="A47" s="1294"/>
      <c r="B47" s="1295"/>
      <c r="C47" s="1295"/>
      <c r="D47" s="1295"/>
      <c r="E47" s="1295"/>
      <c r="F47" s="1295"/>
    </row>
    <row r="48" spans="1:6" s="322" customFormat="1" ht="6" customHeight="1" x14ac:dyDescent="0.2">
      <c r="A48" s="1296"/>
    </row>
    <row r="49" spans="1:5" s="1298" customFormat="1" ht="23.25" customHeight="1" x14ac:dyDescent="0.2">
      <c r="A49" s="1297">
        <v>5</v>
      </c>
      <c r="B49" s="2468" t="s">
        <v>1671</v>
      </c>
      <c r="C49" s="2468"/>
      <c r="D49" s="2468"/>
      <c r="E49" s="1397"/>
    </row>
    <row r="50" spans="1:5" s="1298" customFormat="1" ht="3.75" customHeight="1" x14ac:dyDescent="0.2">
      <c r="A50" s="1297"/>
      <c r="B50" s="1858"/>
      <c r="C50" s="1858"/>
      <c r="D50" s="1858"/>
      <c r="E50" s="1397"/>
    </row>
    <row r="51" spans="1:5" s="1298" customFormat="1" ht="20.25" customHeight="1" x14ac:dyDescent="0.2">
      <c r="A51" s="1299">
        <v>6</v>
      </c>
      <c r="B51" s="2463" t="s">
        <v>1631</v>
      </c>
      <c r="C51" s="2463"/>
      <c r="D51" s="2463"/>
    </row>
    <row r="52" spans="1:5" ht="14.25" customHeight="1" x14ac:dyDescent="0.2">
      <c r="A52" s="1299"/>
      <c r="B52" s="2463"/>
      <c r="C52" s="2463"/>
      <c r="D52" s="2463"/>
    </row>
  </sheetData>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89" firstPageNumber="39" orientation="portrait" useFirstPageNumber="1" r:id="rId1"/>
  <headerFooter>
    <oddHeader>&amp;L&amp;8Page 41&amp;R&amp;8Page 41</oddHeader>
    <oddFooter>&amp;LSee Notes to Financial Statements</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3"/>
  <sheetViews>
    <sheetView showGridLines="0" zoomScale="110" zoomScaleNormal="110" workbookViewId="0">
      <selection activeCell="K36" sqref="K36"/>
    </sheetView>
  </sheetViews>
  <sheetFormatPr defaultColWidth="9.140625" defaultRowHeight="12.75" x14ac:dyDescent="0.2"/>
  <cols>
    <col min="1" max="1" width="1.42578125" style="1298" customWidth="1"/>
    <col min="2" max="2" width="24.42578125" style="1355" customWidth="1"/>
    <col min="3" max="3" width="29.5703125" style="317" customWidth="1"/>
    <col min="4" max="4" width="9.28515625" style="317" customWidth="1"/>
    <col min="5" max="5" width="5.28515625" style="1257"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86" t="str">
        <f>'Single Audit Cover'!A7</f>
        <v>Jersey CUSD 100</v>
      </c>
      <c r="C1" s="2487"/>
      <c r="D1" s="2487"/>
      <c r="E1" s="2487"/>
      <c r="F1" s="2487"/>
      <c r="G1" s="2487"/>
      <c r="H1" s="2487"/>
      <c r="I1" s="2487"/>
      <c r="J1" s="1420"/>
    </row>
    <row r="2" spans="2:10" s="317" customFormat="1" ht="12.75" customHeight="1" x14ac:dyDescent="0.2">
      <c r="B2" s="2488">
        <f>'Single Audit Cover'!E7</f>
        <v>40042100026</v>
      </c>
      <c r="C2" s="2489"/>
      <c r="D2" s="2489"/>
      <c r="E2" s="2489"/>
      <c r="F2" s="2489"/>
      <c r="G2" s="2489"/>
      <c r="H2" s="2489"/>
      <c r="I2" s="2489"/>
      <c r="J2" s="1420"/>
    </row>
    <row r="3" spans="2:10" s="317" customFormat="1" ht="12.75" customHeight="1" x14ac:dyDescent="0.2">
      <c r="B3" s="2490" t="s">
        <v>1346</v>
      </c>
      <c r="C3" s="2491"/>
      <c r="D3" s="2491"/>
      <c r="E3" s="2491"/>
      <c r="F3" s="2491"/>
      <c r="G3" s="2491"/>
      <c r="H3" s="2491"/>
      <c r="I3" s="2491"/>
      <c r="J3" s="1421"/>
    </row>
    <row r="4" spans="2:10" s="317" customFormat="1" ht="12.75" customHeight="1" x14ac:dyDescent="0.2">
      <c r="B4" s="2490" t="str">
        <f>'Single Audit Cover'!A4</f>
        <v>Year Ending June 30, 2018</v>
      </c>
      <c r="C4" s="2491"/>
      <c r="D4" s="2491"/>
      <c r="E4" s="2491"/>
      <c r="F4" s="2491"/>
      <c r="G4" s="2491"/>
      <c r="H4" s="2491"/>
      <c r="I4" s="2491"/>
    </row>
    <row r="5" spans="2:10" s="317" customFormat="1" ht="6.2" customHeight="1" x14ac:dyDescent="0.2">
      <c r="B5" s="1422" t="s">
        <v>1230</v>
      </c>
      <c r="C5" s="1292"/>
      <c r="D5" s="1292"/>
      <c r="E5" s="1381"/>
      <c r="F5" s="322"/>
      <c r="G5" s="322"/>
      <c r="H5" s="322"/>
      <c r="I5" s="322"/>
    </row>
    <row r="6" spans="2:10" s="317" customFormat="1" ht="6.2" customHeight="1" x14ac:dyDescent="0.2">
      <c r="B6" s="1423"/>
      <c r="C6" s="1377"/>
      <c r="D6" s="1377"/>
      <c r="E6" s="1378"/>
      <c r="F6" s="1377"/>
      <c r="G6" s="1377"/>
      <c r="H6" s="1377"/>
      <c r="I6" s="1377"/>
    </row>
    <row r="7" spans="2:10" s="317" customFormat="1" ht="13.5" customHeight="1" x14ac:dyDescent="0.2">
      <c r="B7" s="2490" t="s">
        <v>1345</v>
      </c>
      <c r="C7" s="2491"/>
      <c r="D7" s="2491"/>
      <c r="E7" s="2491"/>
      <c r="F7" s="2491"/>
      <c r="G7" s="2491"/>
      <c r="H7" s="2491"/>
      <c r="I7" s="2491"/>
    </row>
    <row r="8" spans="2:10" s="317" customFormat="1" ht="6.2" customHeight="1" x14ac:dyDescent="0.2">
      <c r="B8" s="1424" t="s">
        <v>1230</v>
      </c>
      <c r="C8" s="1425"/>
      <c r="D8" s="1425"/>
      <c r="E8" s="1426"/>
      <c r="F8" s="1425"/>
      <c r="G8" s="1425"/>
      <c r="H8" s="1425"/>
      <c r="I8" s="1425"/>
    </row>
    <row r="9" spans="2:10" s="317" customFormat="1" ht="9" customHeight="1" x14ac:dyDescent="0.2">
      <c r="B9" s="1427"/>
      <c r="C9" s="322"/>
      <c r="D9" s="322"/>
      <c r="E9" s="1381"/>
      <c r="F9" s="322"/>
      <c r="G9" s="322"/>
      <c r="H9" s="322"/>
      <c r="I9" s="322"/>
    </row>
    <row r="10" spans="2:10" s="317" customFormat="1" ht="12.75" customHeight="1" x14ac:dyDescent="0.2">
      <c r="B10" s="1428" t="s">
        <v>1344</v>
      </c>
      <c r="C10" s="1429"/>
      <c r="D10" s="1429"/>
      <c r="E10" s="1257"/>
    </row>
    <row r="11" spans="2:10" s="317" customFormat="1" ht="13.5" customHeight="1" x14ac:dyDescent="0.2">
      <c r="B11" s="1347" t="s">
        <v>1343</v>
      </c>
      <c r="C11" s="2492" t="s">
        <v>2196</v>
      </c>
      <c r="D11" s="2492"/>
      <c r="E11" s="1430"/>
      <c r="F11" s="1430"/>
      <c r="G11" s="1430"/>
    </row>
    <row r="12" spans="2:10" s="317" customFormat="1" ht="11.45" customHeight="1" x14ac:dyDescent="0.2">
      <c r="B12" s="1355"/>
      <c r="C12" s="1431" t="s">
        <v>1516</v>
      </c>
      <c r="D12" s="1432"/>
      <c r="E12" s="1257"/>
    </row>
    <row r="13" spans="2:10" s="317" customFormat="1" ht="12.75" customHeight="1" x14ac:dyDescent="0.2">
      <c r="B13" s="1433"/>
      <c r="C13" s="1385"/>
      <c r="D13" s="1385"/>
      <c r="E13" s="1257"/>
    </row>
    <row r="14" spans="2:10" s="317" customFormat="1" ht="12.75" customHeight="1" x14ac:dyDescent="0.2">
      <c r="B14" s="1366" t="s">
        <v>1342</v>
      </c>
      <c r="C14" s="1281"/>
      <c r="E14" s="1257"/>
    </row>
    <row r="15" spans="2:10" s="317" customFormat="1" ht="13.5" customHeight="1" x14ac:dyDescent="0.2">
      <c r="B15" s="1434" t="s">
        <v>1339</v>
      </c>
      <c r="C15" s="1435"/>
      <c r="D15" s="1396"/>
      <c r="E15" s="1436" t="s">
        <v>2076</v>
      </c>
      <c r="F15" s="1298" t="s">
        <v>939</v>
      </c>
      <c r="G15" s="1436"/>
      <c r="H15" s="1298" t="s">
        <v>1337</v>
      </c>
      <c r="I15" s="1298"/>
    </row>
    <row r="16" spans="2:10" s="317" customFormat="1" ht="8.4499999999999993" customHeight="1" x14ac:dyDescent="0.2">
      <c r="B16" s="1366"/>
      <c r="C16" s="1281"/>
      <c r="E16" s="1381"/>
      <c r="F16" s="1298"/>
      <c r="G16" s="322"/>
      <c r="H16" s="1298"/>
      <c r="I16" s="1298"/>
    </row>
    <row r="17" spans="2:9" s="317" customFormat="1" ht="13.5" customHeight="1" x14ac:dyDescent="0.2">
      <c r="B17" s="1434" t="s">
        <v>1338</v>
      </c>
      <c r="C17" s="1435"/>
      <c r="D17" s="1396"/>
      <c r="E17" s="1437"/>
      <c r="F17" s="1256"/>
      <c r="G17" s="1437"/>
      <c r="H17" s="1298"/>
      <c r="I17" s="1298"/>
    </row>
    <row r="18" spans="2:9" s="317" customFormat="1" ht="12.75" customHeight="1" x14ac:dyDescent="0.2">
      <c r="B18" s="1434" t="s">
        <v>1517</v>
      </c>
      <c r="C18" s="1435"/>
      <c r="D18" s="1396"/>
      <c r="E18" s="1436"/>
      <c r="F18" s="1298" t="s">
        <v>939</v>
      </c>
      <c r="G18" s="1436" t="s">
        <v>2076</v>
      </c>
      <c r="H18" s="1298" t="s">
        <v>1337</v>
      </c>
      <c r="I18" s="1298"/>
    </row>
    <row r="19" spans="2:9" s="317" customFormat="1" ht="8.4499999999999993" customHeight="1" x14ac:dyDescent="0.2">
      <c r="B19" s="1366"/>
      <c r="C19" s="1281"/>
      <c r="E19" s="1381"/>
      <c r="F19" s="1298"/>
      <c r="G19" s="322"/>
      <c r="H19" s="1298"/>
      <c r="I19" s="1298"/>
    </row>
    <row r="20" spans="2:9" s="317" customFormat="1" ht="13.5" customHeight="1" x14ac:dyDescent="0.2">
      <c r="B20" s="1434" t="s">
        <v>1672</v>
      </c>
      <c r="C20" s="1435"/>
      <c r="D20" s="1396"/>
      <c r="E20" s="1436"/>
      <c r="F20" s="1298" t="s">
        <v>939</v>
      </c>
      <c r="G20" s="1436" t="s">
        <v>2076</v>
      </c>
      <c r="H20" s="1298" t="s">
        <v>101</v>
      </c>
      <c r="I20" s="1298"/>
    </row>
    <row r="21" spans="2:9" s="317" customFormat="1" ht="12.75" customHeight="1" x14ac:dyDescent="0.2">
      <c r="B21" s="1366"/>
      <c r="C21" s="1281"/>
      <c r="E21" s="1381"/>
      <c r="F21" s="1298"/>
      <c r="G21" s="322"/>
      <c r="H21" s="1298"/>
      <c r="I21" s="1298"/>
    </row>
    <row r="22" spans="2:9" s="317" customFormat="1" ht="12.75" customHeight="1" x14ac:dyDescent="0.2">
      <c r="B22" s="1428" t="s">
        <v>1341</v>
      </c>
      <c r="C22" s="1438"/>
      <c r="D22" s="1429"/>
      <c r="E22" s="1381"/>
      <c r="F22" s="1298"/>
      <c r="G22" s="322"/>
      <c r="H22" s="1298"/>
      <c r="I22" s="1298"/>
    </row>
    <row r="23" spans="2:9" s="317" customFormat="1" ht="12.75" customHeight="1" x14ac:dyDescent="0.2">
      <c r="B23" s="1366" t="s">
        <v>1340</v>
      </c>
      <c r="C23" s="1281"/>
      <c r="E23" s="1381"/>
      <c r="F23" s="1298"/>
      <c r="G23" s="322"/>
      <c r="H23" s="1298"/>
      <c r="I23" s="1298"/>
    </row>
    <row r="24" spans="2:9" s="317" customFormat="1" ht="13.5" customHeight="1" x14ac:dyDescent="0.2">
      <c r="B24" s="1434" t="s">
        <v>1339</v>
      </c>
      <c r="C24" s="1435"/>
      <c r="D24" s="1396"/>
      <c r="E24" s="1436"/>
      <c r="F24" s="1298" t="s">
        <v>939</v>
      </c>
      <c r="G24" s="1436" t="s">
        <v>2076</v>
      </c>
      <c r="H24" s="1298" t="s">
        <v>1337</v>
      </c>
      <c r="I24" s="1298"/>
    </row>
    <row r="25" spans="2:9" s="317" customFormat="1" ht="8.4499999999999993" customHeight="1" x14ac:dyDescent="0.2">
      <c r="B25" s="1366"/>
      <c r="C25" s="1281"/>
      <c r="E25" s="1381"/>
      <c r="F25" s="1298"/>
      <c r="G25" s="322"/>
      <c r="H25" s="1298"/>
      <c r="I25" s="1298"/>
    </row>
    <row r="26" spans="2:9" s="317" customFormat="1" ht="13.5" customHeight="1" x14ac:dyDescent="0.2">
      <c r="B26" s="1434" t="s">
        <v>1338</v>
      </c>
      <c r="C26" s="1435"/>
      <c r="D26" s="1396"/>
      <c r="E26" s="1437"/>
      <c r="F26" s="1256"/>
      <c r="G26" s="1437"/>
      <c r="H26" s="1298"/>
      <c r="I26" s="1298"/>
    </row>
    <row r="27" spans="2:9" s="317" customFormat="1" ht="12.75" customHeight="1" x14ac:dyDescent="0.2">
      <c r="B27" s="1434" t="s">
        <v>1517</v>
      </c>
      <c r="C27" s="1435"/>
      <c r="D27" s="1396"/>
      <c r="E27" s="1436"/>
      <c r="F27" s="1298" t="s">
        <v>939</v>
      </c>
      <c r="G27" s="1436" t="s">
        <v>2076</v>
      </c>
      <c r="H27" s="1298" t="s">
        <v>1337</v>
      </c>
      <c r="I27" s="1298"/>
    </row>
    <row r="28" spans="2:9" s="317" customFormat="1" ht="12.75" customHeight="1" x14ac:dyDescent="0.2">
      <c r="B28" s="1366"/>
      <c r="C28" s="1281"/>
      <c r="E28" s="1257"/>
    </row>
    <row r="29" spans="2:9" s="317" customFormat="1" ht="12.75" customHeight="1" x14ac:dyDescent="0.2">
      <c r="B29" s="1366" t="s">
        <v>1336</v>
      </c>
      <c r="C29" s="1281"/>
      <c r="D29" s="2493" t="s">
        <v>2196</v>
      </c>
      <c r="E29" s="2493"/>
      <c r="F29" s="2493"/>
      <c r="G29" s="2493"/>
      <c r="H29" s="2493"/>
      <c r="I29" s="2493"/>
    </row>
    <row r="30" spans="2:9" s="317" customFormat="1" x14ac:dyDescent="0.2">
      <c r="B30" s="1366"/>
      <c r="C30" s="322"/>
      <c r="D30" s="1431" t="s">
        <v>1847</v>
      </c>
      <c r="E30" s="1432"/>
      <c r="F30" s="1432"/>
      <c r="G30" s="1432"/>
      <c r="H30" s="1432"/>
      <c r="I30" s="1432"/>
    </row>
    <row r="31" spans="2:9" s="317" customFormat="1" ht="9.9499999999999993" customHeight="1" x14ac:dyDescent="0.2">
      <c r="B31" s="1366"/>
      <c r="E31" s="1257"/>
    </row>
    <row r="32" spans="2:9" s="317" customFormat="1" x14ac:dyDescent="0.2">
      <c r="B32" s="1366" t="s">
        <v>1335</v>
      </c>
      <c r="C32" s="1281"/>
      <c r="E32" s="1257"/>
    </row>
    <row r="33" spans="2:9" ht="13.5" customHeight="1" x14ac:dyDescent="0.2">
      <c r="B33" s="1366" t="s">
        <v>1632</v>
      </c>
      <c r="C33" s="1281"/>
      <c r="E33" s="1436" t="s">
        <v>2076</v>
      </c>
      <c r="F33" s="1298" t="s">
        <v>939</v>
      </c>
      <c r="G33" s="1436"/>
      <c r="H33" s="1298" t="s">
        <v>101</v>
      </c>
    </row>
    <row r="35" spans="2:9" x14ac:dyDescent="0.2">
      <c r="B35" s="1439" t="s">
        <v>1848</v>
      </c>
      <c r="C35" s="1440"/>
      <c r="D35" s="1266"/>
    </row>
    <row r="36" spans="2:9" ht="6" customHeight="1" x14ac:dyDescent="0.2">
      <c r="B36" s="1439"/>
      <c r="C36" s="1440"/>
      <c r="D36" s="1266"/>
    </row>
    <row r="37" spans="2:9" ht="17.25" customHeight="1" x14ac:dyDescent="0.2">
      <c r="B37" s="1441" t="s">
        <v>1849</v>
      </c>
      <c r="C37" s="2494" t="s">
        <v>1850</v>
      </c>
      <c r="D37" s="2495"/>
      <c r="E37" s="2495"/>
      <c r="F37" s="2496"/>
      <c r="G37" s="2494" t="s">
        <v>1673</v>
      </c>
      <c r="H37" s="2495"/>
      <c r="I37" s="2496"/>
    </row>
    <row r="38" spans="2:9" ht="16.5" customHeight="1" x14ac:dyDescent="0.2">
      <c r="B38" s="1442" t="s">
        <v>2197</v>
      </c>
      <c r="C38" s="2482" t="s">
        <v>2198</v>
      </c>
      <c r="D38" s="2483"/>
      <c r="E38" s="2483"/>
      <c r="F38" s="2484"/>
      <c r="G38" s="2497">
        <f>' SEFA (3)'!I23+' SEFA (3)'!I17</f>
        <v>639919</v>
      </c>
      <c r="H38" s="2498"/>
      <c r="I38" s="2499"/>
    </row>
    <row r="39" spans="2:9" ht="16.5" customHeight="1" x14ac:dyDescent="0.2">
      <c r="B39" s="1442" t="s">
        <v>2199</v>
      </c>
      <c r="C39" s="2482" t="s">
        <v>2200</v>
      </c>
      <c r="D39" s="2483"/>
      <c r="E39" s="2483"/>
      <c r="F39" s="2484"/>
      <c r="G39" s="2485">
        <f>' SEFA (5)'!I22</f>
        <v>627719</v>
      </c>
      <c r="H39" s="2485"/>
      <c r="I39" s="2485"/>
    </row>
    <row r="40" spans="2:9" ht="16.5" customHeight="1" x14ac:dyDescent="0.2">
      <c r="B40" s="1442"/>
      <c r="C40" s="2482"/>
      <c r="D40" s="2483"/>
      <c r="E40" s="2483"/>
      <c r="F40" s="2484"/>
      <c r="G40" s="2485"/>
      <c r="H40" s="2485"/>
      <c r="I40" s="2485"/>
    </row>
    <row r="41" spans="2:9" ht="16.5" customHeight="1" x14ac:dyDescent="0.2">
      <c r="B41" s="1442"/>
      <c r="C41" s="2482"/>
      <c r="D41" s="2483"/>
      <c r="E41" s="2483"/>
      <c r="F41" s="2484"/>
      <c r="G41" s="2485"/>
      <c r="H41" s="2485"/>
      <c r="I41" s="2485"/>
    </row>
    <row r="42" spans="2:9" ht="16.5" customHeight="1" x14ac:dyDescent="0.2">
      <c r="B42" s="1442"/>
      <c r="C42" s="2482"/>
      <c r="D42" s="2483"/>
      <c r="E42" s="2483"/>
      <c r="F42" s="2484"/>
      <c r="G42" s="2485"/>
      <c r="H42" s="2485"/>
      <c r="I42" s="2485"/>
    </row>
    <row r="43" spans="2:9" ht="16.5" customHeight="1" x14ac:dyDescent="0.2">
      <c r="B43" s="1442"/>
      <c r="C43" s="2475" t="s">
        <v>1674</v>
      </c>
      <c r="D43" s="2476"/>
      <c r="E43" s="2476"/>
      <c r="F43" s="2477"/>
      <c r="G43" s="2478">
        <f>SUM(G38:I42)</f>
        <v>1267638</v>
      </c>
      <c r="H43" s="2478"/>
      <c r="I43" s="2478"/>
    </row>
    <row r="44" spans="2:9" ht="12.75" customHeight="1" x14ac:dyDescent="0.2"/>
    <row r="45" spans="2:9" ht="12.75" customHeight="1" x14ac:dyDescent="0.2">
      <c r="B45" s="1433" t="s">
        <v>1948</v>
      </c>
      <c r="D45" s="2479">
        <f>' SEFA (6)'!I27</f>
        <v>1953297</v>
      </c>
      <c r="E45" s="2480"/>
    </row>
    <row r="46" spans="2:9" ht="5.25" customHeight="1" x14ac:dyDescent="0.2">
      <c r="B46" s="1443"/>
      <c r="D46" s="1444"/>
      <c r="E46" s="1445"/>
    </row>
    <row r="47" spans="2:9" ht="12.75" customHeight="1" x14ac:dyDescent="0.2">
      <c r="B47" s="1298" t="s">
        <v>1675</v>
      </c>
      <c r="C47" s="1298"/>
      <c r="D47" s="1446">
        <f>+G43/D45</f>
        <v>0.64897350479727356</v>
      </c>
      <c r="E47" s="1447"/>
      <c r="F47" s="1448"/>
      <c r="I47" s="1449"/>
    </row>
    <row r="48" spans="2:9" ht="9.9499999999999993" customHeight="1" x14ac:dyDescent="0.2"/>
    <row r="49" spans="1:9" x14ac:dyDescent="0.2">
      <c r="B49" s="1366" t="s">
        <v>1334</v>
      </c>
      <c r="C49" s="1281"/>
      <c r="D49" s="1281"/>
      <c r="E49" s="2481">
        <v>750000</v>
      </c>
      <c r="F49" s="2481"/>
      <c r="G49" s="2481"/>
      <c r="H49" s="322"/>
    </row>
    <row r="51" spans="1:9" ht="13.5" customHeight="1" x14ac:dyDescent="0.2">
      <c r="B51" s="1366" t="s">
        <v>1333</v>
      </c>
      <c r="C51" s="1281"/>
      <c r="E51" s="1436"/>
      <c r="F51" s="1298" t="s">
        <v>939</v>
      </c>
      <c r="G51" s="1436" t="s">
        <v>2076</v>
      </c>
      <c r="H51" s="1298" t="s">
        <v>101</v>
      </c>
    </row>
    <row r="52" spans="1:9" x14ac:dyDescent="0.2">
      <c r="B52" s="1358"/>
      <c r="C52" s="1295"/>
      <c r="D52" s="1450"/>
      <c r="E52" s="1451"/>
      <c r="F52" s="1452"/>
      <c r="G52" s="1452"/>
      <c r="H52" s="1452"/>
      <c r="I52" s="1452"/>
    </row>
    <row r="53" spans="1:9" ht="6" customHeight="1" x14ac:dyDescent="0.2">
      <c r="B53" s="1427"/>
      <c r="C53" s="322"/>
      <c r="D53" s="1453"/>
      <c r="E53" s="1454"/>
      <c r="F53" s="1455"/>
      <c r="G53" s="1455"/>
      <c r="H53" s="1455"/>
      <c r="I53" s="1455"/>
    </row>
    <row r="54" spans="1:9" s="1459" customFormat="1" ht="14.25" x14ac:dyDescent="0.2">
      <c r="A54" s="1456"/>
      <c r="B54" s="1457" t="s">
        <v>1851</v>
      </c>
      <c r="C54" s="1458"/>
      <c r="D54" s="1458"/>
    </row>
    <row r="55" spans="1:9" s="1459" customFormat="1" ht="12.75" customHeight="1" x14ac:dyDescent="0.2">
      <c r="A55" s="1456"/>
      <c r="B55" s="1460" t="s">
        <v>1676</v>
      </c>
      <c r="C55" s="1456"/>
      <c r="D55" s="1456"/>
    </row>
    <row r="56" spans="1:9" s="1459" customFormat="1" ht="12.75" customHeight="1" x14ac:dyDescent="0.2">
      <c r="A56" s="1456"/>
      <c r="B56" s="1460" t="s">
        <v>1677</v>
      </c>
      <c r="C56" s="1456"/>
      <c r="D56" s="1456"/>
    </row>
    <row r="57" spans="1:9" s="1459" customFormat="1" ht="3.95" customHeight="1" x14ac:dyDescent="0.2">
      <c r="A57" s="1456"/>
      <c r="B57" s="1460"/>
      <c r="C57" s="1456"/>
      <c r="D57" s="1456"/>
    </row>
    <row r="58" spans="1:9" s="1459" customFormat="1" ht="13.5" customHeight="1" x14ac:dyDescent="0.2">
      <c r="A58" s="1456"/>
      <c r="B58" s="1461" t="s">
        <v>1852</v>
      </c>
      <c r="C58" s="1462"/>
      <c r="D58" s="1462"/>
    </row>
    <row r="59" spans="1:9" s="1459" customFormat="1" ht="3.95" customHeight="1" x14ac:dyDescent="0.2">
      <c r="A59" s="1456"/>
      <c r="B59" s="1461"/>
      <c r="C59" s="1462"/>
      <c r="D59" s="1462"/>
    </row>
    <row r="60" spans="1:9" s="1459" customFormat="1" ht="13.5" customHeight="1" x14ac:dyDescent="0.2">
      <c r="A60" s="1456"/>
      <c r="B60" s="1461" t="s">
        <v>1853</v>
      </c>
      <c r="C60" s="1462"/>
      <c r="D60" s="1462"/>
    </row>
    <row r="61" spans="1:9" s="1459" customFormat="1" ht="3.95" customHeight="1" x14ac:dyDescent="0.2">
      <c r="A61" s="1456"/>
      <c r="B61" s="1461"/>
      <c r="C61" s="1462"/>
      <c r="D61" s="1462"/>
    </row>
    <row r="62" spans="1:9" s="1459" customFormat="1" ht="12.75" customHeight="1" x14ac:dyDescent="0.2">
      <c r="A62" s="1456"/>
      <c r="B62" s="1461" t="s">
        <v>1854</v>
      </c>
      <c r="C62" s="1462"/>
      <c r="D62" s="1462"/>
    </row>
    <row r="63" spans="1:9" s="1459" customFormat="1" ht="13.5" customHeight="1" x14ac:dyDescent="0.2">
      <c r="A63" s="1456"/>
      <c r="B63" s="1460" t="s">
        <v>1678</v>
      </c>
      <c r="C63" s="1456"/>
      <c r="D63" s="1456"/>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scale="99" firstPageNumber="40" orientation="portrait" useFirstPageNumber="1" r:id="rId1"/>
  <headerFooter>
    <oddHeader>&amp;L&amp;8Page 42&amp;R&amp;8Page 42</oddHeader>
    <oddFooter>&amp;LSee Notes to Financial Statements</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topLeftCell="A19" zoomScale="110" zoomScaleNormal="110" workbookViewId="0">
      <selection activeCell="K36" sqref="K36"/>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86" t="str">
        <f>'Single Audit Cover'!A7</f>
        <v>Jersey CUSD 100</v>
      </c>
      <c r="C1" s="2486"/>
      <c r="D1" s="2486"/>
      <c r="E1" s="2486"/>
      <c r="F1" s="2486"/>
      <c r="G1" s="2486"/>
      <c r="H1" s="2486"/>
      <c r="I1" s="2486"/>
      <c r="J1" s="2486"/>
      <c r="K1" s="2486"/>
      <c r="L1" s="1372"/>
      <c r="M1" s="1372"/>
    </row>
    <row r="2" spans="1:13" ht="12" customHeight="1" x14ac:dyDescent="0.2">
      <c r="B2" s="2488">
        <f>'Single Audit Cover'!E7</f>
        <v>40042100026</v>
      </c>
      <c r="C2" s="2488"/>
      <c r="D2" s="2488"/>
      <c r="E2" s="2488"/>
      <c r="F2" s="2488"/>
      <c r="G2" s="2488"/>
      <c r="H2" s="2488"/>
      <c r="I2" s="2488"/>
      <c r="J2" s="2488"/>
      <c r="K2" s="2488"/>
      <c r="L2" s="1373"/>
      <c r="M2" s="1374"/>
    </row>
    <row r="3" spans="1:13" ht="10.35" customHeight="1" x14ac:dyDescent="0.2">
      <c r="B3" s="2502" t="s">
        <v>1346</v>
      </c>
      <c r="C3" s="2502"/>
      <c r="D3" s="2502"/>
      <c r="E3" s="2502"/>
      <c r="F3" s="2502"/>
      <c r="G3" s="2502"/>
      <c r="H3" s="2502"/>
      <c r="I3" s="2502"/>
      <c r="J3" s="2502"/>
      <c r="K3" s="2502"/>
      <c r="L3" s="1375"/>
      <c r="M3" s="1375"/>
    </row>
    <row r="4" spans="1:13" ht="14.25" customHeight="1" x14ac:dyDescent="0.2">
      <c r="B4" s="2503" t="str">
        <f>'Single Audit Cover'!A4</f>
        <v>Year Ending June 30, 2018</v>
      </c>
      <c r="C4" s="2503"/>
      <c r="D4" s="2503"/>
      <c r="E4" s="2503"/>
      <c r="F4" s="2503"/>
      <c r="G4" s="2503"/>
      <c r="H4" s="2503"/>
      <c r="I4" s="2503"/>
      <c r="J4" s="2503"/>
      <c r="K4" s="2503"/>
      <c r="L4" s="313"/>
      <c r="M4" s="313"/>
    </row>
    <row r="5" spans="1:13" ht="7.5" customHeight="1" x14ac:dyDescent="0.2">
      <c r="B5" s="1259" t="s">
        <v>1230</v>
      </c>
      <c r="C5" s="1259"/>
    </row>
    <row r="6" spans="1:13" ht="7.5" customHeight="1" x14ac:dyDescent="0.2">
      <c r="B6" s="1376"/>
      <c r="C6" s="1376"/>
      <c r="D6" s="1377"/>
      <c r="E6" s="1377"/>
      <c r="F6" s="1377"/>
      <c r="G6" s="1378"/>
      <c r="H6" s="1377"/>
      <c r="I6" s="1378"/>
      <c r="J6" s="1377"/>
      <c r="K6" s="1377"/>
      <c r="L6" s="1379"/>
    </row>
    <row r="7" spans="1:13" ht="12.75" customHeight="1" x14ac:dyDescent="0.2">
      <c r="A7" s="1281"/>
      <c r="B7" s="2503" t="s">
        <v>1362</v>
      </c>
      <c r="C7" s="2503"/>
      <c r="D7" s="2504"/>
      <c r="E7" s="2504"/>
      <c r="F7" s="2504"/>
      <c r="G7" s="2504"/>
      <c r="H7" s="2504"/>
      <c r="I7" s="2504"/>
      <c r="J7" s="2504"/>
      <c r="K7" s="2504"/>
      <c r="L7" s="1380"/>
    </row>
    <row r="8" spans="1:13" ht="7.5" customHeight="1" x14ac:dyDescent="0.2">
      <c r="B8" s="322"/>
      <c r="C8" s="322"/>
      <c r="D8" s="322"/>
      <c r="E8" s="322"/>
      <c r="F8" s="322"/>
      <c r="G8" s="1381"/>
      <c r="H8" s="322"/>
      <c r="I8" s="1381"/>
      <c r="J8" s="322"/>
      <c r="K8" s="322"/>
      <c r="L8" s="1379"/>
    </row>
    <row r="9" spans="1:13" ht="9.6" customHeight="1" x14ac:dyDescent="0.2">
      <c r="B9" s="1377"/>
      <c r="C9" s="1377"/>
      <c r="D9" s="1377"/>
      <c r="E9" s="1377"/>
      <c r="F9" s="1377"/>
      <c r="G9" s="1378"/>
      <c r="H9" s="1377"/>
      <c r="I9" s="1378"/>
      <c r="J9" s="1377"/>
      <c r="K9" s="1377"/>
      <c r="L9" s="1379"/>
    </row>
    <row r="10" spans="1:13" ht="16.5" customHeight="1" x14ac:dyDescent="0.2">
      <c r="B10" s="1382" t="s">
        <v>1841</v>
      </c>
      <c r="C10" s="1383" t="s">
        <v>1949</v>
      </c>
      <c r="D10" s="1384">
        <v>1</v>
      </c>
      <c r="E10" s="322"/>
      <c r="F10" s="1385" t="s">
        <v>1361</v>
      </c>
      <c r="G10" s="1386"/>
      <c r="H10" s="1387" t="s">
        <v>1360</v>
      </c>
      <c r="I10" s="1386" t="s">
        <v>2076</v>
      </c>
      <c r="J10" s="1388" t="s">
        <v>1359</v>
      </c>
      <c r="K10" s="322"/>
      <c r="L10" s="1379"/>
    </row>
    <row r="11" spans="1:13" ht="13.5" customHeight="1" x14ac:dyDescent="0.2">
      <c r="B11" s="322"/>
      <c r="C11" s="322"/>
      <c r="D11" s="322"/>
      <c r="E11" s="322"/>
      <c r="F11" s="322"/>
      <c r="G11" s="1381"/>
      <c r="H11" s="322"/>
      <c r="I11" s="1389" t="s">
        <v>1358</v>
      </c>
      <c r="J11" s="322"/>
      <c r="K11" s="1390">
        <v>2014</v>
      </c>
      <c r="L11" s="1379"/>
    </row>
    <row r="12" spans="1:13" ht="13.5" customHeight="1" x14ac:dyDescent="0.2">
      <c r="B12" s="1292"/>
      <c r="C12" s="1292"/>
      <c r="D12" s="322"/>
      <c r="E12" s="322"/>
      <c r="F12" s="322"/>
      <c r="G12" s="1381"/>
      <c r="H12" s="322"/>
      <c r="I12" s="1381"/>
      <c r="J12" s="322"/>
      <c r="L12" s="1379"/>
    </row>
    <row r="13" spans="1:13" s="1281" customFormat="1" ht="13.5" customHeight="1" x14ac:dyDescent="0.2">
      <c r="B13" s="1391" t="s">
        <v>1357</v>
      </c>
      <c r="C13" s="1391"/>
      <c r="D13" s="1392"/>
      <c r="E13" s="1392"/>
      <c r="F13" s="1392"/>
      <c r="G13" s="1393"/>
      <c r="H13" s="1392"/>
      <c r="I13" s="1393"/>
      <c r="J13" s="1392"/>
      <c r="K13" s="1392"/>
      <c r="L13" s="1394"/>
    </row>
    <row r="14" spans="1:13" ht="45.75" customHeight="1" x14ac:dyDescent="0.2">
      <c r="B14" s="2501" t="s">
        <v>2316</v>
      </c>
      <c r="C14" s="2501"/>
      <c r="D14" s="2501"/>
      <c r="E14" s="2501"/>
      <c r="F14" s="2501"/>
      <c r="G14" s="2501"/>
      <c r="H14" s="2501"/>
      <c r="I14" s="2501"/>
      <c r="J14" s="2501"/>
      <c r="K14" s="2501"/>
      <c r="L14" s="1395"/>
    </row>
    <row r="15" spans="1:13" ht="4.5" customHeight="1" x14ac:dyDescent="0.2">
      <c r="B15" s="1396"/>
      <c r="C15" s="1396"/>
      <c r="D15" s="1397"/>
      <c r="E15" s="1397"/>
      <c r="F15" s="1397"/>
      <c r="H15" s="1397"/>
      <c r="J15" s="1397"/>
      <c r="K15" s="1397"/>
      <c r="L15" s="1395"/>
    </row>
    <row r="16" spans="1:13" s="1281" customFormat="1" ht="13.5" customHeight="1" x14ac:dyDescent="0.2">
      <c r="B16" s="1391" t="s">
        <v>1356</v>
      </c>
      <c r="C16" s="1391"/>
      <c r="D16" s="1392"/>
      <c r="E16" s="1392"/>
      <c r="F16" s="1392"/>
      <c r="G16" s="1393"/>
      <c r="H16" s="1392"/>
      <c r="I16" s="1393"/>
      <c r="J16" s="1392"/>
      <c r="K16" s="1392"/>
      <c r="L16" s="1394"/>
    </row>
    <row r="17" spans="2:12" ht="45.75" customHeight="1" x14ac:dyDescent="0.2">
      <c r="B17" s="2501" t="s">
        <v>2317</v>
      </c>
      <c r="C17" s="2501"/>
      <c r="D17" s="2501"/>
      <c r="E17" s="2501"/>
      <c r="F17" s="2501"/>
      <c r="G17" s="2501"/>
      <c r="H17" s="2501"/>
      <c r="I17" s="2501"/>
      <c r="J17" s="2501"/>
      <c r="K17" s="2501"/>
      <c r="L17" s="1379"/>
    </row>
    <row r="18" spans="2:12" ht="4.5" customHeight="1" x14ac:dyDescent="0.2">
      <c r="B18" s="1396"/>
      <c r="C18" s="1396"/>
      <c r="L18" s="1379"/>
    </row>
    <row r="19" spans="2:12" s="1281" customFormat="1" ht="13.5" customHeight="1" x14ac:dyDescent="0.2">
      <c r="B19" s="1391" t="s">
        <v>1842</v>
      </c>
      <c r="C19" s="1391"/>
      <c r="D19" s="1392"/>
      <c r="E19" s="1392"/>
      <c r="F19" s="1392"/>
      <c r="G19" s="1393"/>
      <c r="H19" s="1392"/>
      <c r="I19" s="1393"/>
      <c r="J19" s="1392"/>
      <c r="K19" s="1392"/>
      <c r="L19" s="1394"/>
    </row>
    <row r="20" spans="2:12" ht="45.75" customHeight="1" x14ac:dyDescent="0.2">
      <c r="B20" s="2500" t="s">
        <v>2202</v>
      </c>
      <c r="C20" s="2500"/>
      <c r="D20" s="2501"/>
      <c r="E20" s="2501"/>
      <c r="F20" s="2501"/>
      <c r="G20" s="2501"/>
      <c r="H20" s="2501"/>
      <c r="I20" s="2501"/>
      <c r="J20" s="2501"/>
      <c r="K20" s="2501"/>
      <c r="L20" s="1379"/>
    </row>
    <row r="21" spans="2:12" ht="4.5" customHeight="1" x14ac:dyDescent="0.2">
      <c r="B21" s="1398"/>
      <c r="C21" s="1398"/>
      <c r="L21" s="1379"/>
    </row>
    <row r="22" spans="2:12" ht="13.5" customHeight="1" x14ac:dyDescent="0.2">
      <c r="B22" s="1391" t="s">
        <v>1355</v>
      </c>
      <c r="C22" s="1391"/>
      <c r="D22" s="1377"/>
      <c r="E22" s="1377"/>
      <c r="F22" s="1377"/>
      <c r="G22" s="1378"/>
      <c r="H22" s="1377"/>
      <c r="I22" s="1378"/>
      <c r="J22" s="1377"/>
      <c r="K22" s="1377"/>
      <c r="L22" s="1379"/>
    </row>
    <row r="23" spans="2:12" ht="45" customHeight="1" x14ac:dyDescent="0.2">
      <c r="B23" s="2500" t="s">
        <v>2203</v>
      </c>
      <c r="C23" s="2500"/>
      <c r="D23" s="2501"/>
      <c r="E23" s="2501"/>
      <c r="F23" s="2501"/>
      <c r="G23" s="2501"/>
      <c r="H23" s="2501"/>
      <c r="I23" s="2501"/>
      <c r="J23" s="2501"/>
      <c r="K23" s="2501"/>
      <c r="L23" s="1379"/>
    </row>
    <row r="24" spans="2:12" ht="4.5" customHeight="1" x14ac:dyDescent="0.2">
      <c r="B24" s="1396"/>
      <c r="C24" s="1396"/>
      <c r="L24" s="1379"/>
    </row>
    <row r="25" spans="2:12" ht="13.5" customHeight="1" x14ac:dyDescent="0.2">
      <c r="B25" s="1391" t="s">
        <v>1354</v>
      </c>
      <c r="C25" s="1391"/>
      <c r="D25" s="1377"/>
      <c r="E25" s="1377"/>
      <c r="F25" s="1377"/>
      <c r="G25" s="1378"/>
      <c r="H25" s="1377"/>
      <c r="I25" s="1378"/>
      <c r="J25" s="1377"/>
      <c r="K25" s="1377"/>
      <c r="L25" s="1379"/>
    </row>
    <row r="26" spans="2:12" ht="45.75" customHeight="1" x14ac:dyDescent="0.2">
      <c r="B26" s="2500" t="s">
        <v>2317</v>
      </c>
      <c r="C26" s="2500"/>
      <c r="D26" s="2501"/>
      <c r="E26" s="2501"/>
      <c r="F26" s="2501"/>
      <c r="G26" s="2501"/>
      <c r="H26" s="2501"/>
      <c r="I26" s="2501"/>
      <c r="J26" s="2501"/>
      <c r="K26" s="2501"/>
      <c r="L26" s="1379"/>
    </row>
    <row r="27" spans="2:12" ht="4.5" customHeight="1" x14ac:dyDescent="0.2">
      <c r="B27" s="1396"/>
      <c r="C27" s="1396"/>
      <c r="L27" s="1379"/>
    </row>
    <row r="28" spans="2:12" ht="13.5" customHeight="1" x14ac:dyDescent="0.2">
      <c r="B28" s="1399" t="s">
        <v>1353</v>
      </c>
      <c r="C28" s="1399"/>
      <c r="D28" s="1377"/>
      <c r="E28" s="1377"/>
      <c r="F28" s="1377"/>
      <c r="G28" s="1378"/>
      <c r="H28" s="1377"/>
      <c r="I28" s="1378"/>
      <c r="J28" s="1377"/>
      <c r="K28" s="1377"/>
      <c r="L28" s="1379"/>
    </row>
    <row r="29" spans="2:12" ht="45.75" customHeight="1" x14ac:dyDescent="0.2">
      <c r="B29" s="2500" t="s">
        <v>2340</v>
      </c>
      <c r="C29" s="2500"/>
      <c r="D29" s="2501"/>
      <c r="E29" s="2501"/>
      <c r="F29" s="2501"/>
      <c r="G29" s="2501"/>
      <c r="H29" s="2501"/>
      <c r="I29" s="2501"/>
      <c r="J29" s="2501"/>
      <c r="K29" s="2501"/>
      <c r="L29" s="1379"/>
    </row>
    <row r="30" spans="2:12" ht="4.5" customHeight="1" x14ac:dyDescent="0.2">
      <c r="B30" s="1400"/>
      <c r="C30" s="1400"/>
      <c r="D30" s="322"/>
      <c r="E30" s="322"/>
      <c r="F30" s="322"/>
      <c r="G30" s="1381"/>
      <c r="H30" s="322"/>
      <c r="I30" s="1381"/>
      <c r="J30" s="322"/>
      <c r="K30" s="322"/>
      <c r="L30" s="1379"/>
    </row>
    <row r="31" spans="2:12" s="322" customFormat="1" ht="13.5" customHeight="1" x14ac:dyDescent="0.2">
      <c r="B31" s="1401" t="s">
        <v>1843</v>
      </c>
      <c r="C31" s="1401"/>
      <c r="D31" s="1376"/>
      <c r="E31" s="1377"/>
      <c r="F31" s="1377"/>
      <c r="G31" s="1378"/>
      <c r="H31" s="1377"/>
      <c r="I31" s="1378"/>
      <c r="J31" s="1377"/>
      <c r="K31" s="1377"/>
      <c r="L31" s="1379"/>
    </row>
    <row r="32" spans="2:12" s="322" customFormat="1" ht="54" customHeight="1" x14ac:dyDescent="0.2">
      <c r="B32" s="2500" t="s">
        <v>2339</v>
      </c>
      <c r="C32" s="2500"/>
      <c r="D32" s="2501"/>
      <c r="E32" s="2501"/>
      <c r="F32" s="2501"/>
      <c r="G32" s="2501"/>
      <c r="H32" s="2501"/>
      <c r="I32" s="2501"/>
      <c r="J32" s="2501"/>
      <c r="K32" s="2501"/>
      <c r="L32" s="1379"/>
    </row>
    <row r="33" spans="1:13" s="322" customFormat="1" ht="4.5" customHeight="1" x14ac:dyDescent="0.2">
      <c r="B33" s="1400"/>
      <c r="C33" s="1400"/>
      <c r="G33" s="1381"/>
      <c r="I33" s="1381"/>
      <c r="L33" s="1379"/>
    </row>
    <row r="34" spans="1:13" s="322" customFormat="1" x14ac:dyDescent="0.2">
      <c r="A34" s="1295"/>
      <c r="B34" s="1415"/>
      <c r="C34" s="1415"/>
      <c r="D34" s="1415"/>
      <c r="E34" s="1415"/>
      <c r="F34" s="1415"/>
      <c r="G34" s="1416"/>
      <c r="H34" s="1415"/>
      <c r="I34" s="1416"/>
      <c r="J34" s="1415"/>
      <c r="K34" s="1415"/>
      <c r="L34" s="1379"/>
    </row>
    <row r="35" spans="1:13" ht="11.85" customHeight="1" x14ac:dyDescent="0.2">
      <c r="B35" s="1417" t="s">
        <v>1844</v>
      </c>
      <c r="C35" s="1417"/>
      <c r="D35" s="322"/>
      <c r="E35" s="322"/>
      <c r="F35" s="322"/>
      <c r="L35" s="1379"/>
    </row>
    <row r="36" spans="1:13" ht="9.6" customHeight="1" x14ac:dyDescent="0.2">
      <c r="B36" s="1298" t="s">
        <v>1950</v>
      </c>
      <c r="C36" s="1298"/>
      <c r="L36" s="1379"/>
    </row>
    <row r="37" spans="1:13" ht="9.6" customHeight="1" x14ac:dyDescent="0.2">
      <c r="B37" s="1298" t="s">
        <v>1951</v>
      </c>
      <c r="C37" s="1298"/>
    </row>
    <row r="38" spans="1:13" ht="11.85" customHeight="1" x14ac:dyDescent="0.2">
      <c r="B38" s="1418" t="s">
        <v>1845</v>
      </c>
      <c r="C38" s="1418"/>
    </row>
    <row r="39" spans="1:13" ht="9.6" customHeight="1" x14ac:dyDescent="0.2">
      <c r="B39" s="1298" t="s">
        <v>1347</v>
      </c>
      <c r="C39" s="1298"/>
      <c r="M39" s="1419"/>
    </row>
    <row r="40" spans="1:13" ht="12.6" customHeight="1" x14ac:dyDescent="0.2">
      <c r="B40" s="1418" t="s">
        <v>1846</v>
      </c>
      <c r="C40" s="1418"/>
      <c r="M40" s="1419"/>
    </row>
    <row r="41" spans="1:13" ht="9.6" customHeight="1" x14ac:dyDescent="0.2">
      <c r="B41" s="1298"/>
      <c r="C41" s="1298"/>
      <c r="M41" s="1419"/>
    </row>
  </sheetData>
  <mergeCells count="12">
    <mergeCell ref="B32:K32"/>
    <mergeCell ref="B1:K1"/>
    <mergeCell ref="B2:K2"/>
    <mergeCell ref="B3:K3"/>
    <mergeCell ref="B4:K4"/>
    <mergeCell ref="B7:K7"/>
    <mergeCell ref="B14:K14"/>
    <mergeCell ref="B20:K20"/>
    <mergeCell ref="B17:K17"/>
    <mergeCell ref="B23:K23"/>
    <mergeCell ref="B26:K26"/>
    <mergeCell ref="B29:K29"/>
  </mergeCells>
  <pageMargins left="0.32" right="0.27" top="0.68" bottom="0.47" header="0.26" footer="0.31"/>
  <pageSetup firstPageNumber="41" orientation="portrait" useFirstPageNumber="1" r:id="rId1"/>
  <headerFooter>
    <oddHeader>&amp;L&amp;8Page 43&amp;R&amp;8Page 43</oddHeader>
    <oddFooter>&amp;LSee Notes to Financial Statements</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election activeCell="K36" sqref="K36"/>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86" t="str">
        <f>'Single Audit Cover'!A7</f>
        <v>Jersey CUSD 100</v>
      </c>
      <c r="C1" s="2486"/>
      <c r="D1" s="2486"/>
      <c r="E1" s="2486"/>
      <c r="F1" s="2486"/>
      <c r="G1" s="2486"/>
      <c r="H1" s="2486"/>
      <c r="I1" s="2486"/>
      <c r="J1" s="2486"/>
      <c r="K1" s="2486"/>
      <c r="L1" s="1372"/>
      <c r="M1" s="1372"/>
    </row>
    <row r="2" spans="1:13" ht="12" customHeight="1" x14ac:dyDescent="0.2">
      <c r="B2" s="2488">
        <f>'Single Audit Cover'!E7</f>
        <v>40042100026</v>
      </c>
      <c r="C2" s="2488"/>
      <c r="D2" s="2488"/>
      <c r="E2" s="2488"/>
      <c r="F2" s="2488"/>
      <c r="G2" s="2488"/>
      <c r="H2" s="2488"/>
      <c r="I2" s="2488"/>
      <c r="J2" s="2488"/>
      <c r="K2" s="2488"/>
      <c r="L2" s="1373"/>
      <c r="M2" s="1374"/>
    </row>
    <row r="3" spans="1:13" ht="10.35" customHeight="1" x14ac:dyDescent="0.2">
      <c r="B3" s="2502" t="s">
        <v>1346</v>
      </c>
      <c r="C3" s="2502"/>
      <c r="D3" s="2502"/>
      <c r="E3" s="2502"/>
      <c r="F3" s="2502"/>
      <c r="G3" s="2502"/>
      <c r="H3" s="2502"/>
      <c r="I3" s="2502"/>
      <c r="J3" s="2502"/>
      <c r="K3" s="2502"/>
      <c r="L3" s="1944"/>
      <c r="M3" s="1944"/>
    </row>
    <row r="4" spans="1:13" ht="14.25" customHeight="1" x14ac:dyDescent="0.2">
      <c r="B4" s="2503" t="str">
        <f>'Single Audit Cover'!A4</f>
        <v>Year Ending June 30, 2018</v>
      </c>
      <c r="C4" s="2503"/>
      <c r="D4" s="2503"/>
      <c r="E4" s="2503"/>
      <c r="F4" s="2503"/>
      <c r="G4" s="2503"/>
      <c r="H4" s="2503"/>
      <c r="I4" s="2503"/>
      <c r="J4" s="2503"/>
      <c r="K4" s="2503"/>
      <c r="L4" s="313"/>
      <c r="M4" s="313"/>
    </row>
    <row r="5" spans="1:13" ht="7.5" customHeight="1" x14ac:dyDescent="0.2">
      <c r="B5" s="1259" t="s">
        <v>1230</v>
      </c>
      <c r="C5" s="1259"/>
    </row>
    <row r="6" spans="1:13" ht="7.5" customHeight="1" x14ac:dyDescent="0.2">
      <c r="B6" s="1376"/>
      <c r="C6" s="1376"/>
      <c r="D6" s="1377"/>
      <c r="E6" s="1377"/>
      <c r="F6" s="1377"/>
      <c r="G6" s="1378"/>
      <c r="H6" s="1377"/>
      <c r="I6" s="1378"/>
      <c r="J6" s="1377"/>
      <c r="K6" s="1377"/>
      <c r="L6" s="1379"/>
    </row>
    <row r="7" spans="1:13" ht="12.75" customHeight="1" x14ac:dyDescent="0.2">
      <c r="A7" s="1281"/>
      <c r="B7" s="2503" t="s">
        <v>1362</v>
      </c>
      <c r="C7" s="2503"/>
      <c r="D7" s="2504"/>
      <c r="E7" s="2504"/>
      <c r="F7" s="2504"/>
      <c r="G7" s="2504"/>
      <c r="H7" s="2504"/>
      <c r="I7" s="2504"/>
      <c r="J7" s="2504"/>
      <c r="K7" s="2504"/>
      <c r="L7" s="1380"/>
    </row>
    <row r="8" spans="1:13" ht="7.5" customHeight="1" x14ac:dyDescent="0.2">
      <c r="B8" s="322"/>
      <c r="C8" s="322"/>
      <c r="D8" s="322"/>
      <c r="E8" s="322"/>
      <c r="F8" s="322"/>
      <c r="G8" s="1381"/>
      <c r="H8" s="322"/>
      <c r="I8" s="1381"/>
      <c r="J8" s="322"/>
      <c r="K8" s="322"/>
      <c r="L8" s="1379"/>
    </row>
    <row r="9" spans="1:13" ht="9.6" customHeight="1" x14ac:dyDescent="0.2">
      <c r="B9" s="1377"/>
      <c r="C9" s="1377"/>
      <c r="D9" s="1377"/>
      <c r="E9" s="1377"/>
      <c r="F9" s="1377"/>
      <c r="G9" s="1378"/>
      <c r="H9" s="1377"/>
      <c r="I9" s="1378"/>
      <c r="J9" s="1377"/>
      <c r="K9" s="1377"/>
      <c r="L9" s="1379"/>
    </row>
    <row r="10" spans="1:13" ht="16.5" customHeight="1" x14ac:dyDescent="0.2">
      <c r="B10" s="1382" t="s">
        <v>1841</v>
      </c>
      <c r="C10" s="1383" t="s">
        <v>1949</v>
      </c>
      <c r="D10" s="1384">
        <v>2</v>
      </c>
      <c r="E10" s="322"/>
      <c r="F10" s="1385" t="s">
        <v>1361</v>
      </c>
      <c r="G10" s="1386"/>
      <c r="H10" s="1387" t="s">
        <v>1360</v>
      </c>
      <c r="I10" s="1386" t="s">
        <v>2076</v>
      </c>
      <c r="J10" s="1388" t="s">
        <v>1359</v>
      </c>
      <c r="K10" s="322"/>
      <c r="L10" s="1379"/>
    </row>
    <row r="11" spans="1:13" ht="13.5" customHeight="1" x14ac:dyDescent="0.2">
      <c r="B11" s="322"/>
      <c r="C11" s="322"/>
      <c r="D11" s="322"/>
      <c r="E11" s="322"/>
      <c r="F11" s="322"/>
      <c r="G11" s="1381"/>
      <c r="H11" s="322"/>
      <c r="I11" s="1389" t="s">
        <v>1358</v>
      </c>
      <c r="J11" s="322"/>
      <c r="K11" s="1390">
        <v>2015</v>
      </c>
      <c r="L11" s="1379"/>
    </row>
    <row r="12" spans="1:13" ht="13.5" customHeight="1" x14ac:dyDescent="0.2">
      <c r="B12" s="1292"/>
      <c r="C12" s="1292"/>
      <c r="D12" s="322"/>
      <c r="E12" s="322"/>
      <c r="F12" s="322"/>
      <c r="G12" s="1381"/>
      <c r="H12" s="322"/>
      <c r="I12" s="1381"/>
      <c r="J12" s="322"/>
      <c r="L12" s="1379"/>
    </row>
    <row r="13" spans="1:13" s="1281" customFormat="1" ht="13.5" customHeight="1" x14ac:dyDescent="0.2">
      <c r="B13" s="1391" t="s">
        <v>1357</v>
      </c>
      <c r="C13" s="1391"/>
      <c r="D13" s="1392"/>
      <c r="E13" s="1392"/>
      <c r="F13" s="1392"/>
      <c r="G13" s="1393"/>
      <c r="H13" s="1392"/>
      <c r="I13" s="1393"/>
      <c r="J13" s="1392"/>
      <c r="K13" s="1392"/>
      <c r="L13" s="1394"/>
    </row>
    <row r="14" spans="1:13" ht="45.75" customHeight="1" x14ac:dyDescent="0.2">
      <c r="B14" s="2500" t="s">
        <v>2204</v>
      </c>
      <c r="C14" s="2500"/>
      <c r="D14" s="2501"/>
      <c r="E14" s="2501"/>
      <c r="F14" s="2501"/>
      <c r="G14" s="2501"/>
      <c r="H14" s="2501"/>
      <c r="I14" s="2501"/>
      <c r="J14" s="2501"/>
      <c r="K14" s="2501"/>
      <c r="L14" s="1395"/>
    </row>
    <row r="15" spans="1:13" ht="4.5" customHeight="1" x14ac:dyDescent="0.2">
      <c r="B15" s="1396"/>
      <c r="C15" s="1396"/>
      <c r="D15" s="1397"/>
      <c r="E15" s="1397"/>
      <c r="F15" s="1397"/>
      <c r="H15" s="1397"/>
      <c r="J15" s="1397"/>
      <c r="K15" s="1397"/>
      <c r="L15" s="1395"/>
    </row>
    <row r="16" spans="1:13" s="1281" customFormat="1" ht="13.5" customHeight="1" x14ac:dyDescent="0.2">
      <c r="B16" s="1391" t="s">
        <v>1356</v>
      </c>
      <c r="C16" s="1391"/>
      <c r="D16" s="1392"/>
      <c r="E16" s="1392"/>
      <c r="F16" s="1392"/>
      <c r="G16" s="1393"/>
      <c r="H16" s="1392"/>
      <c r="I16" s="1393"/>
      <c r="J16" s="1392"/>
      <c r="K16" s="1392"/>
      <c r="L16" s="1394"/>
    </row>
    <row r="17" spans="2:12" ht="45.75" customHeight="1" x14ac:dyDescent="0.2">
      <c r="B17" s="2500" t="s">
        <v>2205</v>
      </c>
      <c r="C17" s="2500"/>
      <c r="D17" s="2501"/>
      <c r="E17" s="2501"/>
      <c r="F17" s="2501"/>
      <c r="G17" s="2501"/>
      <c r="H17" s="2501"/>
      <c r="I17" s="2501"/>
      <c r="J17" s="2501"/>
      <c r="K17" s="2501"/>
      <c r="L17" s="1379"/>
    </row>
    <row r="18" spans="2:12" ht="4.5" customHeight="1" x14ac:dyDescent="0.2">
      <c r="B18" s="1396"/>
      <c r="C18" s="1396"/>
      <c r="L18" s="1379"/>
    </row>
    <row r="19" spans="2:12" s="1281" customFormat="1" ht="13.5" customHeight="1" x14ac:dyDescent="0.2">
      <c r="B19" s="1391" t="s">
        <v>1842</v>
      </c>
      <c r="C19" s="1391"/>
      <c r="D19" s="1392"/>
      <c r="E19" s="1392"/>
      <c r="F19" s="1392"/>
      <c r="G19" s="1393"/>
      <c r="H19" s="1392"/>
      <c r="I19" s="1393"/>
      <c r="J19" s="1392"/>
      <c r="K19" s="1392"/>
      <c r="L19" s="1394"/>
    </row>
    <row r="20" spans="2:12" ht="45.75" customHeight="1" x14ac:dyDescent="0.2">
      <c r="B20" s="2500" t="s">
        <v>2202</v>
      </c>
      <c r="C20" s="2500"/>
      <c r="D20" s="2501"/>
      <c r="E20" s="2501"/>
      <c r="F20" s="2501"/>
      <c r="G20" s="2501"/>
      <c r="H20" s="2501"/>
      <c r="I20" s="2501"/>
      <c r="J20" s="2501"/>
      <c r="K20" s="2501"/>
      <c r="L20" s="1379"/>
    </row>
    <row r="21" spans="2:12" ht="4.5" customHeight="1" x14ac:dyDescent="0.2">
      <c r="B21" s="1398"/>
      <c r="C21" s="1398"/>
      <c r="L21" s="1379"/>
    </row>
    <row r="22" spans="2:12" ht="13.5" customHeight="1" x14ac:dyDescent="0.2">
      <c r="B22" s="1391" t="s">
        <v>1355</v>
      </c>
      <c r="C22" s="1391"/>
      <c r="D22" s="1377"/>
      <c r="E22" s="1377"/>
      <c r="F22" s="1377"/>
      <c r="G22" s="1378"/>
      <c r="H22" s="1377"/>
      <c r="I22" s="1378"/>
      <c r="J22" s="1377"/>
      <c r="K22" s="1377"/>
      <c r="L22" s="1379"/>
    </row>
    <row r="23" spans="2:12" ht="45" customHeight="1" x14ac:dyDescent="0.2">
      <c r="B23" s="2500" t="s">
        <v>2203</v>
      </c>
      <c r="C23" s="2500"/>
      <c r="D23" s="2501"/>
      <c r="E23" s="2501"/>
      <c r="F23" s="2501"/>
      <c r="G23" s="2501"/>
      <c r="H23" s="2501"/>
      <c r="I23" s="2501"/>
      <c r="J23" s="2501"/>
      <c r="K23" s="2501"/>
      <c r="L23" s="1379"/>
    </row>
    <row r="24" spans="2:12" ht="4.5" customHeight="1" x14ac:dyDescent="0.2">
      <c r="B24" s="1396"/>
      <c r="C24" s="1396"/>
      <c r="L24" s="1379"/>
    </row>
    <row r="25" spans="2:12" ht="13.5" customHeight="1" x14ac:dyDescent="0.2">
      <c r="B25" s="1391" t="s">
        <v>1354</v>
      </c>
      <c r="C25" s="1391"/>
      <c r="D25" s="1377"/>
      <c r="E25" s="1377"/>
      <c r="F25" s="1377"/>
      <c r="G25" s="1378"/>
      <c r="H25" s="1377"/>
      <c r="I25" s="1378"/>
      <c r="J25" s="1377"/>
      <c r="K25" s="1377"/>
      <c r="L25" s="1379"/>
    </row>
    <row r="26" spans="2:12" ht="45.75" customHeight="1" x14ac:dyDescent="0.2">
      <c r="B26" s="2500" t="s">
        <v>2206</v>
      </c>
      <c r="C26" s="2500"/>
      <c r="D26" s="2501"/>
      <c r="E26" s="2501"/>
      <c r="F26" s="2501"/>
      <c r="G26" s="2501"/>
      <c r="H26" s="2501"/>
      <c r="I26" s="2501"/>
      <c r="J26" s="2501"/>
      <c r="K26" s="2501"/>
      <c r="L26" s="1379"/>
    </row>
    <row r="27" spans="2:12" ht="4.5" customHeight="1" x14ac:dyDescent="0.2">
      <c r="B27" s="1396"/>
      <c r="C27" s="1396"/>
      <c r="L27" s="1379"/>
    </row>
    <row r="28" spans="2:12" ht="13.5" customHeight="1" x14ac:dyDescent="0.2">
      <c r="B28" s="1399" t="s">
        <v>1353</v>
      </c>
      <c r="C28" s="1399"/>
      <c r="D28" s="1377"/>
      <c r="E28" s="1377"/>
      <c r="F28" s="1377"/>
      <c r="G28" s="1378"/>
      <c r="H28" s="1377"/>
      <c r="I28" s="1378"/>
      <c r="J28" s="1377"/>
      <c r="K28" s="1377"/>
      <c r="L28" s="1379"/>
    </row>
    <row r="29" spans="2:12" ht="45.75" customHeight="1" x14ac:dyDescent="0.2">
      <c r="B29" s="2500" t="s">
        <v>2207</v>
      </c>
      <c r="C29" s="2500"/>
      <c r="D29" s="2501"/>
      <c r="E29" s="2501"/>
      <c r="F29" s="2501"/>
      <c r="G29" s="2501"/>
      <c r="H29" s="2501"/>
      <c r="I29" s="2501"/>
      <c r="J29" s="2501"/>
      <c r="K29" s="2501"/>
      <c r="L29" s="1379"/>
    </row>
    <row r="30" spans="2:12" ht="4.5" customHeight="1" x14ac:dyDescent="0.2">
      <c r="B30" s="1400"/>
      <c r="C30" s="1400"/>
      <c r="D30" s="322"/>
      <c r="E30" s="322"/>
      <c r="F30" s="322"/>
      <c r="G30" s="1381"/>
      <c r="H30" s="322"/>
      <c r="I30" s="1381"/>
      <c r="J30" s="322"/>
      <c r="K30" s="322"/>
      <c r="L30" s="1379"/>
    </row>
    <row r="31" spans="2:12" s="322" customFormat="1" ht="13.5" customHeight="1" x14ac:dyDescent="0.2">
      <c r="B31" s="1401" t="s">
        <v>1843</v>
      </c>
      <c r="C31" s="1401"/>
      <c r="D31" s="1376"/>
      <c r="E31" s="1377"/>
      <c r="F31" s="1377"/>
      <c r="G31" s="1378"/>
      <c r="H31" s="1377"/>
      <c r="I31" s="1378"/>
      <c r="J31" s="1377"/>
      <c r="K31" s="1377"/>
      <c r="L31" s="1379"/>
    </row>
    <row r="32" spans="2:12" s="322" customFormat="1" ht="44.25" customHeight="1" x14ac:dyDescent="0.2">
      <c r="B32" s="2500" t="s">
        <v>2208</v>
      </c>
      <c r="C32" s="2500"/>
      <c r="D32" s="2501"/>
      <c r="E32" s="2501"/>
      <c r="F32" s="2501"/>
      <c r="G32" s="2501"/>
      <c r="H32" s="2501"/>
      <c r="I32" s="2501"/>
      <c r="J32" s="2501"/>
      <c r="K32" s="2501"/>
      <c r="L32" s="1379"/>
    </row>
    <row r="33" spans="1:13" s="322" customFormat="1" ht="4.5" customHeight="1" x14ac:dyDescent="0.2">
      <c r="B33" s="1400"/>
      <c r="C33" s="1400"/>
      <c r="G33" s="1381"/>
      <c r="I33" s="1381"/>
      <c r="L33" s="1379"/>
    </row>
    <row r="34" spans="1:13" s="322" customFormat="1" x14ac:dyDescent="0.2">
      <c r="A34" s="1295"/>
      <c r="B34" s="1415"/>
      <c r="C34" s="1415"/>
      <c r="D34" s="1415"/>
      <c r="E34" s="1415"/>
      <c r="F34" s="1415"/>
      <c r="G34" s="1416"/>
      <c r="H34" s="1415"/>
      <c r="I34" s="1416"/>
      <c r="J34" s="1415"/>
      <c r="K34" s="1415"/>
      <c r="L34" s="1379"/>
    </row>
    <row r="35" spans="1:13" ht="11.85" customHeight="1" x14ac:dyDescent="0.2">
      <c r="B35" s="1417" t="s">
        <v>1844</v>
      </c>
      <c r="C35" s="1417"/>
      <c r="D35" s="322"/>
      <c r="E35" s="322"/>
      <c r="F35" s="322"/>
      <c r="L35" s="1379"/>
    </row>
    <row r="36" spans="1:13" ht="9.6" customHeight="1" x14ac:dyDescent="0.2">
      <c r="B36" s="1298" t="s">
        <v>1950</v>
      </c>
      <c r="C36" s="1298"/>
      <c r="L36" s="1379"/>
    </row>
    <row r="37" spans="1:13" ht="9.6" customHeight="1" x14ac:dyDescent="0.2">
      <c r="B37" s="1298" t="s">
        <v>1951</v>
      </c>
      <c r="C37" s="1298"/>
    </row>
    <row r="38" spans="1:13" ht="11.85" customHeight="1" x14ac:dyDescent="0.2">
      <c r="B38" s="1418" t="s">
        <v>1845</v>
      </c>
      <c r="C38" s="1418"/>
    </row>
    <row r="39" spans="1:13" ht="9.6" customHeight="1" x14ac:dyDescent="0.2">
      <c r="B39" s="1298" t="s">
        <v>1347</v>
      </c>
      <c r="C39" s="1298"/>
      <c r="M39" s="1419"/>
    </row>
    <row r="40" spans="1:13" ht="12.6" customHeight="1" x14ac:dyDescent="0.2">
      <c r="B40" s="1418" t="s">
        <v>1846</v>
      </c>
      <c r="C40" s="1418"/>
      <c r="M40" s="1419"/>
    </row>
    <row r="41" spans="1:13" ht="9.6" customHeight="1" x14ac:dyDescent="0.2">
      <c r="B41" s="1298"/>
      <c r="C41" s="1298"/>
      <c r="M41" s="1419"/>
    </row>
  </sheetData>
  <sheetProtection sheet="1" objects="1" scenarios="1"/>
  <mergeCells count="12">
    <mergeCell ref="B32:K32"/>
    <mergeCell ref="B1:K1"/>
    <mergeCell ref="B2:K2"/>
    <mergeCell ref="B3:K3"/>
    <mergeCell ref="B4:K4"/>
    <mergeCell ref="B7:K7"/>
    <mergeCell ref="B14:K14"/>
    <mergeCell ref="B20:K20"/>
    <mergeCell ref="B17:K17"/>
    <mergeCell ref="B23:K23"/>
    <mergeCell ref="B26:K26"/>
    <mergeCell ref="B29:K29"/>
  </mergeCells>
  <pageMargins left="0.32" right="0.27" top="0.68" bottom="0.47" header="0.26" footer="0.31"/>
  <pageSetup firstPageNumber="41" orientation="portrait" useFirstPageNumber="1" r:id="rId1"/>
  <headerFooter>
    <oddHeader>&amp;L&amp;8Page 43&amp;R&amp;8Page 43</oddHeader>
    <oddFooter>&amp;LSee Notes to Financial Statements</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election activeCell="K36" sqref="K36"/>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86" t="str">
        <f>'Single Audit Cover'!A7</f>
        <v>Jersey CUSD 100</v>
      </c>
      <c r="C1" s="2486"/>
      <c r="D1" s="2486"/>
      <c r="E1" s="2486"/>
      <c r="F1" s="2486"/>
      <c r="G1" s="2486"/>
      <c r="H1" s="2486"/>
      <c r="I1" s="2486"/>
      <c r="J1" s="2486"/>
      <c r="K1" s="2486"/>
      <c r="L1" s="1372"/>
      <c r="M1" s="1372"/>
    </row>
    <row r="2" spans="1:13" ht="12" customHeight="1" x14ac:dyDescent="0.2">
      <c r="B2" s="2488">
        <f>'Single Audit Cover'!E7</f>
        <v>40042100026</v>
      </c>
      <c r="C2" s="2488"/>
      <c r="D2" s="2488"/>
      <c r="E2" s="2488"/>
      <c r="F2" s="2488"/>
      <c r="G2" s="2488"/>
      <c r="H2" s="2488"/>
      <c r="I2" s="2488"/>
      <c r="J2" s="2488"/>
      <c r="K2" s="2488"/>
      <c r="L2" s="1373"/>
      <c r="M2" s="1374"/>
    </row>
    <row r="3" spans="1:13" ht="10.35" customHeight="1" x14ac:dyDescent="0.2">
      <c r="B3" s="2502" t="s">
        <v>1346</v>
      </c>
      <c r="C3" s="2502"/>
      <c r="D3" s="2502"/>
      <c r="E3" s="2502"/>
      <c r="F3" s="2502"/>
      <c r="G3" s="2502"/>
      <c r="H3" s="2502"/>
      <c r="I3" s="2502"/>
      <c r="J3" s="2502"/>
      <c r="K3" s="2502"/>
      <c r="L3" s="1944"/>
      <c r="M3" s="1944"/>
    </row>
    <row r="4" spans="1:13" ht="14.25" customHeight="1" x14ac:dyDescent="0.2">
      <c r="B4" s="2503" t="str">
        <f>'Single Audit Cover'!A4</f>
        <v>Year Ending June 30, 2018</v>
      </c>
      <c r="C4" s="2503"/>
      <c r="D4" s="2503"/>
      <c r="E4" s="2503"/>
      <c r="F4" s="2503"/>
      <c r="G4" s="2503"/>
      <c r="H4" s="2503"/>
      <c r="I4" s="2503"/>
      <c r="J4" s="2503"/>
      <c r="K4" s="2503"/>
      <c r="L4" s="313"/>
      <c r="M4" s="313"/>
    </row>
    <row r="5" spans="1:13" ht="7.5" customHeight="1" x14ac:dyDescent="0.2">
      <c r="B5" s="1259" t="s">
        <v>1230</v>
      </c>
      <c r="C5" s="1259"/>
    </row>
    <row r="6" spans="1:13" ht="7.5" customHeight="1" x14ac:dyDescent="0.2">
      <c r="B6" s="1376"/>
      <c r="C6" s="1376"/>
      <c r="D6" s="1377"/>
      <c r="E6" s="1377"/>
      <c r="F6" s="1377"/>
      <c r="G6" s="1378"/>
      <c r="H6" s="1377"/>
      <c r="I6" s="1378"/>
      <c r="J6" s="1377"/>
      <c r="K6" s="1377"/>
      <c r="L6" s="1379"/>
    </row>
    <row r="7" spans="1:13" ht="12.75" customHeight="1" x14ac:dyDescent="0.2">
      <c r="A7" s="1281"/>
      <c r="B7" s="2503" t="s">
        <v>1362</v>
      </c>
      <c r="C7" s="2503"/>
      <c r="D7" s="2504"/>
      <c r="E7" s="2504"/>
      <c r="F7" s="2504"/>
      <c r="G7" s="2504"/>
      <c r="H7" s="2504"/>
      <c r="I7" s="2504"/>
      <c r="J7" s="2504"/>
      <c r="K7" s="2504"/>
      <c r="L7" s="1380"/>
    </row>
    <row r="8" spans="1:13" ht="7.5" customHeight="1" x14ac:dyDescent="0.2">
      <c r="B8" s="322"/>
      <c r="C8" s="322"/>
      <c r="D8" s="322"/>
      <c r="E8" s="322"/>
      <c r="F8" s="322"/>
      <c r="G8" s="1381"/>
      <c r="H8" s="322"/>
      <c r="I8" s="1381"/>
      <c r="J8" s="322"/>
      <c r="K8" s="322"/>
      <c r="L8" s="1379"/>
    </row>
    <row r="9" spans="1:13" ht="9.6" customHeight="1" x14ac:dyDescent="0.2">
      <c r="B9" s="1377"/>
      <c r="C9" s="1377"/>
      <c r="D9" s="1377"/>
      <c r="E9" s="1377"/>
      <c r="F9" s="1377"/>
      <c r="G9" s="1378"/>
      <c r="H9" s="1377"/>
      <c r="I9" s="1378"/>
      <c r="J9" s="1377"/>
      <c r="K9" s="1377"/>
      <c r="L9" s="1379"/>
    </row>
    <row r="10" spans="1:13" ht="16.5" customHeight="1" x14ac:dyDescent="0.2">
      <c r="B10" s="1382" t="s">
        <v>1841</v>
      </c>
      <c r="C10" s="1383" t="s">
        <v>1949</v>
      </c>
      <c r="D10" s="1384">
        <v>3</v>
      </c>
      <c r="E10" s="322"/>
      <c r="F10" s="1385" t="s">
        <v>1361</v>
      </c>
      <c r="G10" s="1386"/>
      <c r="H10" s="1387" t="s">
        <v>1360</v>
      </c>
      <c r="I10" s="1386" t="s">
        <v>2076</v>
      </c>
      <c r="J10" s="1388" t="s">
        <v>1359</v>
      </c>
      <c r="K10" s="322"/>
      <c r="L10" s="1379"/>
    </row>
    <row r="11" spans="1:13" ht="13.5" customHeight="1" x14ac:dyDescent="0.2">
      <c r="B11" s="322"/>
      <c r="C11" s="322"/>
      <c r="D11" s="322"/>
      <c r="E11" s="322"/>
      <c r="F11" s="322"/>
      <c r="G11" s="1381"/>
      <c r="H11" s="322"/>
      <c r="I11" s="1389" t="s">
        <v>1358</v>
      </c>
      <c r="J11" s="322"/>
      <c r="K11" s="1390">
        <v>2015</v>
      </c>
      <c r="L11" s="1379"/>
    </row>
    <row r="12" spans="1:13" ht="13.5" customHeight="1" x14ac:dyDescent="0.2">
      <c r="B12" s="1292"/>
      <c r="C12" s="1292"/>
      <c r="D12" s="322"/>
      <c r="E12" s="322"/>
      <c r="F12" s="322"/>
      <c r="G12" s="1381"/>
      <c r="H12" s="322"/>
      <c r="I12" s="1381"/>
      <c r="J12" s="322"/>
      <c r="L12" s="1379"/>
    </row>
    <row r="13" spans="1:13" s="1281" customFormat="1" ht="13.5" customHeight="1" x14ac:dyDescent="0.2">
      <c r="B13" s="1391" t="s">
        <v>1357</v>
      </c>
      <c r="C13" s="1391"/>
      <c r="D13" s="1392"/>
      <c r="E13" s="1392"/>
      <c r="F13" s="1392"/>
      <c r="G13" s="1393"/>
      <c r="H13" s="1392"/>
      <c r="I13" s="1393"/>
      <c r="J13" s="1392"/>
      <c r="K13" s="1392"/>
      <c r="L13" s="1394"/>
    </row>
    <row r="14" spans="1:13" ht="45.75" customHeight="1" x14ac:dyDescent="0.2">
      <c r="B14" s="2500" t="s">
        <v>2209</v>
      </c>
      <c r="C14" s="2500"/>
      <c r="D14" s="2501"/>
      <c r="E14" s="2501"/>
      <c r="F14" s="2501"/>
      <c r="G14" s="2501"/>
      <c r="H14" s="2501"/>
      <c r="I14" s="2501"/>
      <c r="J14" s="2501"/>
      <c r="K14" s="2501"/>
      <c r="L14" s="1395"/>
    </row>
    <row r="15" spans="1:13" ht="4.5" customHeight="1" x14ac:dyDescent="0.2">
      <c r="B15" s="1396"/>
      <c r="C15" s="1396"/>
      <c r="D15" s="1397"/>
      <c r="E15" s="1397"/>
      <c r="F15" s="1397"/>
      <c r="H15" s="1397"/>
      <c r="J15" s="1397"/>
      <c r="K15" s="1397"/>
      <c r="L15" s="1395"/>
    </row>
    <row r="16" spans="1:13" s="1281" customFormat="1" ht="13.5" customHeight="1" x14ac:dyDescent="0.2">
      <c r="B16" s="1391" t="s">
        <v>1356</v>
      </c>
      <c r="C16" s="1391"/>
      <c r="D16" s="1392"/>
      <c r="E16" s="1392"/>
      <c r="F16" s="1392"/>
      <c r="G16" s="1393"/>
      <c r="H16" s="1392"/>
      <c r="I16" s="1393"/>
      <c r="J16" s="1392"/>
      <c r="K16" s="1392"/>
      <c r="L16" s="1394"/>
    </row>
    <row r="17" spans="2:12" ht="45.75" customHeight="1" x14ac:dyDescent="0.2">
      <c r="B17" s="2500" t="s">
        <v>2210</v>
      </c>
      <c r="C17" s="2500"/>
      <c r="D17" s="2501"/>
      <c r="E17" s="2501"/>
      <c r="F17" s="2501"/>
      <c r="G17" s="2501"/>
      <c r="H17" s="2501"/>
      <c r="I17" s="2501"/>
      <c r="J17" s="2501"/>
      <c r="K17" s="2501"/>
      <c r="L17" s="1379"/>
    </row>
    <row r="18" spans="2:12" ht="4.5" customHeight="1" x14ac:dyDescent="0.2">
      <c r="B18" s="1396"/>
      <c r="C18" s="1396"/>
      <c r="L18" s="1379"/>
    </row>
    <row r="19" spans="2:12" s="1281" customFormat="1" ht="13.5" customHeight="1" x14ac:dyDescent="0.2">
      <c r="B19" s="1391" t="s">
        <v>1842</v>
      </c>
      <c r="C19" s="1391"/>
      <c r="D19" s="1392"/>
      <c r="E19" s="1392"/>
      <c r="F19" s="1392"/>
      <c r="G19" s="1393"/>
      <c r="H19" s="1392"/>
      <c r="I19" s="1393"/>
      <c r="J19" s="1392"/>
      <c r="K19" s="1392"/>
      <c r="L19" s="1394"/>
    </row>
    <row r="20" spans="2:12" ht="45.75" customHeight="1" x14ac:dyDescent="0.2">
      <c r="B20" s="2500" t="s">
        <v>2202</v>
      </c>
      <c r="C20" s="2500"/>
      <c r="D20" s="2501"/>
      <c r="E20" s="2501"/>
      <c r="F20" s="2501"/>
      <c r="G20" s="2501"/>
      <c r="H20" s="2501"/>
      <c r="I20" s="2501"/>
      <c r="J20" s="2501"/>
      <c r="K20" s="2501"/>
      <c r="L20" s="1379"/>
    </row>
    <row r="21" spans="2:12" ht="4.5" customHeight="1" x14ac:dyDescent="0.2">
      <c r="B21" s="1398"/>
      <c r="C21" s="1398"/>
      <c r="L21" s="1379"/>
    </row>
    <row r="22" spans="2:12" ht="13.5" customHeight="1" x14ac:dyDescent="0.2">
      <c r="B22" s="1391" t="s">
        <v>1355</v>
      </c>
      <c r="C22" s="1391"/>
      <c r="D22" s="1377"/>
      <c r="E22" s="1377"/>
      <c r="F22" s="1377"/>
      <c r="G22" s="1378"/>
      <c r="H22" s="1377"/>
      <c r="I22" s="1378"/>
      <c r="J22" s="1377"/>
      <c r="K22" s="1377"/>
      <c r="L22" s="1379"/>
    </row>
    <row r="23" spans="2:12" ht="45" customHeight="1" x14ac:dyDescent="0.2">
      <c r="B23" s="2500" t="s">
        <v>2203</v>
      </c>
      <c r="C23" s="2500"/>
      <c r="D23" s="2501"/>
      <c r="E23" s="2501"/>
      <c r="F23" s="2501"/>
      <c r="G23" s="2501"/>
      <c r="H23" s="2501"/>
      <c r="I23" s="2501"/>
      <c r="J23" s="2501"/>
      <c r="K23" s="2501"/>
      <c r="L23" s="1379"/>
    </row>
    <row r="24" spans="2:12" ht="4.5" customHeight="1" x14ac:dyDescent="0.2">
      <c r="B24" s="1396"/>
      <c r="C24" s="1396"/>
      <c r="L24" s="1379"/>
    </row>
    <row r="25" spans="2:12" ht="13.5" customHeight="1" x14ac:dyDescent="0.2">
      <c r="B25" s="1391" t="s">
        <v>1354</v>
      </c>
      <c r="C25" s="1391"/>
      <c r="D25" s="1377"/>
      <c r="E25" s="1377"/>
      <c r="F25" s="1377"/>
      <c r="G25" s="1378"/>
      <c r="H25" s="1377"/>
      <c r="I25" s="1378"/>
      <c r="J25" s="1377"/>
      <c r="K25" s="1377"/>
      <c r="L25" s="1379"/>
    </row>
    <row r="26" spans="2:12" ht="45.75" customHeight="1" x14ac:dyDescent="0.2">
      <c r="B26" s="2500" t="s">
        <v>2211</v>
      </c>
      <c r="C26" s="2500"/>
      <c r="D26" s="2501"/>
      <c r="E26" s="2501"/>
      <c r="F26" s="2501"/>
      <c r="G26" s="2501"/>
      <c r="H26" s="2501"/>
      <c r="I26" s="2501"/>
      <c r="J26" s="2501"/>
      <c r="K26" s="2501"/>
      <c r="L26" s="1379"/>
    </row>
    <row r="27" spans="2:12" ht="4.5" customHeight="1" x14ac:dyDescent="0.2">
      <c r="B27" s="1396"/>
      <c r="C27" s="1396"/>
      <c r="L27" s="1379"/>
    </row>
    <row r="28" spans="2:12" ht="13.5" customHeight="1" x14ac:dyDescent="0.2">
      <c r="B28" s="1399" t="s">
        <v>1353</v>
      </c>
      <c r="C28" s="1399"/>
      <c r="D28" s="1377"/>
      <c r="E28" s="1377"/>
      <c r="F28" s="1377"/>
      <c r="G28" s="1378"/>
      <c r="H28" s="1377"/>
      <c r="I28" s="1378"/>
      <c r="J28" s="1377"/>
      <c r="K28" s="1377"/>
      <c r="L28" s="1379"/>
    </row>
    <row r="29" spans="2:12" ht="45.75" customHeight="1" x14ac:dyDescent="0.2">
      <c r="B29" s="2500" t="s">
        <v>2212</v>
      </c>
      <c r="C29" s="2500"/>
      <c r="D29" s="2501"/>
      <c r="E29" s="2501"/>
      <c r="F29" s="2501"/>
      <c r="G29" s="2501"/>
      <c r="H29" s="2501"/>
      <c r="I29" s="2501"/>
      <c r="J29" s="2501"/>
      <c r="K29" s="2501"/>
      <c r="L29" s="1379"/>
    </row>
    <row r="30" spans="2:12" ht="4.5" customHeight="1" x14ac:dyDescent="0.2">
      <c r="B30" s="1400"/>
      <c r="C30" s="1400"/>
      <c r="D30" s="322"/>
      <c r="E30" s="322"/>
      <c r="F30" s="322"/>
      <c r="G30" s="1381"/>
      <c r="H30" s="322"/>
      <c r="I30" s="1381"/>
      <c r="J30" s="322"/>
      <c r="K30" s="322"/>
      <c r="L30" s="1379"/>
    </row>
    <row r="31" spans="2:12" s="322" customFormat="1" ht="13.5" customHeight="1" x14ac:dyDescent="0.2">
      <c r="B31" s="1401" t="s">
        <v>1843</v>
      </c>
      <c r="C31" s="1401"/>
      <c r="D31" s="1376"/>
      <c r="E31" s="1377"/>
      <c r="F31" s="1377"/>
      <c r="G31" s="1378"/>
      <c r="H31" s="1377"/>
      <c r="I31" s="1378"/>
      <c r="J31" s="1377"/>
      <c r="K31" s="1377"/>
      <c r="L31" s="1379"/>
    </row>
    <row r="32" spans="2:12" s="322" customFormat="1" ht="44.25" customHeight="1" x14ac:dyDescent="0.2">
      <c r="B32" s="2500" t="s">
        <v>2213</v>
      </c>
      <c r="C32" s="2500"/>
      <c r="D32" s="2501"/>
      <c r="E32" s="2501"/>
      <c r="F32" s="2501"/>
      <c r="G32" s="2501"/>
      <c r="H32" s="2501"/>
      <c r="I32" s="2501"/>
      <c r="J32" s="2501"/>
      <c r="K32" s="2501"/>
      <c r="L32" s="1379"/>
    </row>
    <row r="33" spans="1:13" s="322" customFormat="1" ht="4.5" customHeight="1" x14ac:dyDescent="0.2">
      <c r="B33" s="1400"/>
      <c r="C33" s="1400"/>
      <c r="G33" s="1381"/>
      <c r="I33" s="1381"/>
      <c r="L33" s="1379"/>
    </row>
    <row r="34" spans="1:13" s="322" customFormat="1" x14ac:dyDescent="0.2">
      <c r="A34" s="1295"/>
      <c r="B34" s="1415"/>
      <c r="C34" s="1415"/>
      <c r="D34" s="1415"/>
      <c r="E34" s="1415"/>
      <c r="F34" s="1415"/>
      <c r="G34" s="1416"/>
      <c r="H34" s="1415"/>
      <c r="I34" s="1416"/>
      <c r="J34" s="1415"/>
      <c r="K34" s="1415"/>
      <c r="L34" s="1379"/>
    </row>
    <row r="35" spans="1:13" ht="11.85" customHeight="1" x14ac:dyDescent="0.2">
      <c r="B35" s="1417" t="s">
        <v>1844</v>
      </c>
      <c r="C35" s="1417"/>
      <c r="D35" s="322"/>
      <c r="E35" s="322"/>
      <c r="F35" s="322"/>
      <c r="L35" s="1379"/>
    </row>
    <row r="36" spans="1:13" ht="9.6" customHeight="1" x14ac:dyDescent="0.2">
      <c r="B36" s="1298" t="s">
        <v>1950</v>
      </c>
      <c r="C36" s="1298"/>
      <c r="L36" s="1379"/>
    </row>
    <row r="37" spans="1:13" ht="9.6" customHeight="1" x14ac:dyDescent="0.2">
      <c r="B37" s="1298" t="s">
        <v>1951</v>
      </c>
      <c r="C37" s="1298"/>
    </row>
    <row r="38" spans="1:13" ht="11.85" customHeight="1" x14ac:dyDescent="0.2">
      <c r="B38" s="1418" t="s">
        <v>1845</v>
      </c>
      <c r="C38" s="1418"/>
    </row>
    <row r="39" spans="1:13" ht="9.6" customHeight="1" x14ac:dyDescent="0.2">
      <c r="B39" s="1298" t="s">
        <v>1347</v>
      </c>
      <c r="C39" s="1298"/>
      <c r="M39" s="1419"/>
    </row>
    <row r="40" spans="1:13" ht="12.6" customHeight="1" x14ac:dyDescent="0.2">
      <c r="B40" s="1418" t="s">
        <v>1846</v>
      </c>
      <c r="C40" s="1418"/>
      <c r="M40" s="1419"/>
    </row>
    <row r="41" spans="1:13" ht="9.6" customHeight="1" x14ac:dyDescent="0.2">
      <c r="B41" s="1298"/>
      <c r="C41" s="1298"/>
      <c r="M41" s="1419"/>
    </row>
  </sheetData>
  <sheetProtection sheet="1" objects="1" scenarios="1"/>
  <mergeCells count="12">
    <mergeCell ref="B32:K32"/>
    <mergeCell ref="B1:K1"/>
    <mergeCell ref="B2:K2"/>
    <mergeCell ref="B3:K3"/>
    <mergeCell ref="B4:K4"/>
    <mergeCell ref="B7:K7"/>
    <mergeCell ref="B14:K14"/>
    <mergeCell ref="B20:K20"/>
    <mergeCell ref="B17:K17"/>
    <mergeCell ref="B23:K23"/>
    <mergeCell ref="B26:K26"/>
    <mergeCell ref="B29:K29"/>
  </mergeCells>
  <pageMargins left="0.32" right="0.27" top="0.68" bottom="0.47" header="0.26" footer="0.31"/>
  <pageSetup firstPageNumber="41" orientation="portrait" useFirstPageNumber="1" r:id="rId1"/>
  <headerFooter>
    <oddHeader>&amp;L&amp;8Page 43&amp;R&amp;8Page 43</oddHeader>
    <oddFooter>&amp;LSee Notes to Financial Statements</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90" zoomScaleNormal="90" workbookViewId="0">
      <selection activeCell="K36" sqref="K36"/>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86" t="str">
        <f>'Single Audit Cover'!A7</f>
        <v>Jersey CUSD 100</v>
      </c>
      <c r="C1" s="2486"/>
      <c r="D1" s="2486"/>
      <c r="E1" s="2486"/>
      <c r="F1" s="2486"/>
      <c r="G1" s="2486"/>
      <c r="H1" s="2486"/>
      <c r="I1" s="2486"/>
      <c r="J1" s="2486"/>
      <c r="K1" s="2486"/>
      <c r="L1" s="1372"/>
      <c r="M1" s="1372"/>
    </row>
    <row r="2" spans="1:13" ht="12" customHeight="1" x14ac:dyDescent="0.2">
      <c r="B2" s="2488">
        <f>'Single Audit Cover'!E7</f>
        <v>40042100026</v>
      </c>
      <c r="C2" s="2488"/>
      <c r="D2" s="2488"/>
      <c r="E2" s="2488"/>
      <c r="F2" s="2488"/>
      <c r="G2" s="2488"/>
      <c r="H2" s="2488"/>
      <c r="I2" s="2488"/>
      <c r="J2" s="2488"/>
      <c r="K2" s="2488"/>
      <c r="L2" s="1373"/>
      <c r="M2" s="1374"/>
    </row>
    <row r="3" spans="1:13" ht="10.35" customHeight="1" x14ac:dyDescent="0.2">
      <c r="B3" s="2502" t="s">
        <v>1346</v>
      </c>
      <c r="C3" s="2502"/>
      <c r="D3" s="2502"/>
      <c r="E3" s="2502"/>
      <c r="F3" s="2502"/>
      <c r="G3" s="2502"/>
      <c r="H3" s="2502"/>
      <c r="I3" s="2502"/>
      <c r="J3" s="2502"/>
      <c r="K3" s="2502"/>
      <c r="L3" s="1962"/>
      <c r="M3" s="1962"/>
    </row>
    <row r="4" spans="1:13" ht="14.25" customHeight="1" x14ac:dyDescent="0.2">
      <c r="B4" s="2503" t="str">
        <f>'Single Audit Cover'!A4</f>
        <v>Year Ending June 30, 2018</v>
      </c>
      <c r="C4" s="2503"/>
      <c r="D4" s="2503"/>
      <c r="E4" s="2503"/>
      <c r="F4" s="2503"/>
      <c r="G4" s="2503"/>
      <c r="H4" s="2503"/>
      <c r="I4" s="2503"/>
      <c r="J4" s="2503"/>
      <c r="K4" s="2503"/>
      <c r="L4" s="313"/>
      <c r="M4" s="313"/>
    </row>
    <row r="5" spans="1:13" ht="7.5" customHeight="1" x14ac:dyDescent="0.2">
      <c r="B5" s="1259" t="s">
        <v>1230</v>
      </c>
      <c r="C5" s="1259"/>
    </row>
    <row r="6" spans="1:13" ht="7.5" customHeight="1" x14ac:dyDescent="0.2">
      <c r="B6" s="1376"/>
      <c r="C6" s="1376"/>
      <c r="D6" s="1377"/>
      <c r="E6" s="1377"/>
      <c r="F6" s="1377"/>
      <c r="G6" s="1378"/>
      <c r="H6" s="1377"/>
      <c r="I6" s="1378"/>
      <c r="J6" s="1377"/>
      <c r="K6" s="1377"/>
      <c r="L6" s="1379"/>
    </row>
    <row r="7" spans="1:13" ht="12.75" customHeight="1" x14ac:dyDescent="0.2">
      <c r="A7" s="1281"/>
      <c r="B7" s="2503" t="s">
        <v>1362</v>
      </c>
      <c r="C7" s="2503"/>
      <c r="D7" s="2504"/>
      <c r="E7" s="2504"/>
      <c r="F7" s="2504"/>
      <c r="G7" s="2504"/>
      <c r="H7" s="2504"/>
      <c r="I7" s="2504"/>
      <c r="J7" s="2504"/>
      <c r="K7" s="2504"/>
      <c r="L7" s="1380"/>
    </row>
    <row r="8" spans="1:13" ht="7.5" customHeight="1" x14ac:dyDescent="0.2">
      <c r="B8" s="322"/>
      <c r="C8" s="322"/>
      <c r="D8" s="322"/>
      <c r="E8" s="322"/>
      <c r="F8" s="322"/>
      <c r="G8" s="1381"/>
      <c r="H8" s="322"/>
      <c r="I8" s="1381"/>
      <c r="J8" s="322"/>
      <c r="K8" s="322"/>
      <c r="L8" s="1379"/>
    </row>
    <row r="9" spans="1:13" ht="9.6" customHeight="1" x14ac:dyDescent="0.2">
      <c r="B9" s="1377"/>
      <c r="C9" s="1377"/>
      <c r="D9" s="1377"/>
      <c r="E9" s="1377"/>
      <c r="F9" s="1377"/>
      <c r="G9" s="1378"/>
      <c r="H9" s="1377"/>
      <c r="I9" s="1378"/>
      <c r="J9" s="1377"/>
      <c r="K9" s="1377"/>
      <c r="L9" s="1379"/>
    </row>
    <row r="10" spans="1:13" ht="16.5" customHeight="1" x14ac:dyDescent="0.2">
      <c r="B10" s="1382" t="s">
        <v>1841</v>
      </c>
      <c r="C10" s="1383" t="s">
        <v>1949</v>
      </c>
      <c r="D10" s="1384">
        <v>4</v>
      </c>
      <c r="E10" s="322"/>
      <c r="F10" s="1385" t="s">
        <v>1361</v>
      </c>
      <c r="G10" s="1386" t="s">
        <v>2076</v>
      </c>
      <c r="H10" s="1387" t="s">
        <v>1360</v>
      </c>
      <c r="I10" s="1386"/>
      <c r="J10" s="1388" t="s">
        <v>1359</v>
      </c>
      <c r="K10" s="322"/>
      <c r="L10" s="1379"/>
    </row>
    <row r="11" spans="1:13" ht="13.5" customHeight="1" x14ac:dyDescent="0.2">
      <c r="B11" s="322"/>
      <c r="C11" s="322"/>
      <c r="D11" s="322"/>
      <c r="E11" s="322"/>
      <c r="F11" s="322"/>
      <c r="G11" s="1381"/>
      <c r="H11" s="322"/>
      <c r="I11" s="1389" t="s">
        <v>1358</v>
      </c>
      <c r="J11" s="322"/>
      <c r="K11" s="1390"/>
      <c r="L11" s="1379"/>
    </row>
    <row r="12" spans="1:13" ht="13.5" customHeight="1" x14ac:dyDescent="0.2">
      <c r="B12" s="1292"/>
      <c r="C12" s="1292"/>
      <c r="D12" s="322"/>
      <c r="E12" s="322"/>
      <c r="F12" s="322"/>
      <c r="G12" s="1381"/>
      <c r="H12" s="322"/>
      <c r="I12" s="1381"/>
      <c r="J12" s="322"/>
      <c r="L12" s="1379"/>
    </row>
    <row r="13" spans="1:13" s="1281" customFormat="1" ht="13.5" customHeight="1" x14ac:dyDescent="0.2">
      <c r="B13" s="1391" t="s">
        <v>1357</v>
      </c>
      <c r="C13" s="1391"/>
      <c r="D13" s="1392"/>
      <c r="E13" s="1392"/>
      <c r="F13" s="1392"/>
      <c r="G13" s="1393"/>
      <c r="H13" s="1392"/>
      <c r="I13" s="1393"/>
      <c r="J13" s="1392"/>
      <c r="K13" s="1392"/>
      <c r="L13" s="1394"/>
    </row>
    <row r="14" spans="1:13" ht="45.75" customHeight="1" x14ac:dyDescent="0.2">
      <c r="B14" s="2500" t="s">
        <v>2343</v>
      </c>
      <c r="C14" s="2500"/>
      <c r="D14" s="2501"/>
      <c r="E14" s="2501"/>
      <c r="F14" s="2501"/>
      <c r="G14" s="2501"/>
      <c r="H14" s="2501"/>
      <c r="I14" s="2501"/>
      <c r="J14" s="2501"/>
      <c r="K14" s="2501"/>
      <c r="L14" s="1395"/>
    </row>
    <row r="15" spans="1:13" ht="4.5" customHeight="1" x14ac:dyDescent="0.2">
      <c r="B15" s="1396"/>
      <c r="C15" s="1396"/>
      <c r="D15" s="1397"/>
      <c r="E15" s="1397"/>
      <c r="F15" s="1397"/>
      <c r="H15" s="1397"/>
      <c r="J15" s="1397"/>
      <c r="K15" s="1397"/>
      <c r="L15" s="1395"/>
    </row>
    <row r="16" spans="1:13" s="1281" customFormat="1" ht="13.5" customHeight="1" x14ac:dyDescent="0.2">
      <c r="B16" s="1391" t="s">
        <v>1356</v>
      </c>
      <c r="C16" s="1391"/>
      <c r="D16" s="1392"/>
      <c r="E16" s="1392"/>
      <c r="F16" s="1392"/>
      <c r="G16" s="1393"/>
      <c r="H16" s="1392"/>
      <c r="I16" s="1393"/>
      <c r="J16" s="1392"/>
      <c r="K16" s="1392"/>
      <c r="L16" s="1394"/>
    </row>
    <row r="17" spans="2:12" ht="45.75" customHeight="1" x14ac:dyDescent="0.2">
      <c r="B17" s="2500" t="s">
        <v>2330</v>
      </c>
      <c r="C17" s="2500"/>
      <c r="D17" s="2501"/>
      <c r="E17" s="2501"/>
      <c r="F17" s="2501"/>
      <c r="G17" s="2501"/>
      <c r="H17" s="2501"/>
      <c r="I17" s="2501"/>
      <c r="J17" s="2501"/>
      <c r="K17" s="2501"/>
      <c r="L17" s="1379"/>
    </row>
    <row r="18" spans="2:12" ht="4.5" customHeight="1" x14ac:dyDescent="0.2">
      <c r="B18" s="1396"/>
      <c r="C18" s="1396"/>
      <c r="L18" s="1379"/>
    </row>
    <row r="19" spans="2:12" s="1281" customFormat="1" ht="13.5" customHeight="1" x14ac:dyDescent="0.2">
      <c r="B19" s="1391" t="s">
        <v>1842</v>
      </c>
      <c r="C19" s="1391"/>
      <c r="D19" s="1392"/>
      <c r="E19" s="1392"/>
      <c r="F19" s="1392"/>
      <c r="G19" s="1393"/>
      <c r="H19" s="1392"/>
      <c r="I19" s="1393"/>
      <c r="J19" s="1392"/>
      <c r="K19" s="1392"/>
      <c r="L19" s="1394"/>
    </row>
    <row r="20" spans="2:12" ht="45.75" customHeight="1" x14ac:dyDescent="0.2">
      <c r="B20" s="2500" t="s">
        <v>2202</v>
      </c>
      <c r="C20" s="2500"/>
      <c r="D20" s="2501"/>
      <c r="E20" s="2501"/>
      <c r="F20" s="2501"/>
      <c r="G20" s="2501"/>
      <c r="H20" s="2501"/>
      <c r="I20" s="2501"/>
      <c r="J20" s="2501"/>
      <c r="K20" s="2501"/>
      <c r="L20" s="1379"/>
    </row>
    <row r="21" spans="2:12" ht="4.5" customHeight="1" x14ac:dyDescent="0.2">
      <c r="B21" s="1398"/>
      <c r="C21" s="1398"/>
      <c r="L21" s="1379"/>
    </row>
    <row r="22" spans="2:12" ht="13.5" customHeight="1" x14ac:dyDescent="0.2">
      <c r="B22" s="1391" t="s">
        <v>1355</v>
      </c>
      <c r="C22" s="1391"/>
      <c r="D22" s="1377"/>
      <c r="E22" s="1377"/>
      <c r="F22" s="1377"/>
      <c r="G22" s="1378"/>
      <c r="H22" s="1377"/>
      <c r="I22" s="1378"/>
      <c r="J22" s="1377"/>
      <c r="K22" s="1377"/>
      <c r="L22" s="1379"/>
    </row>
    <row r="23" spans="2:12" ht="45" customHeight="1" x14ac:dyDescent="0.2">
      <c r="B23" s="2500" t="s">
        <v>2328</v>
      </c>
      <c r="C23" s="2500"/>
      <c r="D23" s="2501"/>
      <c r="E23" s="2501"/>
      <c r="F23" s="2501"/>
      <c r="G23" s="2501"/>
      <c r="H23" s="2501"/>
      <c r="I23" s="2501"/>
      <c r="J23" s="2501"/>
      <c r="K23" s="2501"/>
      <c r="L23" s="1379"/>
    </row>
    <row r="24" spans="2:12" ht="4.5" customHeight="1" x14ac:dyDescent="0.2">
      <c r="B24" s="1396"/>
      <c r="C24" s="1396"/>
      <c r="L24" s="1379"/>
    </row>
    <row r="25" spans="2:12" ht="13.5" customHeight="1" x14ac:dyDescent="0.2">
      <c r="B25" s="1391" t="s">
        <v>1354</v>
      </c>
      <c r="C25" s="1391"/>
      <c r="D25" s="1377"/>
      <c r="E25" s="1377"/>
      <c r="F25" s="1377"/>
      <c r="G25" s="1378"/>
      <c r="H25" s="1377"/>
      <c r="I25" s="1378"/>
      <c r="J25" s="1377"/>
      <c r="K25" s="1377"/>
      <c r="L25" s="1379"/>
    </row>
    <row r="26" spans="2:12" ht="45.75" customHeight="1" x14ac:dyDescent="0.2">
      <c r="B26" s="2500" t="s">
        <v>2331</v>
      </c>
      <c r="C26" s="2500"/>
      <c r="D26" s="2501"/>
      <c r="E26" s="2501"/>
      <c r="F26" s="2501"/>
      <c r="G26" s="2501"/>
      <c r="H26" s="2501"/>
      <c r="I26" s="2501"/>
      <c r="J26" s="2501"/>
      <c r="K26" s="2501"/>
      <c r="L26" s="1379"/>
    </row>
    <row r="27" spans="2:12" ht="4.5" customHeight="1" x14ac:dyDescent="0.2">
      <c r="B27" s="1396"/>
      <c r="C27" s="1396"/>
      <c r="L27" s="1379"/>
    </row>
    <row r="28" spans="2:12" ht="13.5" customHeight="1" x14ac:dyDescent="0.2">
      <c r="B28" s="1399" t="s">
        <v>1353</v>
      </c>
      <c r="C28" s="1399"/>
      <c r="D28" s="1377"/>
      <c r="E28" s="1377"/>
      <c r="F28" s="1377"/>
      <c r="G28" s="1378"/>
      <c r="H28" s="1377"/>
      <c r="I28" s="1378"/>
      <c r="J28" s="1377"/>
      <c r="K28" s="1377"/>
      <c r="L28" s="1379"/>
    </row>
    <row r="29" spans="2:12" ht="45.75" customHeight="1" x14ac:dyDescent="0.2">
      <c r="B29" s="2500" t="s">
        <v>2329</v>
      </c>
      <c r="C29" s="2500"/>
      <c r="D29" s="2501"/>
      <c r="E29" s="2501"/>
      <c r="F29" s="2501"/>
      <c r="G29" s="2501"/>
      <c r="H29" s="2501"/>
      <c r="I29" s="2501"/>
      <c r="J29" s="2501"/>
      <c r="K29" s="2501"/>
      <c r="L29" s="1379"/>
    </row>
    <row r="30" spans="2:12" ht="4.5" customHeight="1" x14ac:dyDescent="0.2">
      <c r="B30" s="1400"/>
      <c r="C30" s="1400"/>
      <c r="D30" s="322"/>
      <c r="E30" s="322"/>
      <c r="F30" s="322"/>
      <c r="G30" s="1381"/>
      <c r="H30" s="322"/>
      <c r="I30" s="1381"/>
      <c r="J30" s="322"/>
      <c r="K30" s="322"/>
      <c r="L30" s="1379"/>
    </row>
    <row r="31" spans="2:12" s="322" customFormat="1" ht="13.5" customHeight="1" x14ac:dyDescent="0.2">
      <c r="B31" s="1401" t="s">
        <v>1843</v>
      </c>
      <c r="C31" s="1401"/>
      <c r="D31" s="1376"/>
      <c r="E31" s="1377"/>
      <c r="F31" s="1377"/>
      <c r="G31" s="1378"/>
      <c r="H31" s="1377"/>
      <c r="I31" s="1378"/>
      <c r="J31" s="1377"/>
      <c r="K31" s="1377"/>
      <c r="L31" s="1379"/>
    </row>
    <row r="32" spans="2:12" s="322" customFormat="1" ht="44.25" customHeight="1" x14ac:dyDescent="0.2">
      <c r="B32" s="2500" t="s">
        <v>2327</v>
      </c>
      <c r="C32" s="2500"/>
      <c r="D32" s="2501"/>
      <c r="E32" s="2501"/>
      <c r="F32" s="2501"/>
      <c r="G32" s="2501"/>
      <c r="H32" s="2501"/>
      <c r="I32" s="2501"/>
      <c r="J32" s="2501"/>
      <c r="K32" s="2501"/>
      <c r="L32" s="1379"/>
    </row>
    <row r="33" spans="1:13" s="322" customFormat="1" ht="4.5" customHeight="1" x14ac:dyDescent="0.2">
      <c r="B33" s="1400"/>
      <c r="C33" s="1400"/>
      <c r="G33" s="1381"/>
      <c r="I33" s="1381"/>
      <c r="L33" s="1379"/>
    </row>
    <row r="34" spans="1:13" s="322" customFormat="1" x14ac:dyDescent="0.2">
      <c r="A34" s="1295"/>
      <c r="B34" s="1415"/>
      <c r="C34" s="1415"/>
      <c r="D34" s="1415"/>
      <c r="E34" s="1415"/>
      <c r="F34" s="1415"/>
      <c r="G34" s="1416"/>
      <c r="H34" s="1415"/>
      <c r="I34" s="1416"/>
      <c r="J34" s="1415"/>
      <c r="K34" s="1415"/>
      <c r="L34" s="1379"/>
    </row>
    <row r="35" spans="1:13" ht="11.85" customHeight="1" x14ac:dyDescent="0.2">
      <c r="B35" s="1417" t="s">
        <v>1844</v>
      </c>
      <c r="C35" s="1417"/>
      <c r="D35" s="322"/>
      <c r="E35" s="322"/>
      <c r="F35" s="322"/>
      <c r="L35" s="1379"/>
    </row>
    <row r="36" spans="1:13" ht="9.6" customHeight="1" x14ac:dyDescent="0.2">
      <c r="B36" s="1298" t="s">
        <v>1950</v>
      </c>
      <c r="C36" s="1298"/>
      <c r="L36" s="1379"/>
    </row>
    <row r="37" spans="1:13" ht="9.6" customHeight="1" x14ac:dyDescent="0.2">
      <c r="B37" s="1298" t="s">
        <v>1951</v>
      </c>
      <c r="C37" s="1298"/>
    </row>
    <row r="38" spans="1:13" ht="11.85" customHeight="1" x14ac:dyDescent="0.2">
      <c r="B38" s="1418" t="s">
        <v>1845</v>
      </c>
      <c r="C38" s="1418"/>
    </row>
    <row r="39" spans="1:13" ht="9.6" customHeight="1" x14ac:dyDescent="0.2">
      <c r="B39" s="1298" t="s">
        <v>1347</v>
      </c>
      <c r="C39" s="1298"/>
      <c r="M39" s="1419"/>
    </row>
    <row r="40" spans="1:13" ht="12.6" customHeight="1" x14ac:dyDescent="0.2">
      <c r="B40" s="1418" t="s">
        <v>1846</v>
      </c>
      <c r="C40" s="1418"/>
      <c r="M40" s="1419"/>
    </row>
    <row r="41" spans="1:13" ht="9.6" customHeight="1" x14ac:dyDescent="0.2">
      <c r="B41" s="1298"/>
      <c r="C41" s="1298"/>
      <c r="M41" s="1419"/>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oddHeader>&amp;L&amp;8Page 43&amp;R&amp;8Page 43</oddHeader>
    <oddFooter>&amp;LSee Notes to Financial Statements</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110" zoomScaleNormal="110" workbookViewId="0">
      <selection sqref="A1:M1"/>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09" t="s">
        <v>403</v>
      </c>
      <c r="B1" s="2109"/>
      <c r="C1" s="2109"/>
      <c r="D1" s="2109"/>
      <c r="E1" s="2109"/>
      <c r="F1" s="2109"/>
      <c r="G1" s="2109"/>
      <c r="H1" s="2109"/>
      <c r="I1" s="2109"/>
      <c r="J1" s="2109"/>
      <c r="K1" s="2109"/>
      <c r="L1" s="2109"/>
      <c r="M1" s="2109"/>
      <c r="N1" s="346"/>
    </row>
    <row r="2" spans="1:14" ht="10.9" customHeight="1" x14ac:dyDescent="0.2">
      <c r="A2" s="346"/>
      <c r="B2" s="346"/>
      <c r="C2" s="346"/>
      <c r="D2" s="346"/>
      <c r="E2" s="346"/>
      <c r="F2" s="346"/>
      <c r="G2" s="346"/>
      <c r="H2" s="346"/>
      <c r="I2" s="346"/>
      <c r="J2" s="346"/>
      <c r="K2" s="346"/>
      <c r="L2" s="346"/>
      <c r="M2" s="346"/>
      <c r="N2" s="346"/>
    </row>
    <row r="3" spans="1:14" x14ac:dyDescent="0.2">
      <c r="A3" s="348" t="s">
        <v>900</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477</v>
      </c>
      <c r="B5" s="349" t="s">
        <v>1745</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1746</v>
      </c>
      <c r="E7" s="222"/>
      <c r="F7" s="351" t="s">
        <v>289</v>
      </c>
      <c r="G7" s="222"/>
      <c r="H7" s="222"/>
      <c r="I7" s="222"/>
      <c r="J7" s="352">
        <v>307458989</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1216</v>
      </c>
      <c r="E9" s="349"/>
      <c r="F9" s="354" t="s">
        <v>924</v>
      </c>
      <c r="G9" s="349"/>
      <c r="H9" s="353" t="s">
        <v>157</v>
      </c>
      <c r="I9" s="349"/>
      <c r="J9" s="354" t="s">
        <v>1058</v>
      </c>
      <c r="K9" s="349"/>
      <c r="L9" s="353" t="s">
        <v>426</v>
      </c>
      <c r="M9" s="222"/>
    </row>
    <row r="10" spans="1:14" ht="13.35" customHeight="1" x14ac:dyDescent="0.2">
      <c r="A10" s="344" t="s">
        <v>985</v>
      </c>
      <c r="C10" s="222"/>
      <c r="D10" s="355">
        <v>1.84E-2</v>
      </c>
      <c r="E10" s="356" t="s">
        <v>1061</v>
      </c>
      <c r="F10" s="355">
        <v>5.0000000000000001E-3</v>
      </c>
      <c r="G10" s="356" t="s">
        <v>1061</v>
      </c>
      <c r="H10" s="355">
        <v>2E-3</v>
      </c>
      <c r="I10" s="356" t="s">
        <v>1062</v>
      </c>
      <c r="J10" s="1743">
        <f>ROUND(D10+F10+H10,5)</f>
        <v>2.5399999999999999E-2</v>
      </c>
      <c r="K10" s="222"/>
      <c r="L10" s="355">
        <v>5.0000000000000001E-4</v>
      </c>
      <c r="M10" s="222"/>
    </row>
    <row r="11" spans="1:14" ht="7.5" customHeight="1" x14ac:dyDescent="0.2">
      <c r="B11" s="222"/>
      <c r="C11" s="222"/>
      <c r="D11" s="2119" t="str">
        <f>IF(SUM(J10)&lt;=0.0999999,"","Enter the Tax Rates by moving the decimal two places to the left.")</f>
        <v/>
      </c>
      <c r="E11" s="2120"/>
      <c r="F11" s="2120"/>
      <c r="G11" s="2120"/>
      <c r="H11" s="2120"/>
      <c r="I11" s="2120"/>
      <c r="J11" s="2120"/>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1747</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547</v>
      </c>
      <c r="E15" s="222"/>
      <c r="F15" s="354" t="s">
        <v>1059</v>
      </c>
      <c r="G15" s="222"/>
      <c r="H15" s="354" t="s">
        <v>1060</v>
      </c>
      <c r="I15" s="222"/>
      <c r="J15" s="353" t="s">
        <v>409</v>
      </c>
      <c r="K15" s="222"/>
      <c r="L15" s="222"/>
      <c r="M15" s="222"/>
    </row>
    <row r="16" spans="1:14" ht="13.35" customHeight="1" x14ac:dyDescent="0.2">
      <c r="A16" s="349"/>
      <c r="B16" s="222"/>
      <c r="C16" s="222"/>
      <c r="D16" s="1744">
        <f>SUM('Acct Summary 7-8'!C8,'Acct Summary 7-8'!D8,'Acct Summary 7-8'!F8,'Acct Summary 7-8'!I8)</f>
        <v>21549577</v>
      </c>
      <c r="E16" s="356"/>
      <c r="F16" s="1744">
        <f>SUM('Acct Summary 7-8'!C17,'Acct Summary 7-8'!D17,'Acct Summary 7-8'!F17)</f>
        <v>20520027</v>
      </c>
      <c r="G16" s="356"/>
      <c r="H16" s="1744">
        <f>SUM(D16-F16)</f>
        <v>1029550</v>
      </c>
      <c r="I16" s="222"/>
      <c r="J16" s="1744">
        <f>SUM('Acct Summary 7-8'!C81,'Acct Summary 7-8'!D81,'Acct Summary 7-8'!F81,'Acct Summary 7-8'!I81)</f>
        <v>5852741</v>
      </c>
      <c r="K16" s="222"/>
      <c r="L16" s="222"/>
      <c r="M16" s="222"/>
    </row>
    <row r="17" spans="1:13" ht="12.2" customHeight="1" x14ac:dyDescent="0.2">
      <c r="A17" s="349"/>
      <c r="B17" s="260" t="s">
        <v>8</v>
      </c>
      <c r="C17" s="237" t="s">
        <v>1462</v>
      </c>
      <c r="D17" s="222"/>
      <c r="E17" s="222"/>
      <c r="F17" s="222"/>
      <c r="G17" s="222"/>
      <c r="H17" s="222"/>
      <c r="I17" s="222"/>
      <c r="J17" s="222"/>
      <c r="K17" s="222"/>
      <c r="L17" s="222"/>
      <c r="M17" s="222"/>
    </row>
    <row r="18" spans="1:13" ht="12.2" customHeight="1" x14ac:dyDescent="0.2">
      <c r="A18" s="349"/>
      <c r="B18" s="222"/>
      <c r="C18" s="237" t="s">
        <v>526</v>
      </c>
      <c r="D18" s="222"/>
      <c r="E18" s="222"/>
      <c r="F18" s="222"/>
      <c r="G18" s="222"/>
      <c r="H18" s="222"/>
      <c r="I18" s="222"/>
      <c r="J18" s="222"/>
      <c r="K18" s="222"/>
      <c r="L18" s="222"/>
      <c r="M18" s="222"/>
    </row>
    <row r="19" spans="1:13" s="329" customFormat="1" ht="10.5" customHeight="1" x14ac:dyDescent="0.2"/>
    <row r="20" spans="1:13" ht="12.75" customHeight="1" x14ac:dyDescent="0.2">
      <c r="A20" s="349" t="s">
        <v>865</v>
      </c>
      <c r="B20" s="349" t="s">
        <v>1748</v>
      </c>
      <c r="C20" s="222"/>
      <c r="D20" s="222"/>
      <c r="E20" s="222"/>
      <c r="F20" s="222"/>
      <c r="G20" s="222"/>
      <c r="H20" s="222"/>
      <c r="I20" s="222"/>
      <c r="J20" s="222"/>
      <c r="K20" s="222"/>
      <c r="L20" s="222"/>
      <c r="M20" s="222"/>
    </row>
    <row r="21" spans="1:13" x14ac:dyDescent="0.2">
      <c r="A21" s="349"/>
      <c r="B21" s="222"/>
      <c r="C21" s="222"/>
      <c r="D21" s="360" t="s">
        <v>411</v>
      </c>
      <c r="E21" s="361"/>
      <c r="F21" s="360" t="s">
        <v>410</v>
      </c>
      <c r="G21" s="361"/>
      <c r="H21" s="360" t="s">
        <v>412</v>
      </c>
      <c r="I21" s="361"/>
      <c r="J21" s="360" t="s">
        <v>43</v>
      </c>
      <c r="K21" s="361"/>
      <c r="L21" s="362" t="s">
        <v>565</v>
      </c>
      <c r="M21" s="222"/>
    </row>
    <row r="22" spans="1:13" ht="13.35" customHeight="1" x14ac:dyDescent="0.2">
      <c r="A22" s="349"/>
      <c r="B22" s="222"/>
      <c r="C22" s="222"/>
      <c r="D22" s="1744">
        <f>'Short-Term Long-Term Debt 24'!F4</f>
        <v>0</v>
      </c>
      <c r="E22" s="356" t="s">
        <v>1061</v>
      </c>
      <c r="F22" s="1744">
        <f>'Short-Term Long-Term Debt 24'!F15</f>
        <v>0</v>
      </c>
      <c r="G22" s="356" t="s">
        <v>1061</v>
      </c>
      <c r="H22" s="1744">
        <f>'Short-Term Long-Term Debt 24'!F21</f>
        <v>0</v>
      </c>
      <c r="I22" s="356" t="s">
        <v>1061</v>
      </c>
      <c r="J22" s="1744">
        <f>'Short-Term Long-Term Debt 24'!F23</f>
        <v>0</v>
      </c>
      <c r="K22" s="356" t="s">
        <v>1061</v>
      </c>
      <c r="L22" s="1744">
        <f>'Short-Term Long-Term Debt 24'!F25</f>
        <v>0</v>
      </c>
      <c r="M22" s="356" t="s">
        <v>1061</v>
      </c>
    </row>
    <row r="23" spans="1:13" ht="15" customHeight="1" x14ac:dyDescent="0.2">
      <c r="A23" s="349"/>
      <c r="B23" s="222"/>
      <c r="C23" s="222"/>
      <c r="D23" s="360" t="s">
        <v>1122</v>
      </c>
      <c r="E23" s="361"/>
      <c r="F23" s="360" t="s">
        <v>158</v>
      </c>
      <c r="G23" s="222"/>
      <c r="H23" s="222"/>
      <c r="I23" s="222"/>
      <c r="J23" s="222"/>
      <c r="K23" s="222"/>
      <c r="L23" s="222"/>
      <c r="M23" s="222"/>
    </row>
    <row r="24" spans="1:13" ht="13.35" customHeight="1" x14ac:dyDescent="0.2">
      <c r="A24" s="349"/>
      <c r="B24" s="222"/>
      <c r="C24" s="356"/>
      <c r="D24" s="1744">
        <f>'Short-Term Long-Term Debt 24'!F27</f>
        <v>0</v>
      </c>
      <c r="E24" s="356" t="s">
        <v>1062</v>
      </c>
      <c r="F24" s="1745">
        <f>SUM(D22,F22,H22,J22,L22, D24)</f>
        <v>0</v>
      </c>
      <c r="G24" s="222"/>
      <c r="H24" s="222"/>
      <c r="I24" s="222"/>
      <c r="J24" s="222"/>
      <c r="K24" s="222"/>
      <c r="L24" s="222"/>
      <c r="M24" s="222"/>
    </row>
    <row r="25" spans="1:13" ht="11.25" customHeight="1" x14ac:dyDescent="0.2">
      <c r="A25" s="349"/>
      <c r="B25" s="181" t="s">
        <v>9</v>
      </c>
      <c r="C25" s="237" t="s">
        <v>882</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402</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c r="C31" s="367" t="s">
        <v>606</v>
      </c>
      <c r="D31" s="237" t="s">
        <v>1131</v>
      </c>
      <c r="E31" s="222"/>
      <c r="F31" s="222"/>
      <c r="G31" s="363"/>
      <c r="H31" s="1746">
        <f>IF(B31="X",(J7*0.069),IF(B32="X",(J7*0.138),"Enter x in a.or b."))</f>
        <v>42429340.482000001</v>
      </c>
      <c r="I31" s="368"/>
      <c r="J31" s="222"/>
      <c r="K31" s="222"/>
      <c r="L31" s="222"/>
      <c r="M31" s="222"/>
    </row>
    <row r="32" spans="1:13" ht="13.35" customHeight="1" x14ac:dyDescent="0.2">
      <c r="B32" s="369" t="s">
        <v>2087</v>
      </c>
      <c r="C32" s="370" t="s">
        <v>607</v>
      </c>
      <c r="D32" s="237" t="s">
        <v>442</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406</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608</v>
      </c>
      <c r="D36" s="247" t="s">
        <v>0</v>
      </c>
      <c r="E36" s="222"/>
      <c r="F36" s="222"/>
      <c r="G36" s="375" t="s">
        <v>407</v>
      </c>
      <c r="H36" s="376"/>
      <c r="I36" s="222"/>
      <c r="J36" s="222"/>
      <c r="K36" s="222"/>
      <c r="L36" s="222"/>
      <c r="M36" s="222"/>
    </row>
    <row r="37" spans="1:13" ht="13.5" customHeight="1" x14ac:dyDescent="0.2">
      <c r="B37" s="222"/>
      <c r="C37" s="374"/>
      <c r="D37" s="247" t="s">
        <v>1196</v>
      </c>
      <c r="E37" s="222"/>
      <c r="F37" s="222"/>
      <c r="G37" s="377">
        <v>511</v>
      </c>
      <c r="H37" s="1745">
        <f>'Assets-Liab 5-6'!N36</f>
        <v>26278697</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566</v>
      </c>
      <c r="B40" s="349" t="s">
        <v>204</v>
      </c>
      <c r="C40" s="349"/>
      <c r="D40" s="349"/>
      <c r="E40" s="349"/>
      <c r="F40" s="349"/>
      <c r="G40" s="222"/>
      <c r="H40" s="222"/>
      <c r="I40" s="222"/>
      <c r="J40" s="222"/>
      <c r="K40" s="222"/>
      <c r="L40" s="222"/>
      <c r="M40" s="222"/>
    </row>
    <row r="41" spans="1:13" ht="12.2" customHeight="1" x14ac:dyDescent="0.2">
      <c r="B41" s="237" t="s">
        <v>1215</v>
      </c>
      <c r="C41" s="222"/>
      <c r="D41" s="222"/>
      <c r="E41" s="222"/>
      <c r="F41" s="222"/>
      <c r="G41" s="222"/>
      <c r="H41" s="222"/>
      <c r="I41" s="222"/>
      <c r="J41" s="222"/>
      <c r="K41" s="222"/>
      <c r="L41" s="222"/>
      <c r="M41" s="222"/>
    </row>
    <row r="42" spans="1:13" x14ac:dyDescent="0.2">
      <c r="B42" s="237" t="s">
        <v>421</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319</v>
      </c>
      <c r="E44" s="222"/>
      <c r="F44" s="222"/>
      <c r="G44" s="222"/>
      <c r="H44" s="222"/>
      <c r="I44" s="222"/>
      <c r="J44" s="222"/>
      <c r="K44" s="222"/>
      <c r="L44" s="222"/>
      <c r="M44" s="222"/>
    </row>
    <row r="45" spans="1:13" ht="13.5" customHeight="1" x14ac:dyDescent="0.2">
      <c r="B45" s="378"/>
      <c r="C45" s="225" t="s">
        <v>398</v>
      </c>
      <c r="E45" s="222"/>
      <c r="F45" s="222"/>
      <c r="G45" s="222"/>
      <c r="H45" s="222"/>
      <c r="I45" s="222"/>
      <c r="J45" s="222"/>
      <c r="K45" s="222"/>
      <c r="L45" s="222"/>
      <c r="M45" s="222"/>
    </row>
    <row r="46" spans="1:13" ht="13.5" customHeight="1" x14ac:dyDescent="0.2">
      <c r="B46" s="378"/>
      <c r="C46" s="225" t="s">
        <v>917</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356</v>
      </c>
      <c r="E49" s="222"/>
      <c r="F49" s="222"/>
      <c r="G49" s="222"/>
      <c r="H49" s="222"/>
      <c r="I49" s="222"/>
      <c r="J49" s="222"/>
      <c r="K49" s="222"/>
      <c r="L49" s="222"/>
      <c r="M49" s="222"/>
    </row>
    <row r="50" spans="1:13" ht="13.5" customHeight="1" x14ac:dyDescent="0.2">
      <c r="B50" s="378"/>
      <c r="C50" s="225" t="s">
        <v>357</v>
      </c>
      <c r="E50" s="222"/>
      <c r="F50" s="222"/>
      <c r="G50" s="222"/>
      <c r="H50" s="222"/>
      <c r="I50" s="222"/>
      <c r="J50" s="222"/>
      <c r="K50" s="222"/>
      <c r="L50" s="222"/>
      <c r="M50" s="222"/>
    </row>
    <row r="51" spans="1:13" ht="13.5" customHeight="1" x14ac:dyDescent="0.2">
      <c r="B51" s="378"/>
      <c r="C51" s="225" t="s">
        <v>564</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404</v>
      </c>
      <c r="C53" s="222"/>
      <c r="D53" s="222"/>
      <c r="E53" s="222"/>
      <c r="F53" s="222"/>
      <c r="G53" s="222"/>
      <c r="H53" s="222"/>
      <c r="I53" s="222"/>
      <c r="J53" s="222"/>
      <c r="K53" s="222"/>
      <c r="L53" s="222"/>
      <c r="M53" s="222"/>
    </row>
    <row r="54" spans="1:13" ht="12.75" x14ac:dyDescent="0.2">
      <c r="B54" s="2110"/>
      <c r="C54" s="2111"/>
      <c r="D54" s="2111"/>
      <c r="E54" s="2111"/>
      <c r="F54" s="2111"/>
      <c r="G54" s="2111"/>
      <c r="H54" s="2111"/>
      <c r="I54" s="2111"/>
      <c r="J54" s="2111"/>
      <c r="K54" s="2111"/>
      <c r="L54" s="2112"/>
      <c r="M54" s="380"/>
    </row>
    <row r="55" spans="1:13" ht="12.75" customHeight="1" x14ac:dyDescent="0.2">
      <c r="B55" s="2113"/>
      <c r="C55" s="2114"/>
      <c r="D55" s="2114"/>
      <c r="E55" s="2114"/>
      <c r="F55" s="2114"/>
      <c r="G55" s="2114"/>
      <c r="H55" s="2114"/>
      <c r="I55" s="2114"/>
      <c r="J55" s="2114"/>
      <c r="K55" s="2114"/>
      <c r="L55" s="2115"/>
      <c r="M55" s="380"/>
    </row>
    <row r="56" spans="1:13" ht="12.75" customHeight="1" x14ac:dyDescent="0.2">
      <c r="B56" s="2113"/>
      <c r="C56" s="2114"/>
      <c r="D56" s="2114"/>
      <c r="E56" s="2114"/>
      <c r="F56" s="2114"/>
      <c r="G56" s="2114"/>
      <c r="H56" s="2114"/>
      <c r="I56" s="2114"/>
      <c r="J56" s="2114"/>
      <c r="K56" s="2114"/>
      <c r="L56" s="2115"/>
      <c r="M56" s="222"/>
    </row>
    <row r="57" spans="1:13" ht="12.75" customHeight="1" x14ac:dyDescent="0.2">
      <c r="B57" s="2113"/>
      <c r="C57" s="2114"/>
      <c r="D57" s="2114"/>
      <c r="E57" s="2114"/>
      <c r="F57" s="2114"/>
      <c r="G57" s="2114"/>
      <c r="H57" s="2114"/>
      <c r="I57" s="2114"/>
      <c r="J57" s="2114"/>
      <c r="K57" s="2114"/>
      <c r="L57" s="2115"/>
      <c r="M57" s="222"/>
    </row>
    <row r="58" spans="1:13" x14ac:dyDescent="0.2">
      <c r="B58" s="2116"/>
      <c r="C58" s="2117"/>
      <c r="D58" s="2117"/>
      <c r="E58" s="2117"/>
      <c r="F58" s="2117"/>
      <c r="G58" s="2117"/>
      <c r="H58" s="2117"/>
      <c r="I58" s="2117"/>
      <c r="J58" s="2117"/>
      <c r="K58" s="2117"/>
      <c r="L58" s="2118"/>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21"/>
      <c r="D61" s="2122"/>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4" type="noConversion"/>
  <printOptions headings="1"/>
  <pageMargins left="0.5" right="0.2" top="0.59" bottom="0.52" header="0.28000000000000003" footer="0.17"/>
  <pageSetup scale="90" firstPageNumber="3" orientation="portrait" useFirstPageNumber="1" r:id="rId1"/>
  <headerFooter>
    <oddHeader>&amp;L&amp;8Page &amp;P&amp;C &amp;R&amp;8Page &amp;P</oddHeader>
    <oddFooter>&amp;L&amp;8See Notes to Financial Statements</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election activeCell="K36" sqref="K36"/>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86" t="str">
        <f>'Single Audit Cover'!A7</f>
        <v>Jersey CUSD 100</v>
      </c>
      <c r="C1" s="2486"/>
      <c r="D1" s="2486"/>
      <c r="E1" s="2486"/>
      <c r="F1" s="2486"/>
      <c r="G1" s="2486"/>
      <c r="H1" s="2486"/>
      <c r="I1" s="2486"/>
      <c r="J1" s="2486"/>
      <c r="K1" s="2486"/>
      <c r="L1" s="1372"/>
      <c r="M1" s="1372"/>
    </row>
    <row r="2" spans="1:13" ht="12" customHeight="1" x14ac:dyDescent="0.2">
      <c r="B2" s="2488">
        <f>'Single Audit Cover'!E7</f>
        <v>40042100026</v>
      </c>
      <c r="C2" s="2488"/>
      <c r="D2" s="2488"/>
      <c r="E2" s="2488"/>
      <c r="F2" s="2488"/>
      <c r="G2" s="2488"/>
      <c r="H2" s="2488"/>
      <c r="I2" s="2488"/>
      <c r="J2" s="2488"/>
      <c r="K2" s="2488"/>
      <c r="L2" s="1373"/>
      <c r="M2" s="1374"/>
    </row>
    <row r="3" spans="1:13" ht="10.35" customHeight="1" x14ac:dyDescent="0.2">
      <c r="B3" s="2502" t="s">
        <v>1346</v>
      </c>
      <c r="C3" s="2502"/>
      <c r="D3" s="2502"/>
      <c r="E3" s="2502"/>
      <c r="F3" s="2502"/>
      <c r="G3" s="2502"/>
      <c r="H3" s="2502"/>
      <c r="I3" s="2502"/>
      <c r="J3" s="2502"/>
      <c r="K3" s="2502"/>
      <c r="L3" s="1963"/>
      <c r="M3" s="1963"/>
    </row>
    <row r="4" spans="1:13" ht="14.25" customHeight="1" x14ac:dyDescent="0.2">
      <c r="B4" s="2503" t="str">
        <f>'Single Audit Cover'!A4</f>
        <v>Year Ending June 30, 2018</v>
      </c>
      <c r="C4" s="2503"/>
      <c r="D4" s="2503"/>
      <c r="E4" s="2503"/>
      <c r="F4" s="2503"/>
      <c r="G4" s="2503"/>
      <c r="H4" s="2503"/>
      <c r="I4" s="2503"/>
      <c r="J4" s="2503"/>
      <c r="K4" s="2503"/>
      <c r="L4" s="313"/>
      <c r="M4" s="313"/>
    </row>
    <row r="5" spans="1:13" ht="7.5" customHeight="1" x14ac:dyDescent="0.2">
      <c r="B5" s="1259" t="s">
        <v>1230</v>
      </c>
      <c r="C5" s="1259"/>
    </row>
    <row r="6" spans="1:13" ht="7.5" customHeight="1" x14ac:dyDescent="0.2">
      <c r="B6" s="1376"/>
      <c r="C6" s="1376"/>
      <c r="D6" s="1377"/>
      <c r="E6" s="1377"/>
      <c r="F6" s="1377"/>
      <c r="G6" s="1378"/>
      <c r="H6" s="1377"/>
      <c r="I6" s="1378"/>
      <c r="J6" s="1377"/>
      <c r="K6" s="1377"/>
      <c r="L6" s="1379"/>
    </row>
    <row r="7" spans="1:13" ht="12.75" customHeight="1" x14ac:dyDescent="0.2">
      <c r="A7" s="1281"/>
      <c r="B7" s="2503" t="s">
        <v>1362</v>
      </c>
      <c r="C7" s="2503"/>
      <c r="D7" s="2504"/>
      <c r="E7" s="2504"/>
      <c r="F7" s="2504"/>
      <c r="G7" s="2504"/>
      <c r="H7" s="2504"/>
      <c r="I7" s="2504"/>
      <c r="J7" s="2504"/>
      <c r="K7" s="2504"/>
      <c r="L7" s="1380"/>
    </row>
    <row r="8" spans="1:13" ht="7.5" customHeight="1" x14ac:dyDescent="0.2">
      <c r="B8" s="322"/>
      <c r="C8" s="322"/>
      <c r="D8" s="322"/>
      <c r="E8" s="322"/>
      <c r="F8" s="322"/>
      <c r="G8" s="1381"/>
      <c r="H8" s="322"/>
      <c r="I8" s="1381"/>
      <c r="J8" s="322"/>
      <c r="K8" s="322"/>
      <c r="L8" s="1379"/>
    </row>
    <row r="9" spans="1:13" ht="9.6" customHeight="1" x14ac:dyDescent="0.2">
      <c r="B9" s="1377"/>
      <c r="C9" s="1377"/>
      <c r="D9" s="1377"/>
      <c r="E9" s="1377"/>
      <c r="F9" s="1377"/>
      <c r="G9" s="1378"/>
      <c r="H9" s="1377"/>
      <c r="I9" s="1378"/>
      <c r="J9" s="1377"/>
      <c r="K9" s="1377"/>
      <c r="L9" s="1379"/>
    </row>
    <row r="10" spans="1:13" ht="16.5" customHeight="1" x14ac:dyDescent="0.2">
      <c r="B10" s="1382" t="s">
        <v>1841</v>
      </c>
      <c r="C10" s="1383" t="s">
        <v>1949</v>
      </c>
      <c r="D10" s="1384">
        <v>5</v>
      </c>
      <c r="E10" s="322"/>
      <c r="F10" s="1385" t="s">
        <v>1361</v>
      </c>
      <c r="G10" s="1386" t="s">
        <v>2076</v>
      </c>
      <c r="H10" s="1387" t="s">
        <v>1360</v>
      </c>
      <c r="I10" s="1386"/>
      <c r="J10" s="1388" t="s">
        <v>1359</v>
      </c>
      <c r="K10" s="322"/>
      <c r="L10" s="1379"/>
    </row>
    <row r="11" spans="1:13" ht="13.5" customHeight="1" x14ac:dyDescent="0.2">
      <c r="B11" s="322"/>
      <c r="C11" s="322"/>
      <c r="D11" s="322"/>
      <c r="E11" s="322"/>
      <c r="F11" s="322"/>
      <c r="G11" s="1381"/>
      <c r="H11" s="322"/>
      <c r="I11" s="1389" t="s">
        <v>1358</v>
      </c>
      <c r="J11" s="322"/>
      <c r="K11" s="1390"/>
      <c r="L11" s="1379"/>
    </row>
    <row r="12" spans="1:13" ht="13.5" customHeight="1" x14ac:dyDescent="0.2">
      <c r="B12" s="1292"/>
      <c r="C12" s="1292"/>
      <c r="D12" s="322"/>
      <c r="E12" s="322"/>
      <c r="F12" s="322"/>
      <c r="G12" s="1381"/>
      <c r="H12" s="322"/>
      <c r="I12" s="1381"/>
      <c r="J12" s="322"/>
      <c r="L12" s="1379"/>
    </row>
    <row r="13" spans="1:13" s="1281" customFormat="1" ht="13.5" customHeight="1" x14ac:dyDescent="0.2">
      <c r="B13" s="1391" t="s">
        <v>1357</v>
      </c>
      <c r="C13" s="1391"/>
      <c r="D13" s="1392"/>
      <c r="E13" s="1392"/>
      <c r="F13" s="1392"/>
      <c r="G13" s="1393"/>
      <c r="H13" s="1392"/>
      <c r="I13" s="1393"/>
      <c r="J13" s="1392"/>
      <c r="K13" s="1392"/>
      <c r="L13" s="1394"/>
    </row>
    <row r="14" spans="1:13" ht="45.75" customHeight="1" x14ac:dyDescent="0.2">
      <c r="B14" s="2500" t="s">
        <v>2232</v>
      </c>
      <c r="C14" s="2500"/>
      <c r="D14" s="2501"/>
      <c r="E14" s="2501"/>
      <c r="F14" s="2501"/>
      <c r="G14" s="2501"/>
      <c r="H14" s="2501"/>
      <c r="I14" s="2501"/>
      <c r="J14" s="2501"/>
      <c r="K14" s="2501"/>
      <c r="L14" s="1395"/>
    </row>
    <row r="15" spans="1:13" ht="4.5" customHeight="1" x14ac:dyDescent="0.2">
      <c r="B15" s="1396"/>
      <c r="C15" s="1396"/>
      <c r="D15" s="1397"/>
      <c r="E15" s="1397"/>
      <c r="F15" s="1397"/>
      <c r="H15" s="1397"/>
      <c r="J15" s="1397"/>
      <c r="K15" s="1397"/>
      <c r="L15" s="1395"/>
    </row>
    <row r="16" spans="1:13" s="1281" customFormat="1" ht="13.5" customHeight="1" x14ac:dyDescent="0.2">
      <c r="B16" s="1391" t="s">
        <v>1356</v>
      </c>
      <c r="C16" s="1391"/>
      <c r="D16" s="1392"/>
      <c r="E16" s="1392"/>
      <c r="F16" s="1392"/>
      <c r="G16" s="1393"/>
      <c r="H16" s="1392"/>
      <c r="I16" s="1393"/>
      <c r="J16" s="1392"/>
      <c r="K16" s="1392"/>
      <c r="L16" s="1394"/>
    </row>
    <row r="17" spans="2:12" ht="45.75" customHeight="1" x14ac:dyDescent="0.2">
      <c r="B17" s="2500" t="s">
        <v>2334</v>
      </c>
      <c r="C17" s="2500"/>
      <c r="D17" s="2501"/>
      <c r="E17" s="2501"/>
      <c r="F17" s="2501"/>
      <c r="G17" s="2501"/>
      <c r="H17" s="2501"/>
      <c r="I17" s="2501"/>
      <c r="J17" s="2501"/>
      <c r="K17" s="2501"/>
      <c r="L17" s="1379"/>
    </row>
    <row r="18" spans="2:12" ht="4.5" customHeight="1" x14ac:dyDescent="0.2">
      <c r="B18" s="1396"/>
      <c r="C18" s="1396"/>
      <c r="L18" s="1379"/>
    </row>
    <row r="19" spans="2:12" s="1281" customFormat="1" ht="13.5" customHeight="1" x14ac:dyDescent="0.2">
      <c r="B19" s="1391" t="s">
        <v>1842</v>
      </c>
      <c r="C19" s="1391"/>
      <c r="D19" s="1392"/>
      <c r="E19" s="1392"/>
      <c r="F19" s="1392"/>
      <c r="G19" s="1393"/>
      <c r="H19" s="1392"/>
      <c r="I19" s="1393"/>
      <c r="J19" s="1392"/>
      <c r="K19" s="1392"/>
      <c r="L19" s="1394"/>
    </row>
    <row r="20" spans="2:12" ht="45.75" customHeight="1" x14ac:dyDescent="0.2">
      <c r="B20" s="2500" t="s">
        <v>2202</v>
      </c>
      <c r="C20" s="2500"/>
      <c r="D20" s="2501"/>
      <c r="E20" s="2501"/>
      <c r="F20" s="2501"/>
      <c r="G20" s="2501"/>
      <c r="H20" s="2501"/>
      <c r="I20" s="2501"/>
      <c r="J20" s="2501"/>
      <c r="K20" s="2501"/>
      <c r="L20" s="1379"/>
    </row>
    <row r="21" spans="2:12" ht="4.5" customHeight="1" x14ac:dyDescent="0.2">
      <c r="B21" s="1398"/>
      <c r="C21" s="1398"/>
      <c r="L21" s="1379"/>
    </row>
    <row r="22" spans="2:12" ht="13.5" customHeight="1" x14ac:dyDescent="0.2">
      <c r="B22" s="1391" t="s">
        <v>1355</v>
      </c>
      <c r="C22" s="1391"/>
      <c r="D22" s="1377"/>
      <c r="E22" s="1377"/>
      <c r="F22" s="1377"/>
      <c r="G22" s="1378"/>
      <c r="H22" s="1377"/>
      <c r="I22" s="1378"/>
      <c r="J22" s="1377"/>
      <c r="K22" s="1377"/>
      <c r="L22" s="1379"/>
    </row>
    <row r="23" spans="2:12" ht="45" customHeight="1" x14ac:dyDescent="0.2">
      <c r="B23" s="2500" t="s">
        <v>2335</v>
      </c>
      <c r="C23" s="2500"/>
      <c r="D23" s="2501"/>
      <c r="E23" s="2501"/>
      <c r="F23" s="2501"/>
      <c r="G23" s="2501"/>
      <c r="H23" s="2501"/>
      <c r="I23" s="2501"/>
      <c r="J23" s="2501"/>
      <c r="K23" s="2501"/>
      <c r="L23" s="1379"/>
    </row>
    <row r="24" spans="2:12" ht="4.5" customHeight="1" x14ac:dyDescent="0.2">
      <c r="B24" s="1396"/>
      <c r="C24" s="1396"/>
      <c r="L24" s="1379"/>
    </row>
    <row r="25" spans="2:12" ht="13.5" customHeight="1" x14ac:dyDescent="0.2">
      <c r="B25" s="1391" t="s">
        <v>1354</v>
      </c>
      <c r="C25" s="1391"/>
      <c r="D25" s="1377"/>
      <c r="E25" s="1377"/>
      <c r="F25" s="1377"/>
      <c r="G25" s="1378"/>
      <c r="H25" s="1377"/>
      <c r="I25" s="1378"/>
      <c r="J25" s="1377"/>
      <c r="K25" s="1377"/>
      <c r="L25" s="1379"/>
    </row>
    <row r="26" spans="2:12" ht="45.75" customHeight="1" x14ac:dyDescent="0.2">
      <c r="B26" s="2500" t="s">
        <v>2333</v>
      </c>
      <c r="C26" s="2500"/>
      <c r="D26" s="2501"/>
      <c r="E26" s="2501"/>
      <c r="F26" s="2501"/>
      <c r="G26" s="2501"/>
      <c r="H26" s="2501"/>
      <c r="I26" s="2501"/>
      <c r="J26" s="2501"/>
      <c r="K26" s="2501"/>
      <c r="L26" s="1379"/>
    </row>
    <row r="27" spans="2:12" ht="4.5" customHeight="1" x14ac:dyDescent="0.2">
      <c r="B27" s="1396"/>
      <c r="C27" s="1396"/>
      <c r="L27" s="1379"/>
    </row>
    <row r="28" spans="2:12" ht="13.5" customHeight="1" x14ac:dyDescent="0.2">
      <c r="B28" s="1399" t="s">
        <v>1353</v>
      </c>
      <c r="C28" s="1399"/>
      <c r="D28" s="1377"/>
      <c r="E28" s="1377"/>
      <c r="F28" s="1377"/>
      <c r="G28" s="1378"/>
      <c r="H28" s="1377"/>
      <c r="I28" s="1378"/>
      <c r="J28" s="1377"/>
      <c r="K28" s="1377"/>
      <c r="L28" s="1379"/>
    </row>
    <row r="29" spans="2:12" ht="45.75" customHeight="1" x14ac:dyDescent="0.2">
      <c r="B29" s="2500" t="s">
        <v>2332</v>
      </c>
      <c r="C29" s="2500"/>
      <c r="D29" s="2501"/>
      <c r="E29" s="2501"/>
      <c r="F29" s="2501"/>
      <c r="G29" s="2501"/>
      <c r="H29" s="2501"/>
      <c r="I29" s="2501"/>
      <c r="J29" s="2501"/>
      <c r="K29" s="2501"/>
      <c r="L29" s="1379"/>
    </row>
    <row r="30" spans="2:12" ht="4.5" customHeight="1" x14ac:dyDescent="0.2">
      <c r="B30" s="1400"/>
      <c r="C30" s="1400"/>
      <c r="D30" s="322"/>
      <c r="E30" s="322"/>
      <c r="F30" s="322"/>
      <c r="G30" s="1381"/>
      <c r="H30" s="322"/>
      <c r="I30" s="1381"/>
      <c r="J30" s="322"/>
      <c r="K30" s="322"/>
      <c r="L30" s="1379"/>
    </row>
    <row r="31" spans="2:12" s="322" customFormat="1" ht="13.5" customHeight="1" x14ac:dyDescent="0.2">
      <c r="B31" s="1401" t="s">
        <v>1843</v>
      </c>
      <c r="C31" s="1401"/>
      <c r="D31" s="1376"/>
      <c r="E31" s="1377"/>
      <c r="F31" s="1377"/>
      <c r="G31" s="1378"/>
      <c r="H31" s="1377"/>
      <c r="I31" s="1378"/>
      <c r="J31" s="1377"/>
      <c r="K31" s="1377"/>
      <c r="L31" s="1379"/>
    </row>
    <row r="32" spans="2:12" s="322" customFormat="1" ht="44.25" customHeight="1" x14ac:dyDescent="0.2">
      <c r="B32" s="2500" t="s">
        <v>2349</v>
      </c>
      <c r="C32" s="2500"/>
      <c r="D32" s="2501"/>
      <c r="E32" s="2501"/>
      <c r="F32" s="2501"/>
      <c r="G32" s="2501"/>
      <c r="H32" s="2501"/>
      <c r="I32" s="2501"/>
      <c r="J32" s="2501"/>
      <c r="K32" s="2501"/>
      <c r="L32" s="1379"/>
    </row>
    <row r="33" spans="1:13" s="322" customFormat="1" ht="4.5" customHeight="1" x14ac:dyDescent="0.2">
      <c r="B33" s="1400"/>
      <c r="C33" s="1400"/>
      <c r="G33" s="1381"/>
      <c r="I33" s="1381"/>
      <c r="L33" s="1379"/>
    </row>
    <row r="34" spans="1:13" s="322" customFormat="1" x14ac:dyDescent="0.2">
      <c r="A34" s="1295"/>
      <c r="B34" s="1415"/>
      <c r="C34" s="1415"/>
      <c r="D34" s="1415"/>
      <c r="E34" s="1415"/>
      <c r="F34" s="1415"/>
      <c r="G34" s="1416"/>
      <c r="H34" s="1415"/>
      <c r="I34" s="1416"/>
      <c r="J34" s="1415"/>
      <c r="K34" s="1415"/>
      <c r="L34" s="1379"/>
    </row>
    <row r="35" spans="1:13" ht="11.85" customHeight="1" x14ac:dyDescent="0.2">
      <c r="B35" s="1417" t="s">
        <v>1844</v>
      </c>
      <c r="C35" s="1417"/>
      <c r="D35" s="322"/>
      <c r="E35" s="322"/>
      <c r="F35" s="322"/>
      <c r="L35" s="1379"/>
    </row>
    <row r="36" spans="1:13" ht="9.6" customHeight="1" x14ac:dyDescent="0.2">
      <c r="B36" s="1298" t="s">
        <v>1950</v>
      </c>
      <c r="C36" s="1298"/>
      <c r="L36" s="1379"/>
    </row>
    <row r="37" spans="1:13" ht="9.6" customHeight="1" x14ac:dyDescent="0.2">
      <c r="B37" s="1298" t="s">
        <v>1951</v>
      </c>
      <c r="C37" s="1298"/>
    </row>
    <row r="38" spans="1:13" ht="11.85" customHeight="1" x14ac:dyDescent="0.2">
      <c r="B38" s="1418" t="s">
        <v>1845</v>
      </c>
      <c r="C38" s="1418"/>
    </row>
    <row r="39" spans="1:13" ht="9.6" customHeight="1" x14ac:dyDescent="0.2">
      <c r="B39" s="1298" t="s">
        <v>1347</v>
      </c>
      <c r="C39" s="1298"/>
      <c r="M39" s="1419"/>
    </row>
    <row r="40" spans="1:13" ht="12.6" customHeight="1" x14ac:dyDescent="0.2">
      <c r="B40" s="1418" t="s">
        <v>1846</v>
      </c>
      <c r="C40" s="1418"/>
      <c r="M40" s="1419"/>
    </row>
    <row r="41" spans="1:13" ht="9.6" customHeight="1" x14ac:dyDescent="0.2">
      <c r="B41" s="1298"/>
      <c r="C41" s="1298"/>
      <c r="M41" s="1419"/>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oddHeader>&amp;L&amp;8Page 43&amp;R&amp;8Page 43</oddHeader>
    <oddFooter>&amp;LSee Notes to Financial Statements</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topLeftCell="A22" zoomScale="110" zoomScaleNormal="110" workbookViewId="0">
      <selection activeCell="K36" sqref="K36"/>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86" t="str">
        <f>'Single Audit Cover'!A7</f>
        <v>Jersey CUSD 100</v>
      </c>
      <c r="C1" s="2486"/>
      <c r="D1" s="2486"/>
      <c r="E1" s="2486"/>
      <c r="F1" s="2486"/>
      <c r="G1" s="2486"/>
      <c r="H1" s="2486"/>
      <c r="I1" s="2486"/>
      <c r="J1" s="2486"/>
      <c r="K1" s="2486"/>
      <c r="L1" s="1372"/>
      <c r="M1" s="1372"/>
    </row>
    <row r="2" spans="1:13" ht="12" customHeight="1" x14ac:dyDescent="0.2">
      <c r="B2" s="2488">
        <f>'Single Audit Cover'!E7</f>
        <v>40042100026</v>
      </c>
      <c r="C2" s="2488"/>
      <c r="D2" s="2488"/>
      <c r="E2" s="2488"/>
      <c r="F2" s="2488"/>
      <c r="G2" s="2488"/>
      <c r="H2" s="2488"/>
      <c r="I2" s="2488"/>
      <c r="J2" s="2488"/>
      <c r="K2" s="2488"/>
      <c r="L2" s="1373"/>
      <c r="M2" s="1374"/>
    </row>
    <row r="3" spans="1:13" ht="10.35" customHeight="1" x14ac:dyDescent="0.2">
      <c r="B3" s="2502" t="s">
        <v>1346</v>
      </c>
      <c r="C3" s="2502"/>
      <c r="D3" s="2502"/>
      <c r="E3" s="2502"/>
      <c r="F3" s="2502"/>
      <c r="G3" s="2502"/>
      <c r="H3" s="2502"/>
      <c r="I3" s="2502"/>
      <c r="J3" s="2502"/>
      <c r="K3" s="2502"/>
      <c r="L3" s="1964"/>
      <c r="M3" s="1964"/>
    </row>
    <row r="4" spans="1:13" ht="14.25" customHeight="1" x14ac:dyDescent="0.2">
      <c r="B4" s="2503" t="str">
        <f>'Single Audit Cover'!A4</f>
        <v>Year Ending June 30, 2018</v>
      </c>
      <c r="C4" s="2503"/>
      <c r="D4" s="2503"/>
      <c r="E4" s="2503"/>
      <c r="F4" s="2503"/>
      <c r="G4" s="2503"/>
      <c r="H4" s="2503"/>
      <c r="I4" s="2503"/>
      <c r="J4" s="2503"/>
      <c r="K4" s="2503"/>
      <c r="L4" s="313"/>
      <c r="M4" s="313"/>
    </row>
    <row r="5" spans="1:13" ht="7.5" customHeight="1" x14ac:dyDescent="0.2">
      <c r="B5" s="1259" t="s">
        <v>1230</v>
      </c>
      <c r="C5" s="1259"/>
    </row>
    <row r="6" spans="1:13" ht="7.5" customHeight="1" x14ac:dyDescent="0.2">
      <c r="B6" s="1376"/>
      <c r="C6" s="1376"/>
      <c r="D6" s="1377"/>
      <c r="E6" s="1377"/>
      <c r="F6" s="1377"/>
      <c r="G6" s="1378"/>
      <c r="H6" s="1377"/>
      <c r="I6" s="1378"/>
      <c r="J6" s="1377"/>
      <c r="K6" s="1377"/>
      <c r="L6" s="1379"/>
    </row>
    <row r="7" spans="1:13" ht="12.75" customHeight="1" x14ac:dyDescent="0.2">
      <c r="A7" s="1281"/>
      <c r="B7" s="2503" t="s">
        <v>1362</v>
      </c>
      <c r="C7" s="2503"/>
      <c r="D7" s="2504"/>
      <c r="E7" s="2504"/>
      <c r="F7" s="2504"/>
      <c r="G7" s="2504"/>
      <c r="H7" s="2504"/>
      <c r="I7" s="2504"/>
      <c r="J7" s="2504"/>
      <c r="K7" s="2504"/>
      <c r="L7" s="1380"/>
    </row>
    <row r="8" spans="1:13" ht="7.5" customHeight="1" x14ac:dyDescent="0.2">
      <c r="B8" s="322"/>
      <c r="C8" s="322"/>
      <c r="D8" s="322"/>
      <c r="E8" s="322"/>
      <c r="F8" s="322"/>
      <c r="G8" s="1381"/>
      <c r="H8" s="322"/>
      <c r="I8" s="1381"/>
      <c r="J8" s="322"/>
      <c r="K8" s="322"/>
      <c r="L8" s="1379"/>
    </row>
    <row r="9" spans="1:13" ht="9.6" customHeight="1" x14ac:dyDescent="0.2">
      <c r="B9" s="1377"/>
      <c r="C9" s="1377"/>
      <c r="D9" s="1377"/>
      <c r="E9" s="1377"/>
      <c r="F9" s="1377"/>
      <c r="G9" s="1378"/>
      <c r="H9" s="1377"/>
      <c r="I9" s="1378"/>
      <c r="J9" s="1377"/>
      <c r="K9" s="1377"/>
      <c r="L9" s="1379"/>
    </row>
    <row r="10" spans="1:13" ht="16.5" customHeight="1" x14ac:dyDescent="0.2">
      <c r="B10" s="1382" t="s">
        <v>1841</v>
      </c>
      <c r="C10" s="1383" t="s">
        <v>1949</v>
      </c>
      <c r="D10" s="1384">
        <v>6</v>
      </c>
      <c r="E10" s="322"/>
      <c r="F10" s="1385" t="s">
        <v>1361</v>
      </c>
      <c r="G10" s="1386" t="s">
        <v>2076</v>
      </c>
      <c r="H10" s="1387" t="s">
        <v>1360</v>
      </c>
      <c r="I10" s="1386"/>
      <c r="J10" s="1388" t="s">
        <v>1359</v>
      </c>
      <c r="K10" s="322"/>
      <c r="L10" s="1379"/>
    </row>
    <row r="11" spans="1:13" ht="13.5" customHeight="1" x14ac:dyDescent="0.2">
      <c r="B11" s="322"/>
      <c r="C11" s="322"/>
      <c r="D11" s="322"/>
      <c r="E11" s="322"/>
      <c r="F11" s="322"/>
      <c r="G11" s="1381"/>
      <c r="H11" s="322"/>
      <c r="I11" s="1389" t="s">
        <v>1358</v>
      </c>
      <c r="J11" s="322"/>
      <c r="K11" s="1390"/>
      <c r="L11" s="1379"/>
    </row>
    <row r="12" spans="1:13" ht="13.5" customHeight="1" x14ac:dyDescent="0.2">
      <c r="B12" s="1292"/>
      <c r="C12" s="1292"/>
      <c r="D12" s="322"/>
      <c r="E12" s="322"/>
      <c r="F12" s="322"/>
      <c r="G12" s="1381"/>
      <c r="H12" s="322"/>
      <c r="I12" s="1381"/>
      <c r="J12" s="322"/>
      <c r="L12" s="1379"/>
    </row>
    <row r="13" spans="1:13" s="1281" customFormat="1" ht="13.5" customHeight="1" x14ac:dyDescent="0.2">
      <c r="B13" s="1391" t="s">
        <v>1357</v>
      </c>
      <c r="C13" s="1391"/>
      <c r="D13" s="1392"/>
      <c r="E13" s="1392"/>
      <c r="F13" s="1392"/>
      <c r="G13" s="1393"/>
      <c r="H13" s="1392"/>
      <c r="I13" s="1393"/>
      <c r="J13" s="1392"/>
      <c r="K13" s="1392"/>
      <c r="L13" s="1394"/>
    </row>
    <row r="14" spans="1:13" ht="45.75" customHeight="1" x14ac:dyDescent="0.2">
      <c r="B14" s="2500" t="s">
        <v>2232</v>
      </c>
      <c r="C14" s="2500"/>
      <c r="D14" s="2501"/>
      <c r="E14" s="2501"/>
      <c r="F14" s="2501"/>
      <c r="G14" s="2501"/>
      <c r="H14" s="2501"/>
      <c r="I14" s="2501"/>
      <c r="J14" s="2501"/>
      <c r="K14" s="2501"/>
      <c r="L14" s="1395"/>
    </row>
    <row r="15" spans="1:13" ht="4.5" customHeight="1" x14ac:dyDescent="0.2">
      <c r="B15" s="1396"/>
      <c r="C15" s="1396"/>
      <c r="D15" s="1397"/>
      <c r="E15" s="1397"/>
      <c r="F15" s="1397"/>
      <c r="H15" s="1397"/>
      <c r="J15" s="1397"/>
      <c r="K15" s="1397"/>
      <c r="L15" s="1395"/>
    </row>
    <row r="16" spans="1:13" s="1281" customFormat="1" ht="13.5" customHeight="1" x14ac:dyDescent="0.2">
      <c r="B16" s="1391" t="s">
        <v>1356</v>
      </c>
      <c r="C16" s="1391"/>
      <c r="D16" s="1392"/>
      <c r="E16" s="1392"/>
      <c r="F16" s="1392"/>
      <c r="G16" s="1393"/>
      <c r="H16" s="1392"/>
      <c r="I16" s="1393"/>
      <c r="J16" s="1392"/>
      <c r="K16" s="1392"/>
      <c r="L16" s="1394"/>
    </row>
    <row r="17" spans="2:12" ht="45.75" customHeight="1" x14ac:dyDescent="0.2">
      <c r="B17" s="2500" t="s">
        <v>2337</v>
      </c>
      <c r="C17" s="2500"/>
      <c r="D17" s="2501"/>
      <c r="E17" s="2501"/>
      <c r="F17" s="2501"/>
      <c r="G17" s="2501"/>
      <c r="H17" s="2501"/>
      <c r="I17" s="2501"/>
      <c r="J17" s="2501"/>
      <c r="K17" s="2501"/>
      <c r="L17" s="1379"/>
    </row>
    <row r="18" spans="2:12" ht="4.5" customHeight="1" x14ac:dyDescent="0.2">
      <c r="B18" s="1396"/>
      <c r="C18" s="1396"/>
      <c r="L18" s="1379"/>
    </row>
    <row r="19" spans="2:12" s="1281" customFormat="1" ht="13.5" customHeight="1" x14ac:dyDescent="0.2">
      <c r="B19" s="1391" t="s">
        <v>1842</v>
      </c>
      <c r="C19" s="1391"/>
      <c r="D19" s="1392"/>
      <c r="E19" s="1392"/>
      <c r="F19" s="1392"/>
      <c r="G19" s="1393"/>
      <c r="H19" s="1392"/>
      <c r="I19" s="1393"/>
      <c r="J19" s="1392"/>
      <c r="K19" s="1392"/>
      <c r="L19" s="1394"/>
    </row>
    <row r="20" spans="2:12" ht="45.75" customHeight="1" x14ac:dyDescent="0.2">
      <c r="B20" s="2500" t="s">
        <v>2202</v>
      </c>
      <c r="C20" s="2500"/>
      <c r="D20" s="2501"/>
      <c r="E20" s="2501"/>
      <c r="F20" s="2501"/>
      <c r="G20" s="2501"/>
      <c r="H20" s="2501"/>
      <c r="I20" s="2501"/>
      <c r="J20" s="2501"/>
      <c r="K20" s="2501"/>
      <c r="L20" s="1379"/>
    </row>
    <row r="21" spans="2:12" ht="4.5" customHeight="1" x14ac:dyDescent="0.2">
      <c r="B21" s="1398"/>
      <c r="C21" s="1398"/>
      <c r="L21" s="1379"/>
    </row>
    <row r="22" spans="2:12" ht="13.5" customHeight="1" x14ac:dyDescent="0.2">
      <c r="B22" s="1391" t="s">
        <v>1355</v>
      </c>
      <c r="C22" s="1391"/>
      <c r="D22" s="1377"/>
      <c r="E22" s="1377"/>
      <c r="F22" s="1377"/>
      <c r="G22" s="1378"/>
      <c r="H22" s="1377"/>
      <c r="I22" s="1378"/>
      <c r="J22" s="1377"/>
      <c r="K22" s="1377"/>
      <c r="L22" s="1379"/>
    </row>
    <row r="23" spans="2:12" ht="45" customHeight="1" x14ac:dyDescent="0.2">
      <c r="B23" s="2500" t="s">
        <v>2336</v>
      </c>
      <c r="C23" s="2500"/>
      <c r="D23" s="2501"/>
      <c r="E23" s="2501"/>
      <c r="F23" s="2501"/>
      <c r="G23" s="2501"/>
      <c r="H23" s="2501"/>
      <c r="I23" s="2501"/>
      <c r="J23" s="2501"/>
      <c r="K23" s="2501"/>
      <c r="L23" s="1379"/>
    </row>
    <row r="24" spans="2:12" ht="4.5" customHeight="1" x14ac:dyDescent="0.2">
      <c r="B24" s="1396"/>
      <c r="C24" s="1396"/>
      <c r="L24" s="1379"/>
    </row>
    <row r="25" spans="2:12" ht="13.5" customHeight="1" x14ac:dyDescent="0.2">
      <c r="B25" s="1391" t="s">
        <v>1354</v>
      </c>
      <c r="C25" s="1391"/>
      <c r="D25" s="1377"/>
      <c r="E25" s="1377"/>
      <c r="F25" s="1377"/>
      <c r="G25" s="1378"/>
      <c r="H25" s="1377"/>
      <c r="I25" s="1378"/>
      <c r="J25" s="1377"/>
      <c r="K25" s="1377"/>
      <c r="L25" s="1379"/>
    </row>
    <row r="26" spans="2:12" ht="45.75" customHeight="1" x14ac:dyDescent="0.2">
      <c r="B26" s="2500" t="s">
        <v>2338</v>
      </c>
      <c r="C26" s="2500"/>
      <c r="D26" s="2501"/>
      <c r="E26" s="2501"/>
      <c r="F26" s="2501"/>
      <c r="G26" s="2501"/>
      <c r="H26" s="2501"/>
      <c r="I26" s="2501"/>
      <c r="J26" s="2501"/>
      <c r="K26" s="2501"/>
      <c r="L26" s="1379"/>
    </row>
    <row r="27" spans="2:12" ht="4.5" customHeight="1" x14ac:dyDescent="0.2">
      <c r="B27" s="1396"/>
      <c r="C27" s="1396"/>
      <c r="L27" s="1379"/>
    </row>
    <row r="28" spans="2:12" ht="13.5" customHeight="1" x14ac:dyDescent="0.2">
      <c r="B28" s="1399" t="s">
        <v>1353</v>
      </c>
      <c r="C28" s="1399"/>
      <c r="D28" s="1377"/>
      <c r="E28" s="1377"/>
      <c r="F28" s="1377"/>
      <c r="G28" s="1378"/>
      <c r="H28" s="1377"/>
      <c r="I28" s="1378"/>
      <c r="J28" s="1377"/>
      <c r="K28" s="1377"/>
      <c r="L28" s="1379"/>
    </row>
    <row r="29" spans="2:12" ht="45.75" customHeight="1" x14ac:dyDescent="0.2">
      <c r="B29" s="2500" t="s">
        <v>2341</v>
      </c>
      <c r="C29" s="2500"/>
      <c r="D29" s="2501"/>
      <c r="E29" s="2501"/>
      <c r="F29" s="2501"/>
      <c r="G29" s="2501"/>
      <c r="H29" s="2501"/>
      <c r="I29" s="2501"/>
      <c r="J29" s="2501"/>
      <c r="K29" s="2501"/>
      <c r="L29" s="1379"/>
    </row>
    <row r="30" spans="2:12" ht="4.5" customHeight="1" x14ac:dyDescent="0.2">
      <c r="B30" s="1400"/>
      <c r="C30" s="1400"/>
      <c r="D30" s="322"/>
      <c r="E30" s="322"/>
      <c r="F30" s="322"/>
      <c r="G30" s="1381"/>
      <c r="H30" s="322"/>
      <c r="I30" s="1381"/>
      <c r="J30" s="322"/>
      <c r="K30" s="322"/>
      <c r="L30" s="1379"/>
    </row>
    <row r="31" spans="2:12" s="322" customFormat="1" ht="13.5" customHeight="1" x14ac:dyDescent="0.2">
      <c r="B31" s="1401" t="s">
        <v>1843</v>
      </c>
      <c r="C31" s="1401"/>
      <c r="D31" s="1376"/>
      <c r="E31" s="1377"/>
      <c r="F31" s="1377"/>
      <c r="G31" s="1378"/>
      <c r="H31" s="1377"/>
      <c r="I31" s="1378"/>
      <c r="J31" s="1377"/>
      <c r="K31" s="1377"/>
      <c r="L31" s="1379"/>
    </row>
    <row r="32" spans="2:12" s="322" customFormat="1" ht="58.5" customHeight="1" x14ac:dyDescent="0.2">
      <c r="B32" s="2500" t="s">
        <v>2342</v>
      </c>
      <c r="C32" s="2500"/>
      <c r="D32" s="2501"/>
      <c r="E32" s="2501"/>
      <c r="F32" s="2501"/>
      <c r="G32" s="2501"/>
      <c r="H32" s="2501"/>
      <c r="I32" s="2501"/>
      <c r="J32" s="2501"/>
      <c r="K32" s="2501"/>
      <c r="L32" s="1379"/>
    </row>
    <row r="33" spans="1:13" s="322" customFormat="1" ht="4.5" customHeight="1" x14ac:dyDescent="0.2">
      <c r="B33" s="1400"/>
      <c r="C33" s="1400"/>
      <c r="G33" s="1381"/>
      <c r="I33" s="1381"/>
      <c r="L33" s="1379"/>
    </row>
    <row r="34" spans="1:13" s="322" customFormat="1" x14ac:dyDescent="0.2">
      <c r="A34" s="1295"/>
      <c r="B34" s="1415"/>
      <c r="C34" s="1415"/>
      <c r="D34" s="1415"/>
      <c r="E34" s="1415"/>
      <c r="F34" s="1415"/>
      <c r="G34" s="1416"/>
      <c r="H34" s="1415"/>
      <c r="I34" s="1416"/>
      <c r="J34" s="1415"/>
      <c r="K34" s="1415"/>
      <c r="L34" s="1379"/>
    </row>
    <row r="35" spans="1:13" ht="11.85" customHeight="1" x14ac:dyDescent="0.2">
      <c r="B35" s="1417" t="s">
        <v>1844</v>
      </c>
      <c r="C35" s="1417"/>
      <c r="D35" s="322"/>
      <c r="E35" s="322"/>
      <c r="F35" s="322"/>
      <c r="L35" s="1379"/>
    </row>
    <row r="36" spans="1:13" ht="9.6" customHeight="1" x14ac:dyDescent="0.2">
      <c r="B36" s="1298" t="s">
        <v>1950</v>
      </c>
      <c r="C36" s="1298"/>
      <c r="L36" s="1379"/>
    </row>
    <row r="37" spans="1:13" ht="9.6" customHeight="1" x14ac:dyDescent="0.2">
      <c r="B37" s="1298" t="s">
        <v>1951</v>
      </c>
      <c r="C37" s="1298"/>
    </row>
    <row r="38" spans="1:13" ht="11.85" customHeight="1" x14ac:dyDescent="0.2">
      <c r="B38" s="1418" t="s">
        <v>1845</v>
      </c>
      <c r="C38" s="1418"/>
    </row>
    <row r="39" spans="1:13" ht="9.6" customHeight="1" x14ac:dyDescent="0.2">
      <c r="B39" s="1298" t="s">
        <v>1347</v>
      </c>
      <c r="C39" s="1298"/>
      <c r="M39" s="1419"/>
    </row>
    <row r="40" spans="1:13" ht="12.6" customHeight="1" x14ac:dyDescent="0.2">
      <c r="B40" s="1418" t="s">
        <v>1846</v>
      </c>
      <c r="C40" s="1418"/>
      <c r="M40" s="1419"/>
    </row>
    <row r="41" spans="1:13" ht="9.6" customHeight="1" x14ac:dyDescent="0.2">
      <c r="B41" s="1298"/>
      <c r="C41" s="1298"/>
      <c r="M41" s="1419"/>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oddHeader>&amp;L&amp;8Page 43&amp;R&amp;8Page 43</oddHeader>
    <oddFooter>&amp;LSee Notes to Financial Statements</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showGridLines="0" topLeftCell="A19" zoomScale="110" zoomScaleNormal="110" workbookViewId="0">
      <selection activeCell="B29" sqref="B29:K29"/>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5" t="str">
        <f>'Single Audit Cover'!A7</f>
        <v>Jersey CUSD 100</v>
      </c>
      <c r="C1" s="2505"/>
      <c r="D1" s="2505"/>
      <c r="E1" s="2505"/>
      <c r="F1" s="2505"/>
      <c r="G1" s="2505"/>
      <c r="H1" s="2505"/>
      <c r="I1" s="2505"/>
      <c r="J1" s="2505"/>
      <c r="K1" s="2505"/>
      <c r="L1" s="1463"/>
    </row>
    <row r="2" spans="1:12" ht="12.75" customHeight="1" x14ac:dyDescent="0.2">
      <c r="B2" s="2506">
        <f>'Single Audit Cover'!E7</f>
        <v>40042100026</v>
      </c>
      <c r="C2" s="2506"/>
      <c r="D2" s="2506"/>
      <c r="E2" s="2506"/>
      <c r="F2" s="2506"/>
      <c r="G2" s="2506"/>
      <c r="H2" s="2506"/>
      <c r="I2" s="2506"/>
      <c r="J2" s="2506"/>
      <c r="K2" s="2506"/>
      <c r="L2" s="1464"/>
    </row>
    <row r="3" spans="1:12" ht="12.75" customHeight="1" x14ac:dyDescent="0.2">
      <c r="B3" s="2502" t="s">
        <v>1346</v>
      </c>
      <c r="C3" s="2502"/>
      <c r="D3" s="2502"/>
      <c r="E3" s="2502"/>
      <c r="F3" s="2502"/>
      <c r="G3" s="2502"/>
      <c r="H3" s="2502"/>
      <c r="I3" s="2502"/>
      <c r="J3" s="2502"/>
      <c r="K3" s="2502"/>
      <c r="L3" s="1944"/>
    </row>
    <row r="4" spans="1:12" ht="12.75" customHeight="1" x14ac:dyDescent="0.2">
      <c r="B4" s="2502" t="str">
        <f>'Single Audit Cover'!A4</f>
        <v>Year Ending June 30, 2018</v>
      </c>
      <c r="C4" s="2502"/>
      <c r="D4" s="2502"/>
      <c r="E4" s="2502"/>
      <c r="F4" s="2502"/>
      <c r="G4" s="2502"/>
      <c r="H4" s="2502"/>
      <c r="I4" s="2502"/>
      <c r="J4" s="2502"/>
      <c r="K4" s="2502"/>
      <c r="L4" s="1944"/>
    </row>
    <row r="5" spans="1:12" ht="5.25" customHeight="1" x14ac:dyDescent="0.2">
      <c r="B5" s="1259" t="s">
        <v>1230</v>
      </c>
      <c r="C5" s="1259"/>
      <c r="L5" s="322"/>
    </row>
    <row r="6" spans="1:12" ht="30.75" customHeight="1" x14ac:dyDescent="0.2">
      <c r="A6" s="322"/>
      <c r="B6" s="2507" t="s">
        <v>1374</v>
      </c>
      <c r="C6" s="2507"/>
      <c r="D6" s="2507"/>
      <c r="E6" s="2507"/>
      <c r="F6" s="2507"/>
      <c r="G6" s="2507"/>
      <c r="H6" s="2507"/>
      <c r="I6" s="2507"/>
      <c r="J6" s="2507"/>
      <c r="K6" s="2507"/>
      <c r="L6" s="322"/>
    </row>
    <row r="7" spans="1:12" ht="4.5" customHeight="1" x14ac:dyDescent="0.2">
      <c r="B7" s="1377"/>
      <c r="C7" s="1377"/>
      <c r="D7" s="1377"/>
      <c r="E7" s="1377"/>
      <c r="F7" s="1377"/>
      <c r="G7" s="1378"/>
      <c r="H7" s="1377"/>
      <c r="I7" s="1378"/>
      <c r="J7" s="1377"/>
      <c r="K7" s="1377"/>
      <c r="L7" s="322"/>
    </row>
    <row r="8" spans="1:12" ht="13.5" customHeight="1" x14ac:dyDescent="0.2">
      <c r="B8" s="1385" t="s">
        <v>1855</v>
      </c>
      <c r="C8" s="1465" t="s">
        <v>1949</v>
      </c>
      <c r="D8" s="1466">
        <v>7</v>
      </c>
      <c r="E8" s="322"/>
      <c r="F8" s="1382" t="s">
        <v>1361</v>
      </c>
      <c r="G8" s="1467" t="s">
        <v>2076</v>
      </c>
      <c r="H8" s="1468" t="s">
        <v>1373</v>
      </c>
      <c r="I8" s="1467"/>
      <c r="J8" s="1469" t="s">
        <v>1372</v>
      </c>
      <c r="L8" s="322"/>
    </row>
    <row r="9" spans="1:12" ht="13.5" customHeight="1" x14ac:dyDescent="0.2">
      <c r="D9" s="322"/>
      <c r="E9" s="322"/>
      <c r="F9" s="322"/>
      <c r="G9" s="1381"/>
      <c r="H9" s="322"/>
      <c r="I9" s="1470" t="s">
        <v>1358</v>
      </c>
      <c r="J9" s="322"/>
      <c r="K9" s="1471"/>
      <c r="L9" s="322"/>
    </row>
    <row r="10" spans="1:12" ht="4.5" customHeight="1" x14ac:dyDescent="0.2">
      <c r="B10" s="1472"/>
      <c r="C10" s="1472"/>
      <c r="D10" s="1425"/>
      <c r="E10" s="1425"/>
      <c r="F10" s="1425"/>
      <c r="G10" s="1426"/>
      <c r="H10" s="1425"/>
      <c r="I10" s="1426"/>
      <c r="J10" s="1425"/>
      <c r="K10" s="1425"/>
      <c r="L10" s="322"/>
    </row>
    <row r="11" spans="1:12" ht="5.25" customHeight="1" x14ac:dyDescent="0.2">
      <c r="B11" s="322"/>
      <c r="C11" s="322"/>
      <c r="D11" s="304"/>
      <c r="E11" s="322"/>
      <c r="F11" s="322"/>
      <c r="G11" s="1381"/>
      <c r="H11" s="322"/>
      <c r="I11" s="1381"/>
      <c r="J11" s="322"/>
      <c r="K11" s="1430"/>
      <c r="L11" s="322"/>
    </row>
    <row r="12" spans="1:12" ht="13.5" customHeight="1" x14ac:dyDescent="0.2">
      <c r="B12" s="1382" t="s">
        <v>1371</v>
      </c>
      <c r="C12" s="1382"/>
      <c r="D12" s="304"/>
      <c r="E12" s="322"/>
      <c r="F12" s="2493" t="s">
        <v>973</v>
      </c>
      <c r="G12" s="2493"/>
      <c r="H12" s="2493"/>
      <c r="I12" s="2493"/>
      <c r="J12" s="2493"/>
      <c r="K12" s="2493"/>
      <c r="L12" s="322"/>
    </row>
    <row r="13" spans="1:12" ht="9.6" customHeight="1" x14ac:dyDescent="0.2">
      <c r="B13" s="1256"/>
      <c r="C13" s="1256"/>
      <c r="D13" s="304"/>
      <c r="E13" s="322"/>
      <c r="F13" s="322"/>
      <c r="G13" s="1381"/>
      <c r="H13" s="322"/>
      <c r="I13" s="1381"/>
      <c r="J13" s="322"/>
      <c r="K13" s="1430"/>
      <c r="L13" s="322"/>
    </row>
    <row r="14" spans="1:12" ht="13.5" customHeight="1" x14ac:dyDescent="0.2">
      <c r="B14" s="1385" t="s">
        <v>1370</v>
      </c>
      <c r="C14" s="1385"/>
      <c r="D14" s="2508" t="s">
        <v>2219</v>
      </c>
      <c r="E14" s="2508"/>
      <c r="F14" s="2508"/>
      <c r="H14" s="1473" t="s">
        <v>1369</v>
      </c>
      <c r="I14" s="2509" t="s">
        <v>2222</v>
      </c>
      <c r="J14" s="2510"/>
      <c r="K14" s="2510"/>
      <c r="L14" s="322"/>
    </row>
    <row r="15" spans="1:12" ht="9.4" customHeight="1" x14ac:dyDescent="0.2">
      <c r="B15" s="1385"/>
      <c r="C15" s="1385"/>
      <c r="D15" s="1371"/>
      <c r="E15" s="1259"/>
      <c r="F15" s="1259"/>
      <c r="G15" s="1285"/>
      <c r="H15" s="1259"/>
      <c r="I15" s="1474"/>
      <c r="J15" s="1292"/>
      <c r="K15" s="1289"/>
      <c r="L15" s="322"/>
    </row>
    <row r="16" spans="1:12" ht="13.5" customHeight="1" x14ac:dyDescent="0.2">
      <c r="B16" s="1385" t="s">
        <v>1368</v>
      </c>
      <c r="C16" s="1385"/>
      <c r="D16" s="2510" t="s">
        <v>424</v>
      </c>
      <c r="E16" s="2510"/>
      <c r="F16" s="2510"/>
      <c r="G16" s="2510"/>
      <c r="H16" s="2510"/>
      <c r="I16" s="2510"/>
      <c r="J16" s="2510"/>
      <c r="K16" s="2510"/>
      <c r="L16" s="322"/>
    </row>
    <row r="17" spans="2:12" ht="13.5" customHeight="1" x14ac:dyDescent="0.2">
      <c r="B17" s="1385" t="s">
        <v>1367</v>
      </c>
      <c r="C17" s="1385"/>
      <c r="D17" s="2511" t="s">
        <v>2220</v>
      </c>
      <c r="E17" s="2511"/>
      <c r="F17" s="2511"/>
      <c r="G17" s="2511"/>
      <c r="H17" s="2511"/>
      <c r="I17" s="2511"/>
      <c r="J17" s="2511"/>
      <c r="K17" s="2511"/>
      <c r="L17" s="322"/>
    </row>
    <row r="18" spans="2:12" ht="9.4" customHeight="1" x14ac:dyDescent="0.2">
      <c r="B18" s="1425"/>
      <c r="C18" s="1425"/>
      <c r="D18" s="1425"/>
      <c r="E18" s="1425"/>
      <c r="F18" s="1425"/>
      <c r="G18" s="1426"/>
      <c r="H18" s="1425"/>
      <c r="I18" s="1426"/>
      <c r="J18" s="1425"/>
      <c r="K18" s="1425"/>
      <c r="L18" s="322"/>
    </row>
    <row r="19" spans="2:12" ht="13.5" customHeight="1" x14ac:dyDescent="0.2">
      <c r="B19" s="1475" t="s">
        <v>1366</v>
      </c>
      <c r="C19" s="1475"/>
      <c r="D19" s="328"/>
      <c r="E19" s="328"/>
      <c r="F19" s="328"/>
      <c r="G19" s="1476"/>
      <c r="H19" s="328"/>
      <c r="I19" s="1476"/>
      <c r="J19" s="322"/>
      <c r="K19" s="322"/>
      <c r="L19" s="322"/>
    </row>
    <row r="20" spans="2:12" ht="35.25" customHeight="1" x14ac:dyDescent="0.2">
      <c r="B20" s="2500" t="s">
        <v>2214</v>
      </c>
      <c r="C20" s="2500"/>
      <c r="D20" s="2501"/>
      <c r="E20" s="2501"/>
      <c r="F20" s="2501"/>
      <c r="G20" s="2501"/>
      <c r="H20" s="2501"/>
      <c r="I20" s="2501"/>
      <c r="J20" s="2501"/>
      <c r="K20" s="2501"/>
      <c r="L20" s="1430"/>
    </row>
    <row r="21" spans="2:12" ht="4.5" customHeight="1" x14ac:dyDescent="0.2">
      <c r="B21" s="1477"/>
      <c r="C21" s="1477"/>
      <c r="D21" s="1478"/>
      <c r="E21" s="1478"/>
      <c r="F21" s="1478"/>
      <c r="G21" s="1426"/>
      <c r="H21" s="1478"/>
      <c r="I21" s="1426"/>
      <c r="J21" s="1478"/>
      <c r="K21" s="1478"/>
      <c r="L21" s="1430"/>
    </row>
    <row r="22" spans="2:12" ht="13.35" customHeight="1" x14ac:dyDescent="0.2">
      <c r="B22" s="1475" t="s">
        <v>1856</v>
      </c>
      <c r="C22" s="1475"/>
      <c r="D22" s="322"/>
      <c r="E22" s="322"/>
      <c r="F22" s="322"/>
      <c r="G22" s="1381"/>
      <c r="H22" s="322"/>
      <c r="I22" s="1381"/>
      <c r="J22" s="322"/>
      <c r="K22" s="322"/>
      <c r="L22" s="322"/>
    </row>
    <row r="23" spans="2:12" ht="37.5" customHeight="1" x14ac:dyDescent="0.2">
      <c r="B23" s="2500" t="s">
        <v>2215</v>
      </c>
      <c r="C23" s="2500"/>
      <c r="D23" s="2501"/>
      <c r="E23" s="2501"/>
      <c r="F23" s="2501"/>
      <c r="G23" s="2501"/>
      <c r="H23" s="2501"/>
      <c r="I23" s="2501"/>
      <c r="J23" s="2501"/>
      <c r="K23" s="2501"/>
      <c r="L23" s="322"/>
    </row>
    <row r="24" spans="2:12" ht="4.5" customHeight="1" x14ac:dyDescent="0.2">
      <c r="B24" s="1477"/>
      <c r="C24" s="1477"/>
      <c r="D24" s="1425"/>
      <c r="E24" s="1425"/>
      <c r="F24" s="1425"/>
      <c r="G24" s="1426"/>
      <c r="H24" s="1425"/>
      <c r="I24" s="1426"/>
      <c r="J24" s="1425"/>
      <c r="K24" s="1425"/>
      <c r="L24" s="322"/>
    </row>
    <row r="25" spans="2:12" ht="13.5" customHeight="1" x14ac:dyDescent="0.2">
      <c r="B25" s="1475" t="s">
        <v>1857</v>
      </c>
      <c r="C25" s="1475"/>
      <c r="D25" s="322"/>
      <c r="E25" s="322"/>
      <c r="F25" s="322"/>
      <c r="G25" s="1381"/>
      <c r="H25" s="322"/>
      <c r="I25" s="1381"/>
      <c r="J25" s="322"/>
      <c r="K25" s="322"/>
      <c r="L25" s="322"/>
    </row>
    <row r="26" spans="2:12" ht="37.5" customHeight="1" x14ac:dyDescent="0.2">
      <c r="B26" s="2500" t="s">
        <v>2216</v>
      </c>
      <c r="C26" s="2500"/>
      <c r="D26" s="2501"/>
      <c r="E26" s="2501"/>
      <c r="F26" s="2501"/>
      <c r="G26" s="2501"/>
      <c r="H26" s="2501"/>
      <c r="I26" s="2501"/>
      <c r="J26" s="2501"/>
      <c r="K26" s="2501"/>
      <c r="L26" s="322"/>
    </row>
    <row r="27" spans="2:12" ht="4.5" customHeight="1" x14ac:dyDescent="0.2">
      <c r="B27" s="1479"/>
      <c r="C27" s="1479"/>
      <c r="D27" s="1479"/>
      <c r="E27" s="1425"/>
      <c r="F27" s="1425"/>
      <c r="G27" s="1426"/>
      <c r="H27" s="1425"/>
      <c r="I27" s="1426"/>
      <c r="J27" s="1425"/>
      <c r="K27" s="1425"/>
      <c r="L27" s="322"/>
    </row>
    <row r="28" spans="2:12" ht="13.5" customHeight="1" x14ac:dyDescent="0.2">
      <c r="B28" s="1475" t="s">
        <v>1858</v>
      </c>
      <c r="C28" s="1475"/>
      <c r="D28" s="322"/>
      <c r="E28" s="322"/>
      <c r="F28" s="322"/>
      <c r="G28" s="1381"/>
      <c r="H28" s="322"/>
      <c r="I28" s="1381"/>
      <c r="J28" s="322"/>
      <c r="K28" s="322"/>
      <c r="L28" s="322"/>
    </row>
    <row r="29" spans="2:12" ht="78" customHeight="1" x14ac:dyDescent="0.2">
      <c r="B29" s="2500" t="s">
        <v>2347</v>
      </c>
      <c r="C29" s="2500"/>
      <c r="D29" s="2501"/>
      <c r="E29" s="2501"/>
      <c r="F29" s="2501"/>
      <c r="G29" s="2501"/>
      <c r="H29" s="2501"/>
      <c r="I29" s="2501"/>
      <c r="J29" s="2501"/>
      <c r="K29" s="2501"/>
      <c r="L29" s="322"/>
    </row>
    <row r="30" spans="2:12" ht="4.5" customHeight="1" x14ac:dyDescent="0.2">
      <c r="B30" s="1477"/>
      <c r="C30" s="1477"/>
      <c r="D30" s="1425"/>
      <c r="E30" s="1425"/>
      <c r="F30" s="1425"/>
      <c r="G30" s="1426"/>
      <c r="H30" s="1425"/>
      <c r="I30" s="1426"/>
      <c r="J30" s="1425"/>
      <c r="K30" s="1425"/>
      <c r="L30" s="322"/>
    </row>
    <row r="31" spans="2:12" ht="13.5" customHeight="1" x14ac:dyDescent="0.2">
      <c r="B31" s="1475" t="s">
        <v>1365</v>
      </c>
      <c r="C31" s="1475"/>
      <c r="D31" s="322"/>
      <c r="E31" s="322"/>
      <c r="F31" s="322"/>
      <c r="G31" s="1381"/>
      <c r="H31" s="322"/>
      <c r="I31" s="1381"/>
      <c r="J31" s="322"/>
      <c r="K31" s="322"/>
      <c r="L31" s="322"/>
    </row>
    <row r="32" spans="2:12" ht="37.5" customHeight="1" x14ac:dyDescent="0.2">
      <c r="B32" s="2500" t="s">
        <v>2221</v>
      </c>
      <c r="C32" s="2500"/>
      <c r="D32" s="2501"/>
      <c r="E32" s="2501"/>
      <c r="F32" s="2501"/>
      <c r="G32" s="2501"/>
      <c r="H32" s="2501"/>
      <c r="I32" s="2501"/>
      <c r="J32" s="2501"/>
      <c r="K32" s="2501"/>
      <c r="L32" s="322"/>
    </row>
    <row r="33" spans="2:12" ht="4.5" customHeight="1" x14ac:dyDescent="0.2">
      <c r="B33" s="1477"/>
      <c r="C33" s="1477"/>
      <c r="D33" s="1425"/>
      <c r="E33" s="1425"/>
      <c r="F33" s="1425"/>
      <c r="G33" s="1426"/>
      <c r="H33" s="1425"/>
      <c r="I33" s="1426"/>
      <c r="J33" s="1425"/>
      <c r="K33" s="1425"/>
      <c r="L33" s="322"/>
    </row>
    <row r="34" spans="2:12" ht="13.5" customHeight="1" x14ac:dyDescent="0.2">
      <c r="B34" s="1382" t="s">
        <v>1364</v>
      </c>
      <c r="C34" s="1382"/>
      <c r="D34" s="322"/>
      <c r="E34" s="322"/>
      <c r="F34" s="322"/>
      <c r="G34" s="1381"/>
      <c r="H34" s="322"/>
      <c r="I34" s="1381"/>
      <c r="J34" s="322"/>
      <c r="K34" s="322"/>
      <c r="L34" s="322"/>
    </row>
    <row r="35" spans="2:12" ht="37.5" customHeight="1" x14ac:dyDescent="0.2">
      <c r="B35" s="2500" t="s">
        <v>2344</v>
      </c>
      <c r="C35" s="2500"/>
      <c r="D35" s="2501"/>
      <c r="E35" s="2501"/>
      <c r="F35" s="2501"/>
      <c r="G35" s="2501"/>
      <c r="H35" s="2501"/>
      <c r="I35" s="2501"/>
      <c r="J35" s="2501"/>
      <c r="K35" s="2501"/>
      <c r="L35" s="322"/>
    </row>
    <row r="36" spans="2:12" ht="4.5" customHeight="1" x14ac:dyDescent="0.2">
      <c r="B36" s="1477"/>
      <c r="C36" s="1477"/>
      <c r="D36" s="1425"/>
      <c r="E36" s="1425"/>
      <c r="F36" s="1425"/>
      <c r="G36" s="1426"/>
      <c r="H36" s="1425"/>
      <c r="I36" s="1426"/>
      <c r="J36" s="1425"/>
      <c r="K36" s="1425"/>
      <c r="L36" s="322"/>
    </row>
    <row r="37" spans="2:12" ht="13.5" customHeight="1" x14ac:dyDescent="0.2">
      <c r="B37" s="1382" t="s">
        <v>1363</v>
      </c>
      <c r="C37" s="1382"/>
      <c r="D37" s="322"/>
      <c r="E37" s="322"/>
      <c r="F37" s="322"/>
      <c r="G37" s="1381"/>
      <c r="H37" s="322"/>
      <c r="I37" s="1381"/>
      <c r="J37" s="322"/>
      <c r="K37" s="322"/>
      <c r="L37" s="322"/>
    </row>
    <row r="38" spans="2:12" ht="35.25" customHeight="1" x14ac:dyDescent="0.2">
      <c r="B38" s="2500" t="s">
        <v>2218</v>
      </c>
      <c r="C38" s="2500"/>
      <c r="D38" s="2501"/>
      <c r="E38" s="2501"/>
      <c r="F38" s="2501"/>
      <c r="G38" s="2501"/>
      <c r="H38" s="2501"/>
      <c r="I38" s="2501"/>
      <c r="J38" s="2501"/>
      <c r="K38" s="2501"/>
      <c r="L38" s="322"/>
    </row>
    <row r="39" spans="2:12" ht="4.5" customHeight="1" x14ac:dyDescent="0.2">
      <c r="B39" s="1400"/>
      <c r="C39" s="1400"/>
      <c r="D39" s="322"/>
      <c r="E39" s="322"/>
      <c r="F39" s="322"/>
      <c r="G39" s="1381"/>
      <c r="H39" s="322"/>
      <c r="I39" s="1381"/>
      <c r="J39" s="322"/>
      <c r="K39" s="322"/>
      <c r="L39" s="322"/>
    </row>
    <row r="40" spans="2:12" s="322" customFormat="1" ht="13.5" customHeight="1" x14ac:dyDescent="0.2">
      <c r="B40" s="1401" t="s">
        <v>1859</v>
      </c>
      <c r="C40" s="1401"/>
      <c r="D40" s="1376"/>
      <c r="E40" s="1377"/>
      <c r="F40" s="1377"/>
      <c r="G40" s="1378"/>
      <c r="H40" s="1377"/>
      <c r="I40" s="1378"/>
      <c r="J40" s="1377"/>
      <c r="K40" s="1377"/>
    </row>
    <row r="41" spans="2:12" s="322" customFormat="1" ht="33.75" customHeight="1" x14ac:dyDescent="0.2">
      <c r="B41" s="2500" t="s">
        <v>2229</v>
      </c>
      <c r="C41" s="2500"/>
      <c r="D41" s="2501"/>
      <c r="E41" s="2501"/>
      <c r="F41" s="2501"/>
      <c r="G41" s="2501"/>
      <c r="H41" s="2501"/>
      <c r="I41" s="2501"/>
      <c r="J41" s="2501"/>
      <c r="K41" s="2501"/>
    </row>
    <row r="42" spans="2:12" s="322" customFormat="1" ht="4.5" customHeight="1" x14ac:dyDescent="0.2">
      <c r="B42" s="1400"/>
      <c r="C42" s="1400"/>
      <c r="G42" s="1381"/>
      <c r="I42" s="1381"/>
    </row>
    <row r="43" spans="2:12" s="322" customFormat="1" ht="13.5" customHeight="1" x14ac:dyDescent="0.2">
      <c r="B43" s="1480" t="s">
        <v>1352</v>
      </c>
      <c r="C43" s="1481"/>
      <c r="D43" s="1402"/>
      <c r="E43" s="1402"/>
      <c r="F43" s="1402"/>
      <c r="G43" s="1403"/>
      <c r="H43" s="1402"/>
      <c r="I43" s="1403"/>
      <c r="J43" s="1402"/>
      <c r="K43" s="1404"/>
      <c r="L43" s="1482"/>
    </row>
    <row r="44" spans="2:12" s="322" customFormat="1" ht="13.5" customHeight="1" x14ac:dyDescent="0.2">
      <c r="B44" s="1405" t="s">
        <v>1351</v>
      </c>
      <c r="C44" s="1406"/>
      <c r="D44" s="1483"/>
      <c r="E44" s="1407"/>
      <c r="F44" s="1411" t="s">
        <v>1350</v>
      </c>
      <c r="G44" s="1409"/>
      <c r="H44" s="1408"/>
      <c r="I44" s="1409"/>
      <c r="J44" s="1484"/>
      <c r="K44" s="1485"/>
      <c r="L44" s="1482"/>
    </row>
    <row r="45" spans="2:12" s="322" customFormat="1" ht="13.5" customHeight="1" x14ac:dyDescent="0.2">
      <c r="B45" s="1405" t="s">
        <v>1349</v>
      </c>
      <c r="C45" s="1406"/>
      <c r="D45" s="1484"/>
      <c r="E45" s="1408"/>
      <c r="F45" s="1411" t="s">
        <v>1348</v>
      </c>
      <c r="G45" s="1409"/>
      <c r="H45" s="1408"/>
      <c r="I45" s="1409"/>
      <c r="J45" s="1484"/>
      <c r="K45" s="1485"/>
      <c r="L45" s="1482"/>
    </row>
    <row r="46" spans="2:12" s="322" customFormat="1" ht="13.5" customHeight="1" x14ac:dyDescent="0.2">
      <c r="B46" s="1412"/>
      <c r="C46" s="1410"/>
      <c r="D46" s="1410"/>
      <c r="E46" s="1410"/>
      <c r="F46" s="1410"/>
      <c r="G46" s="1413"/>
      <c r="H46" s="1410"/>
      <c r="I46" s="1413"/>
      <c r="J46" s="1410"/>
      <c r="K46" s="1414"/>
      <c r="L46" s="1482"/>
    </row>
    <row r="47" spans="2:12" ht="7.5" customHeight="1" x14ac:dyDescent="0.25">
      <c r="B47" s="1486"/>
      <c r="C47" s="1486"/>
      <c r="D47" s="1487"/>
      <c r="E47" s="1487"/>
      <c r="F47" s="1487"/>
      <c r="G47" s="1488"/>
      <c r="H47" s="1487"/>
      <c r="I47" s="1488"/>
      <c r="J47" s="1487"/>
      <c r="K47" s="1487"/>
    </row>
    <row r="48" spans="2:12" ht="13.5" customHeight="1" x14ac:dyDescent="0.2">
      <c r="B48" s="1417" t="s">
        <v>1860</v>
      </c>
      <c r="C48" s="1417"/>
      <c r="D48" s="322"/>
      <c r="E48" s="322"/>
      <c r="F48" s="322"/>
    </row>
    <row r="49" spans="2:3" s="317" customFormat="1" ht="10.5" customHeight="1" x14ac:dyDescent="0.2">
      <c r="B49" s="1418" t="s">
        <v>1861</v>
      </c>
      <c r="C49" s="1418"/>
    </row>
    <row r="50" spans="2:3" s="317" customFormat="1" ht="11.1" customHeight="1" x14ac:dyDescent="0.2">
      <c r="B50" s="1418" t="s">
        <v>1862</v>
      </c>
      <c r="C50" s="1418"/>
    </row>
    <row r="51" spans="2:3" s="317" customFormat="1" ht="11.1" customHeight="1" x14ac:dyDescent="0.2">
      <c r="B51" s="1418" t="s">
        <v>1863</v>
      </c>
      <c r="C51" s="1418"/>
    </row>
    <row r="52" spans="2:3" s="317" customFormat="1" ht="11.1" customHeight="1" x14ac:dyDescent="0.2">
      <c r="B52" s="1418" t="s">
        <v>1864</v>
      </c>
      <c r="C52" s="1418"/>
    </row>
  </sheetData>
  <mergeCells count="18">
    <mergeCell ref="B23:K23"/>
    <mergeCell ref="B1:K1"/>
    <mergeCell ref="B2:K2"/>
    <mergeCell ref="B3:K3"/>
    <mergeCell ref="B4:K4"/>
    <mergeCell ref="B6:K6"/>
    <mergeCell ref="F12:K12"/>
    <mergeCell ref="D14:F14"/>
    <mergeCell ref="I14:K14"/>
    <mergeCell ref="D16:K16"/>
    <mergeCell ref="D17:K17"/>
    <mergeCell ref="B20:K20"/>
    <mergeCell ref="B26:K26"/>
    <mergeCell ref="B29:K29"/>
    <mergeCell ref="B32:K32"/>
    <mergeCell ref="B35:K35"/>
    <mergeCell ref="B41:K41"/>
    <mergeCell ref="B38:K38"/>
  </mergeCells>
  <pageMargins left="0.32" right="0.27" top="0.44" bottom="0.27" header="0.26" footer="0.18"/>
  <pageSetup scale="94" firstPageNumber="42" orientation="portrait" useFirstPageNumber="1" r:id="rId1"/>
  <headerFooter>
    <oddHeader>&amp;L&amp;8Page 44&amp;R&amp;8Page 44</oddHeader>
    <oddFooter>&amp;LSee Notes to Financial Statements</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showGridLines="0" topLeftCell="A7" zoomScale="110" zoomScaleNormal="110" workbookViewId="0">
      <selection activeCell="B23" sqref="B23:K23"/>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5" t="str">
        <f>'Single Audit Cover'!A7</f>
        <v>Jersey CUSD 100</v>
      </c>
      <c r="C1" s="2505"/>
      <c r="D1" s="2505"/>
      <c r="E1" s="2505"/>
      <c r="F1" s="2505"/>
      <c r="G1" s="2505"/>
      <c r="H1" s="2505"/>
      <c r="I1" s="2505"/>
      <c r="J1" s="2505"/>
      <c r="K1" s="2505"/>
      <c r="L1" s="1463"/>
    </row>
    <row r="2" spans="1:12" ht="12.75" customHeight="1" x14ac:dyDescent="0.2">
      <c r="B2" s="2506">
        <f>'Single Audit Cover'!E7</f>
        <v>40042100026</v>
      </c>
      <c r="C2" s="2506"/>
      <c r="D2" s="2506"/>
      <c r="E2" s="2506"/>
      <c r="F2" s="2506"/>
      <c r="G2" s="2506"/>
      <c r="H2" s="2506"/>
      <c r="I2" s="2506"/>
      <c r="J2" s="2506"/>
      <c r="K2" s="2506"/>
      <c r="L2" s="1464"/>
    </row>
    <row r="3" spans="1:12" ht="12.75" customHeight="1" x14ac:dyDescent="0.2">
      <c r="B3" s="2502" t="s">
        <v>1346</v>
      </c>
      <c r="C3" s="2502"/>
      <c r="D3" s="2502"/>
      <c r="E3" s="2502"/>
      <c r="F3" s="2502"/>
      <c r="G3" s="2502"/>
      <c r="H3" s="2502"/>
      <c r="I3" s="2502"/>
      <c r="J3" s="2502"/>
      <c r="K3" s="2502"/>
      <c r="L3" s="1944"/>
    </row>
    <row r="4" spans="1:12" ht="12.75" customHeight="1" x14ac:dyDescent="0.2">
      <c r="B4" s="2502" t="str">
        <f>'Single Audit Cover'!A4</f>
        <v>Year Ending June 30, 2018</v>
      </c>
      <c r="C4" s="2502"/>
      <c r="D4" s="2502"/>
      <c r="E4" s="2502"/>
      <c r="F4" s="2502"/>
      <c r="G4" s="2502"/>
      <c r="H4" s="2502"/>
      <c r="I4" s="2502"/>
      <c r="J4" s="2502"/>
      <c r="K4" s="2502"/>
      <c r="L4" s="1944"/>
    </row>
    <row r="5" spans="1:12" ht="5.25" customHeight="1" x14ac:dyDescent="0.2">
      <c r="B5" s="1259" t="s">
        <v>1230</v>
      </c>
      <c r="C5" s="1259"/>
      <c r="L5" s="322"/>
    </row>
    <row r="6" spans="1:12" ht="30.75" customHeight="1" x14ac:dyDescent="0.2">
      <c r="A6" s="322"/>
      <c r="B6" s="2507" t="s">
        <v>1374</v>
      </c>
      <c r="C6" s="2507"/>
      <c r="D6" s="2507"/>
      <c r="E6" s="2507"/>
      <c r="F6" s="2507"/>
      <c r="G6" s="2507"/>
      <c r="H6" s="2507"/>
      <c r="I6" s="2507"/>
      <c r="J6" s="2507"/>
      <c r="K6" s="2507"/>
      <c r="L6" s="322"/>
    </row>
    <row r="7" spans="1:12" ht="4.5" customHeight="1" x14ac:dyDescent="0.2">
      <c r="B7" s="1377"/>
      <c r="C7" s="1377"/>
      <c r="D7" s="1377"/>
      <c r="E7" s="1377"/>
      <c r="F7" s="1377"/>
      <c r="G7" s="1378"/>
      <c r="H7" s="1377"/>
      <c r="I7" s="1378"/>
      <c r="J7" s="1377"/>
      <c r="K7" s="1377"/>
      <c r="L7" s="322"/>
    </row>
    <row r="8" spans="1:12" ht="13.5" customHeight="1" x14ac:dyDescent="0.2">
      <c r="B8" s="1385" t="s">
        <v>1855</v>
      </c>
      <c r="C8" s="1465" t="s">
        <v>1949</v>
      </c>
      <c r="D8" s="1466">
        <v>8</v>
      </c>
      <c r="E8" s="322"/>
      <c r="F8" s="1382" t="s">
        <v>1361</v>
      </c>
      <c r="G8" s="1467" t="s">
        <v>2076</v>
      </c>
      <c r="H8" s="1468" t="s">
        <v>1373</v>
      </c>
      <c r="I8" s="1467"/>
      <c r="J8" s="1469" t="s">
        <v>1372</v>
      </c>
      <c r="L8" s="322"/>
    </row>
    <row r="9" spans="1:12" ht="13.5" customHeight="1" x14ac:dyDescent="0.2">
      <c r="D9" s="322"/>
      <c r="E9" s="322"/>
      <c r="F9" s="322"/>
      <c r="G9" s="1381"/>
      <c r="H9" s="322"/>
      <c r="I9" s="1470" t="s">
        <v>1358</v>
      </c>
      <c r="J9" s="322"/>
      <c r="K9" s="1471"/>
      <c r="L9" s="322"/>
    </row>
    <row r="10" spans="1:12" ht="4.5" customHeight="1" x14ac:dyDescent="0.2">
      <c r="B10" s="1472"/>
      <c r="C10" s="1472"/>
      <c r="D10" s="1425"/>
      <c r="E10" s="1425"/>
      <c r="F10" s="1425"/>
      <c r="G10" s="1426"/>
      <c r="H10" s="1425"/>
      <c r="I10" s="1426"/>
      <c r="J10" s="1425"/>
      <c r="K10" s="1425"/>
      <c r="L10" s="322"/>
    </row>
    <row r="11" spans="1:12" ht="5.25" customHeight="1" x14ac:dyDescent="0.2">
      <c r="B11" s="322"/>
      <c r="C11" s="322"/>
      <c r="D11" s="304"/>
      <c r="E11" s="322"/>
      <c r="F11" s="322"/>
      <c r="G11" s="1381"/>
      <c r="H11" s="322"/>
      <c r="I11" s="1381"/>
      <c r="J11" s="322"/>
      <c r="K11" s="1430"/>
      <c r="L11" s="322"/>
    </row>
    <row r="12" spans="1:12" ht="13.5" customHeight="1" x14ac:dyDescent="0.2">
      <c r="B12" s="1382" t="s">
        <v>1371</v>
      </c>
      <c r="C12" s="1382"/>
      <c r="D12" s="304"/>
      <c r="E12" s="322"/>
      <c r="F12" s="2493" t="s">
        <v>781</v>
      </c>
      <c r="G12" s="2493"/>
      <c r="H12" s="2493"/>
      <c r="I12" s="2493"/>
      <c r="J12" s="2493"/>
      <c r="K12" s="2493"/>
      <c r="L12" s="322"/>
    </row>
    <row r="13" spans="1:12" ht="9.6" customHeight="1" x14ac:dyDescent="0.2">
      <c r="B13" s="1256"/>
      <c r="C13" s="1256"/>
      <c r="D13" s="304"/>
      <c r="E13" s="322"/>
      <c r="F13" s="322"/>
      <c r="G13" s="1381"/>
      <c r="H13" s="322"/>
      <c r="I13" s="1381"/>
      <c r="J13" s="322"/>
      <c r="K13" s="1430"/>
      <c r="L13" s="322"/>
    </row>
    <row r="14" spans="1:12" ht="13.5" customHeight="1" x14ac:dyDescent="0.2">
      <c r="B14" s="1385" t="s">
        <v>1370</v>
      </c>
      <c r="C14" s="1385"/>
      <c r="D14" s="2508" t="s">
        <v>2122</v>
      </c>
      <c r="E14" s="2508"/>
      <c r="F14" s="2508"/>
      <c r="H14" s="1473" t="s">
        <v>1369</v>
      </c>
      <c r="I14" s="2509" t="s">
        <v>2223</v>
      </c>
      <c r="J14" s="2510"/>
      <c r="K14" s="2510"/>
      <c r="L14" s="322"/>
    </row>
    <row r="15" spans="1:12" ht="9.4" customHeight="1" x14ac:dyDescent="0.2">
      <c r="B15" s="1385"/>
      <c r="C15" s="1385"/>
      <c r="D15" s="1371"/>
      <c r="E15" s="1259"/>
      <c r="F15" s="1259"/>
      <c r="G15" s="1285"/>
      <c r="H15" s="1259"/>
      <c r="I15" s="1474"/>
      <c r="J15" s="1292"/>
      <c r="K15" s="1289"/>
      <c r="L15" s="322"/>
    </row>
    <row r="16" spans="1:12" ht="13.5" customHeight="1" x14ac:dyDescent="0.2">
      <c r="B16" s="1385" t="s">
        <v>1368</v>
      </c>
      <c r="C16" s="1385"/>
      <c r="D16" s="2510" t="s">
        <v>424</v>
      </c>
      <c r="E16" s="2510"/>
      <c r="F16" s="2510"/>
      <c r="G16" s="2510"/>
      <c r="H16" s="2510"/>
      <c r="I16" s="2510"/>
      <c r="J16" s="2510"/>
      <c r="K16" s="2510"/>
      <c r="L16" s="322"/>
    </row>
    <row r="17" spans="2:12" ht="13.5" customHeight="1" x14ac:dyDescent="0.2">
      <c r="B17" s="1385" t="s">
        <v>1367</v>
      </c>
      <c r="C17" s="1385"/>
      <c r="D17" s="2511" t="s">
        <v>2220</v>
      </c>
      <c r="E17" s="2511"/>
      <c r="F17" s="2511"/>
      <c r="G17" s="2511"/>
      <c r="H17" s="2511"/>
      <c r="I17" s="2511"/>
      <c r="J17" s="2511"/>
      <c r="K17" s="2511"/>
      <c r="L17" s="322"/>
    </row>
    <row r="18" spans="2:12" ht="9.4" customHeight="1" x14ac:dyDescent="0.2">
      <c r="B18" s="1425"/>
      <c r="C18" s="1425"/>
      <c r="D18" s="1425"/>
      <c r="E18" s="1425"/>
      <c r="F18" s="1425"/>
      <c r="G18" s="1426"/>
      <c r="H18" s="1425"/>
      <c r="I18" s="1426"/>
      <c r="J18" s="1425"/>
      <c r="K18" s="1425"/>
      <c r="L18" s="322"/>
    </row>
    <row r="19" spans="2:12" ht="13.5" customHeight="1" x14ac:dyDescent="0.2">
      <c r="B19" s="1475" t="s">
        <v>1366</v>
      </c>
      <c r="C19" s="1475"/>
      <c r="D19" s="328"/>
      <c r="E19" s="328"/>
      <c r="F19" s="328"/>
      <c r="G19" s="1476"/>
      <c r="H19" s="328"/>
      <c r="I19" s="1476"/>
      <c r="J19" s="322"/>
      <c r="K19" s="322"/>
      <c r="L19" s="322"/>
    </row>
    <row r="20" spans="2:12" ht="35.25" customHeight="1" x14ac:dyDescent="0.2">
      <c r="B20" s="2500" t="s">
        <v>2214</v>
      </c>
      <c r="C20" s="2500"/>
      <c r="D20" s="2501"/>
      <c r="E20" s="2501"/>
      <c r="F20" s="2501"/>
      <c r="G20" s="2501"/>
      <c r="H20" s="2501"/>
      <c r="I20" s="2501"/>
      <c r="J20" s="2501"/>
      <c r="K20" s="2501"/>
      <c r="L20" s="1430"/>
    </row>
    <row r="21" spans="2:12" ht="4.5" customHeight="1" x14ac:dyDescent="0.2">
      <c r="B21" s="1477"/>
      <c r="C21" s="1477"/>
      <c r="D21" s="1478"/>
      <c r="E21" s="1478"/>
      <c r="F21" s="1478"/>
      <c r="G21" s="1426"/>
      <c r="H21" s="1478"/>
      <c r="I21" s="1426"/>
      <c r="J21" s="1478"/>
      <c r="K21" s="1478"/>
      <c r="L21" s="1430"/>
    </row>
    <row r="22" spans="2:12" ht="13.35" customHeight="1" x14ac:dyDescent="0.2">
      <c r="B22" s="1475" t="s">
        <v>1856</v>
      </c>
      <c r="C22" s="1475"/>
      <c r="D22" s="322"/>
      <c r="E22" s="322"/>
      <c r="F22" s="322"/>
      <c r="G22" s="1381"/>
      <c r="H22" s="322"/>
      <c r="I22" s="1381"/>
      <c r="J22" s="322"/>
      <c r="K22" s="322"/>
      <c r="L22" s="322"/>
    </row>
    <row r="23" spans="2:12" ht="37.5" customHeight="1" x14ac:dyDescent="0.2">
      <c r="B23" s="2500" t="s">
        <v>2215</v>
      </c>
      <c r="C23" s="2500"/>
      <c r="D23" s="2501"/>
      <c r="E23" s="2501"/>
      <c r="F23" s="2501"/>
      <c r="G23" s="2501"/>
      <c r="H23" s="2501"/>
      <c r="I23" s="2501"/>
      <c r="J23" s="2501"/>
      <c r="K23" s="2501"/>
      <c r="L23" s="322"/>
    </row>
    <row r="24" spans="2:12" ht="4.5" customHeight="1" x14ac:dyDescent="0.2">
      <c r="B24" s="1477"/>
      <c r="C24" s="1477"/>
      <c r="D24" s="1425"/>
      <c r="E24" s="1425"/>
      <c r="F24" s="1425"/>
      <c r="G24" s="1426"/>
      <c r="H24" s="1425"/>
      <c r="I24" s="1426"/>
      <c r="J24" s="1425"/>
      <c r="K24" s="1425"/>
      <c r="L24" s="322"/>
    </row>
    <row r="25" spans="2:12" ht="13.5" customHeight="1" x14ac:dyDescent="0.2">
      <c r="B25" s="1475" t="s">
        <v>1857</v>
      </c>
      <c r="C25" s="1475"/>
      <c r="D25" s="322"/>
      <c r="E25" s="322"/>
      <c r="F25" s="322"/>
      <c r="G25" s="1381"/>
      <c r="H25" s="322"/>
      <c r="I25" s="1381"/>
      <c r="J25" s="322"/>
      <c r="K25" s="322"/>
      <c r="L25" s="322"/>
    </row>
    <row r="26" spans="2:12" ht="37.5" customHeight="1" x14ac:dyDescent="0.2">
      <c r="B26" s="2500" t="s">
        <v>2216</v>
      </c>
      <c r="C26" s="2500"/>
      <c r="D26" s="2501"/>
      <c r="E26" s="2501"/>
      <c r="F26" s="2501"/>
      <c r="G26" s="2501"/>
      <c r="H26" s="2501"/>
      <c r="I26" s="2501"/>
      <c r="J26" s="2501"/>
      <c r="K26" s="2501"/>
      <c r="L26" s="322"/>
    </row>
    <row r="27" spans="2:12" ht="4.5" customHeight="1" x14ac:dyDescent="0.2">
      <c r="B27" s="1479"/>
      <c r="C27" s="1479"/>
      <c r="D27" s="1479"/>
      <c r="E27" s="1425"/>
      <c r="F27" s="1425"/>
      <c r="G27" s="1426"/>
      <c r="H27" s="1425"/>
      <c r="I27" s="1426"/>
      <c r="J27" s="1425"/>
      <c r="K27" s="1425"/>
      <c r="L27" s="322"/>
    </row>
    <row r="28" spans="2:12" ht="13.5" customHeight="1" x14ac:dyDescent="0.2">
      <c r="B28" s="1475" t="s">
        <v>1858</v>
      </c>
      <c r="C28" s="1475"/>
      <c r="D28" s="322"/>
      <c r="E28" s="322"/>
      <c r="F28" s="322"/>
      <c r="G28" s="1381"/>
      <c r="H28" s="322"/>
      <c r="I28" s="1381"/>
      <c r="J28" s="322"/>
      <c r="K28" s="322"/>
      <c r="L28" s="322"/>
    </row>
    <row r="29" spans="2:12" ht="66" customHeight="1" x14ac:dyDescent="0.2">
      <c r="B29" s="2500" t="s">
        <v>2350</v>
      </c>
      <c r="C29" s="2500"/>
      <c r="D29" s="2501"/>
      <c r="E29" s="2501"/>
      <c r="F29" s="2501"/>
      <c r="G29" s="2501"/>
      <c r="H29" s="2501"/>
      <c r="I29" s="2501"/>
      <c r="J29" s="2501"/>
      <c r="K29" s="2501"/>
      <c r="L29" s="322"/>
    </row>
    <row r="30" spans="2:12" ht="4.5" customHeight="1" x14ac:dyDescent="0.2">
      <c r="B30" s="1477"/>
      <c r="C30" s="1477"/>
      <c r="D30" s="1425"/>
      <c r="E30" s="1425"/>
      <c r="F30" s="1425"/>
      <c r="G30" s="1426"/>
      <c r="H30" s="1425"/>
      <c r="I30" s="1426"/>
      <c r="J30" s="1425"/>
      <c r="K30" s="1425"/>
      <c r="L30" s="322"/>
    </row>
    <row r="31" spans="2:12" ht="13.5" customHeight="1" x14ac:dyDescent="0.2">
      <c r="B31" s="1475" t="s">
        <v>1365</v>
      </c>
      <c r="C31" s="1475"/>
      <c r="D31" s="322"/>
      <c r="E31" s="322"/>
      <c r="F31" s="322"/>
      <c r="G31" s="1381"/>
      <c r="H31" s="322"/>
      <c r="I31" s="1381"/>
      <c r="J31" s="322"/>
      <c r="K31" s="322"/>
      <c r="L31" s="322"/>
    </row>
    <row r="32" spans="2:12" ht="37.5" customHeight="1" x14ac:dyDescent="0.2">
      <c r="B32" s="2500" t="s">
        <v>2221</v>
      </c>
      <c r="C32" s="2500"/>
      <c r="D32" s="2501"/>
      <c r="E32" s="2501"/>
      <c r="F32" s="2501"/>
      <c r="G32" s="2501"/>
      <c r="H32" s="2501"/>
      <c r="I32" s="2501"/>
      <c r="J32" s="2501"/>
      <c r="K32" s="2501"/>
      <c r="L32" s="322"/>
    </row>
    <row r="33" spans="2:12" ht="4.5" customHeight="1" x14ac:dyDescent="0.2">
      <c r="B33" s="1477"/>
      <c r="C33" s="1477"/>
      <c r="D33" s="1425"/>
      <c r="E33" s="1425"/>
      <c r="F33" s="1425"/>
      <c r="G33" s="1426"/>
      <c r="H33" s="1425"/>
      <c r="I33" s="1426"/>
      <c r="J33" s="1425"/>
      <c r="K33" s="1425"/>
      <c r="L33" s="322"/>
    </row>
    <row r="34" spans="2:12" ht="13.5" customHeight="1" x14ac:dyDescent="0.2">
      <c r="B34" s="1382" t="s">
        <v>1364</v>
      </c>
      <c r="C34" s="1382"/>
      <c r="D34" s="322"/>
      <c r="E34" s="322"/>
      <c r="F34" s="322"/>
      <c r="G34" s="1381"/>
      <c r="H34" s="322"/>
      <c r="I34" s="1381"/>
      <c r="J34" s="322"/>
      <c r="K34" s="322"/>
      <c r="L34" s="322"/>
    </row>
    <row r="35" spans="2:12" ht="37.5" customHeight="1" x14ac:dyDescent="0.2">
      <c r="B35" s="2500" t="s">
        <v>2279</v>
      </c>
      <c r="C35" s="2500"/>
      <c r="D35" s="2501"/>
      <c r="E35" s="2501"/>
      <c r="F35" s="2501"/>
      <c r="G35" s="2501"/>
      <c r="H35" s="2501"/>
      <c r="I35" s="2501"/>
      <c r="J35" s="2501"/>
      <c r="K35" s="2501"/>
      <c r="L35" s="322"/>
    </row>
    <row r="36" spans="2:12" ht="4.5" customHeight="1" x14ac:dyDescent="0.2">
      <c r="B36" s="1477"/>
      <c r="C36" s="1477"/>
      <c r="D36" s="1425"/>
      <c r="E36" s="1425"/>
      <c r="F36" s="1425"/>
      <c r="G36" s="1426"/>
      <c r="H36" s="1425"/>
      <c r="I36" s="1426"/>
      <c r="J36" s="1425"/>
      <c r="K36" s="1425"/>
      <c r="L36" s="322"/>
    </row>
    <row r="37" spans="2:12" ht="13.5" customHeight="1" x14ac:dyDescent="0.2">
      <c r="B37" s="1382" t="s">
        <v>1363</v>
      </c>
      <c r="C37" s="1382"/>
      <c r="D37" s="322"/>
      <c r="E37" s="322"/>
      <c r="F37" s="322"/>
      <c r="G37" s="1381"/>
      <c r="H37" s="322"/>
      <c r="I37" s="1381"/>
      <c r="J37" s="322"/>
      <c r="K37" s="322"/>
      <c r="L37" s="322"/>
    </row>
    <row r="38" spans="2:12" ht="35.25" customHeight="1" x14ac:dyDescent="0.2">
      <c r="B38" s="2500" t="s">
        <v>2218</v>
      </c>
      <c r="C38" s="2500"/>
      <c r="D38" s="2501"/>
      <c r="E38" s="2501"/>
      <c r="F38" s="2501"/>
      <c r="G38" s="2501"/>
      <c r="H38" s="2501"/>
      <c r="I38" s="2501"/>
      <c r="J38" s="2501"/>
      <c r="K38" s="2501"/>
      <c r="L38" s="322"/>
    </row>
    <row r="39" spans="2:12" ht="4.5" customHeight="1" x14ac:dyDescent="0.2">
      <c r="B39" s="1400"/>
      <c r="C39" s="1400"/>
      <c r="D39" s="322"/>
      <c r="E39" s="322"/>
      <c r="F39" s="322"/>
      <c r="G39" s="1381"/>
      <c r="H39" s="322"/>
      <c r="I39" s="1381"/>
      <c r="J39" s="322"/>
      <c r="K39" s="322"/>
      <c r="L39" s="322"/>
    </row>
    <row r="40" spans="2:12" s="322" customFormat="1" ht="13.5" customHeight="1" x14ac:dyDescent="0.2">
      <c r="B40" s="1401" t="s">
        <v>1859</v>
      </c>
      <c r="C40" s="1401"/>
      <c r="D40" s="1376"/>
      <c r="E40" s="1377"/>
      <c r="F40" s="1377"/>
      <c r="G40" s="1378"/>
      <c r="H40" s="1377"/>
      <c r="I40" s="1378"/>
      <c r="J40" s="1377"/>
      <c r="K40" s="1377"/>
    </row>
    <row r="41" spans="2:12" s="322" customFormat="1" ht="33.75" customHeight="1" x14ac:dyDescent="0.2">
      <c r="B41" s="2500" t="s">
        <v>2229</v>
      </c>
      <c r="C41" s="2500"/>
      <c r="D41" s="2501"/>
      <c r="E41" s="2501"/>
      <c r="F41" s="2501"/>
      <c r="G41" s="2501"/>
      <c r="H41" s="2501"/>
      <c r="I41" s="2501"/>
      <c r="J41" s="2501"/>
      <c r="K41" s="2501"/>
    </row>
    <row r="42" spans="2:12" s="322" customFormat="1" ht="4.5" customHeight="1" x14ac:dyDescent="0.2">
      <c r="B42" s="1400"/>
      <c r="C42" s="1400"/>
      <c r="G42" s="1381"/>
      <c r="I42" s="1381"/>
    </row>
    <row r="43" spans="2:12" s="322" customFormat="1" ht="13.5" customHeight="1" x14ac:dyDescent="0.2">
      <c r="B43" s="1480" t="s">
        <v>1352</v>
      </c>
      <c r="C43" s="1481"/>
      <c r="D43" s="1402"/>
      <c r="E43" s="1402"/>
      <c r="F43" s="1402"/>
      <c r="G43" s="1403"/>
      <c r="H43" s="1402"/>
      <c r="I43" s="1403"/>
      <c r="J43" s="1402"/>
      <c r="K43" s="1404"/>
      <c r="L43" s="1482"/>
    </row>
    <row r="44" spans="2:12" s="322" customFormat="1" ht="13.5" customHeight="1" x14ac:dyDescent="0.2">
      <c r="B44" s="1405" t="s">
        <v>1351</v>
      </c>
      <c r="C44" s="1406"/>
      <c r="D44" s="1483"/>
      <c r="E44" s="1407"/>
      <c r="F44" s="1411" t="s">
        <v>1350</v>
      </c>
      <c r="G44" s="1409"/>
      <c r="H44" s="1408"/>
      <c r="I44" s="1409"/>
      <c r="J44" s="1484"/>
      <c r="K44" s="1485"/>
      <c r="L44" s="1482"/>
    </row>
    <row r="45" spans="2:12" s="322" customFormat="1" ht="13.5" customHeight="1" x14ac:dyDescent="0.2">
      <c r="B45" s="1405" t="s">
        <v>1349</v>
      </c>
      <c r="C45" s="1406"/>
      <c r="D45" s="1484"/>
      <c r="E45" s="1408"/>
      <c r="F45" s="1411" t="s">
        <v>1348</v>
      </c>
      <c r="G45" s="1409"/>
      <c r="H45" s="1408"/>
      <c r="I45" s="1409"/>
      <c r="J45" s="1484"/>
      <c r="K45" s="1485"/>
      <c r="L45" s="1482"/>
    </row>
    <row r="46" spans="2:12" s="322" customFormat="1" ht="13.5" customHeight="1" x14ac:dyDescent="0.2">
      <c r="B46" s="1412"/>
      <c r="C46" s="1410"/>
      <c r="D46" s="1410"/>
      <c r="E46" s="1410"/>
      <c r="F46" s="1410"/>
      <c r="G46" s="1413"/>
      <c r="H46" s="1410"/>
      <c r="I46" s="1413"/>
      <c r="J46" s="1410"/>
      <c r="K46" s="1414"/>
      <c r="L46" s="1482"/>
    </row>
    <row r="47" spans="2:12" ht="7.5" customHeight="1" x14ac:dyDescent="0.25">
      <c r="B47" s="1486"/>
      <c r="C47" s="1486"/>
      <c r="D47" s="1487"/>
      <c r="E47" s="1487"/>
      <c r="F47" s="1487"/>
      <c r="G47" s="1488"/>
      <c r="H47" s="1487"/>
      <c r="I47" s="1488"/>
      <c r="J47" s="1487"/>
      <c r="K47" s="1487"/>
    </row>
    <row r="48" spans="2:12" ht="13.5" customHeight="1" x14ac:dyDescent="0.2">
      <c r="B48" s="1417" t="s">
        <v>1860</v>
      </c>
      <c r="C48" s="1417"/>
      <c r="D48" s="322"/>
      <c r="E48" s="322"/>
      <c r="F48" s="322"/>
    </row>
    <row r="49" spans="2:3" s="317" customFormat="1" ht="10.5" customHeight="1" x14ac:dyDescent="0.2">
      <c r="B49" s="1418" t="s">
        <v>1861</v>
      </c>
      <c r="C49" s="1418"/>
    </row>
    <row r="50" spans="2:3" s="317" customFormat="1" ht="11.1" customHeight="1" x14ac:dyDescent="0.2">
      <c r="B50" s="1418" t="s">
        <v>1862</v>
      </c>
      <c r="C50" s="1418"/>
    </row>
    <row r="51" spans="2:3" s="317" customFormat="1" ht="11.1" customHeight="1" x14ac:dyDescent="0.2">
      <c r="B51" s="1418" t="s">
        <v>1863</v>
      </c>
      <c r="C51" s="1418"/>
    </row>
    <row r="52" spans="2:3" s="317" customFormat="1" ht="11.1" customHeight="1" x14ac:dyDescent="0.2">
      <c r="B52" s="1418" t="s">
        <v>1864</v>
      </c>
      <c r="C52" s="1418"/>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scale="96" firstPageNumber="42" orientation="portrait" useFirstPageNumber="1" r:id="rId1"/>
  <headerFooter>
    <oddHeader>&amp;L&amp;8Page 44&amp;R&amp;8Page 44</oddHeader>
    <oddFooter>&amp;LSee Notes to Financial Statements</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showGridLines="0" zoomScale="110" zoomScaleNormal="110" workbookViewId="0">
      <selection activeCell="K36" sqref="K36"/>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5" t="str">
        <f>'Single Audit Cover'!A7</f>
        <v>Jersey CUSD 100</v>
      </c>
      <c r="C1" s="2505"/>
      <c r="D1" s="2505"/>
      <c r="E1" s="2505"/>
      <c r="F1" s="2505"/>
      <c r="G1" s="2505"/>
      <c r="H1" s="2505"/>
      <c r="I1" s="2505"/>
      <c r="J1" s="2505"/>
      <c r="K1" s="2505"/>
      <c r="L1" s="1463"/>
    </row>
    <row r="2" spans="1:12" ht="12.75" customHeight="1" x14ac:dyDescent="0.2">
      <c r="B2" s="2506">
        <f>'Single Audit Cover'!E7</f>
        <v>40042100026</v>
      </c>
      <c r="C2" s="2506"/>
      <c r="D2" s="2506"/>
      <c r="E2" s="2506"/>
      <c r="F2" s="2506"/>
      <c r="G2" s="2506"/>
      <c r="H2" s="2506"/>
      <c r="I2" s="2506"/>
      <c r="J2" s="2506"/>
      <c r="K2" s="2506"/>
      <c r="L2" s="1464"/>
    </row>
    <row r="3" spans="1:12" ht="12.75" customHeight="1" x14ac:dyDescent="0.2">
      <c r="B3" s="2502" t="s">
        <v>1346</v>
      </c>
      <c r="C3" s="2502"/>
      <c r="D3" s="2502"/>
      <c r="E3" s="2502"/>
      <c r="F3" s="2502"/>
      <c r="G3" s="2502"/>
      <c r="H3" s="2502"/>
      <c r="I3" s="2502"/>
      <c r="J3" s="2502"/>
      <c r="K3" s="2502"/>
      <c r="L3" s="1944"/>
    </row>
    <row r="4" spans="1:12" ht="12.75" customHeight="1" x14ac:dyDescent="0.2">
      <c r="B4" s="2502" t="str">
        <f>'Single Audit Cover'!A4</f>
        <v>Year Ending June 30, 2018</v>
      </c>
      <c r="C4" s="2502"/>
      <c r="D4" s="2502"/>
      <c r="E4" s="2502"/>
      <c r="F4" s="2502"/>
      <c r="G4" s="2502"/>
      <c r="H4" s="2502"/>
      <c r="I4" s="2502"/>
      <c r="J4" s="2502"/>
      <c r="K4" s="2502"/>
      <c r="L4" s="1944"/>
    </row>
    <row r="5" spans="1:12" ht="5.25" customHeight="1" x14ac:dyDescent="0.2">
      <c r="B5" s="1259" t="s">
        <v>1230</v>
      </c>
      <c r="C5" s="1259"/>
      <c r="L5" s="322"/>
    </row>
    <row r="6" spans="1:12" ht="30.75" customHeight="1" x14ac:dyDescent="0.2">
      <c r="A6" s="322"/>
      <c r="B6" s="2507" t="s">
        <v>1374</v>
      </c>
      <c r="C6" s="2507"/>
      <c r="D6" s="2507"/>
      <c r="E6" s="2507"/>
      <c r="F6" s="2507"/>
      <c r="G6" s="2507"/>
      <c r="H6" s="2507"/>
      <c r="I6" s="2507"/>
      <c r="J6" s="2507"/>
      <c r="K6" s="2507"/>
      <c r="L6" s="322"/>
    </row>
    <row r="7" spans="1:12" ht="4.5" customHeight="1" x14ac:dyDescent="0.2">
      <c r="B7" s="1377"/>
      <c r="C7" s="1377"/>
      <c r="D7" s="1377"/>
      <c r="E7" s="1377"/>
      <c r="F7" s="1377"/>
      <c r="G7" s="1378"/>
      <c r="H7" s="1377"/>
      <c r="I7" s="1378"/>
      <c r="J7" s="1377"/>
      <c r="K7" s="1377"/>
      <c r="L7" s="322"/>
    </row>
    <row r="8" spans="1:12" ht="13.5" customHeight="1" x14ac:dyDescent="0.2">
      <c r="B8" s="1385" t="s">
        <v>1855</v>
      </c>
      <c r="C8" s="1465" t="s">
        <v>1949</v>
      </c>
      <c r="D8" s="1466">
        <v>9</v>
      </c>
      <c r="E8" s="322"/>
      <c r="F8" s="1382" t="s">
        <v>1361</v>
      </c>
      <c r="G8" s="1467"/>
      <c r="H8" s="1468" t="s">
        <v>1373</v>
      </c>
      <c r="I8" s="1467"/>
      <c r="J8" s="1469" t="s">
        <v>1372</v>
      </c>
      <c r="L8" s="322"/>
    </row>
    <row r="9" spans="1:12" ht="13.5" customHeight="1" x14ac:dyDescent="0.2">
      <c r="D9" s="322"/>
      <c r="E9" s="322"/>
      <c r="F9" s="322"/>
      <c r="G9" s="1381"/>
      <c r="H9" s="322"/>
      <c r="I9" s="1470" t="s">
        <v>1358</v>
      </c>
      <c r="J9" s="322"/>
      <c r="K9" s="1471"/>
      <c r="L9" s="322"/>
    </row>
    <row r="10" spans="1:12" ht="4.5" customHeight="1" x14ac:dyDescent="0.2">
      <c r="B10" s="1472"/>
      <c r="C10" s="1472"/>
      <c r="D10" s="1425"/>
      <c r="E10" s="1425"/>
      <c r="F10" s="1425"/>
      <c r="G10" s="1426"/>
      <c r="H10" s="1425"/>
      <c r="I10" s="1426"/>
      <c r="J10" s="1425"/>
      <c r="K10" s="1425"/>
      <c r="L10" s="322"/>
    </row>
    <row r="11" spans="1:12" ht="5.25" customHeight="1" x14ac:dyDescent="0.2">
      <c r="B11" s="322"/>
      <c r="C11" s="322"/>
      <c r="D11" s="304"/>
      <c r="E11" s="322"/>
      <c r="F11" s="322"/>
      <c r="G11" s="1381"/>
      <c r="H11" s="322"/>
      <c r="I11" s="1381"/>
      <c r="J11" s="322"/>
      <c r="K11" s="1430"/>
      <c r="L11" s="322"/>
    </row>
    <row r="12" spans="1:12" ht="13.5" customHeight="1" x14ac:dyDescent="0.2">
      <c r="B12" s="1382" t="s">
        <v>1371</v>
      </c>
      <c r="C12" s="1382"/>
      <c r="D12" s="304"/>
      <c r="E12" s="322"/>
      <c r="F12" s="2493" t="s">
        <v>2224</v>
      </c>
      <c r="G12" s="2493"/>
      <c r="H12" s="2493"/>
      <c r="I12" s="2493"/>
      <c r="J12" s="2493"/>
      <c r="K12" s="2493"/>
      <c r="L12" s="322"/>
    </row>
    <row r="13" spans="1:12" ht="9.6" customHeight="1" x14ac:dyDescent="0.2">
      <c r="B13" s="1256"/>
      <c r="C13" s="1256"/>
      <c r="D13" s="304"/>
      <c r="E13" s="322"/>
      <c r="F13" s="322"/>
      <c r="G13" s="1381"/>
      <c r="H13" s="322"/>
      <c r="I13" s="1381"/>
      <c r="J13" s="322"/>
      <c r="K13" s="1430"/>
      <c r="L13" s="322"/>
    </row>
    <row r="14" spans="1:12" ht="13.5" customHeight="1" x14ac:dyDescent="0.2">
      <c r="B14" s="1385" t="s">
        <v>1370</v>
      </c>
      <c r="C14" s="1385"/>
      <c r="D14" s="2508" t="s">
        <v>2167</v>
      </c>
      <c r="E14" s="2508"/>
      <c r="F14" s="2508"/>
      <c r="H14" s="1473" t="s">
        <v>1369</v>
      </c>
      <c r="I14" s="2510">
        <v>10.555</v>
      </c>
      <c r="J14" s="2510"/>
      <c r="K14" s="2510"/>
      <c r="L14" s="322"/>
    </row>
    <row r="15" spans="1:12" ht="9.4" customHeight="1" x14ac:dyDescent="0.2">
      <c r="B15" s="1385"/>
      <c r="C15" s="1385"/>
      <c r="D15" s="1371"/>
      <c r="E15" s="1259"/>
      <c r="F15" s="1259"/>
      <c r="G15" s="1285"/>
      <c r="H15" s="1259"/>
      <c r="I15" s="1474"/>
      <c r="J15" s="1292"/>
      <c r="K15" s="1289"/>
      <c r="L15" s="322"/>
    </row>
    <row r="16" spans="1:12" ht="13.5" customHeight="1" x14ac:dyDescent="0.2">
      <c r="B16" s="1385" t="s">
        <v>1368</v>
      </c>
      <c r="C16" s="1385"/>
      <c r="D16" s="2510" t="s">
        <v>424</v>
      </c>
      <c r="E16" s="2510"/>
      <c r="F16" s="2510"/>
      <c r="G16" s="2510"/>
      <c r="H16" s="2510"/>
      <c r="I16" s="2510"/>
      <c r="J16" s="2510"/>
      <c r="K16" s="2510"/>
      <c r="L16" s="322"/>
    </row>
    <row r="17" spans="2:12" ht="13.5" customHeight="1" x14ac:dyDescent="0.2">
      <c r="B17" s="1385" t="s">
        <v>1367</v>
      </c>
      <c r="C17" s="1385"/>
      <c r="D17" s="2511" t="s">
        <v>2225</v>
      </c>
      <c r="E17" s="2511"/>
      <c r="F17" s="2511"/>
      <c r="G17" s="2511"/>
      <c r="H17" s="2511"/>
      <c r="I17" s="2511"/>
      <c r="J17" s="2511"/>
      <c r="K17" s="2511"/>
      <c r="L17" s="322"/>
    </row>
    <row r="18" spans="2:12" ht="9.4" customHeight="1" x14ac:dyDescent="0.2">
      <c r="B18" s="1425"/>
      <c r="C18" s="1425"/>
      <c r="D18" s="1425"/>
      <c r="E18" s="1425"/>
      <c r="F18" s="1425"/>
      <c r="G18" s="1426"/>
      <c r="H18" s="1425"/>
      <c r="I18" s="1426"/>
      <c r="J18" s="1425"/>
      <c r="K18" s="1425"/>
      <c r="L18" s="322"/>
    </row>
    <row r="19" spans="2:12" ht="13.5" customHeight="1" x14ac:dyDescent="0.2">
      <c r="B19" s="1475" t="s">
        <v>1366</v>
      </c>
      <c r="C19" s="1475"/>
      <c r="D19" s="328"/>
      <c r="E19" s="328"/>
      <c r="F19" s="328"/>
      <c r="G19" s="1476"/>
      <c r="H19" s="328"/>
      <c r="I19" s="1476"/>
      <c r="J19" s="322"/>
      <c r="K19" s="322"/>
      <c r="L19" s="322"/>
    </row>
    <row r="20" spans="2:12" ht="35.25" customHeight="1" x14ac:dyDescent="0.2">
      <c r="B20" s="2500" t="s">
        <v>2232</v>
      </c>
      <c r="C20" s="2500"/>
      <c r="D20" s="2501"/>
      <c r="E20" s="2501"/>
      <c r="F20" s="2501"/>
      <c r="G20" s="2501"/>
      <c r="H20" s="2501"/>
      <c r="I20" s="2501"/>
      <c r="J20" s="2501"/>
      <c r="K20" s="2501"/>
      <c r="L20" s="1430"/>
    </row>
    <row r="21" spans="2:12" ht="4.5" customHeight="1" x14ac:dyDescent="0.2">
      <c r="B21" s="1477"/>
      <c r="C21" s="1477"/>
      <c r="D21" s="1478"/>
      <c r="E21" s="1478"/>
      <c r="F21" s="1478"/>
      <c r="G21" s="1426"/>
      <c r="H21" s="1478"/>
      <c r="I21" s="1426"/>
      <c r="J21" s="1478"/>
      <c r="K21" s="1478"/>
      <c r="L21" s="1430"/>
    </row>
    <row r="22" spans="2:12" ht="13.35" customHeight="1" x14ac:dyDescent="0.2">
      <c r="B22" s="1475" t="s">
        <v>1856</v>
      </c>
      <c r="C22" s="1475"/>
      <c r="D22" s="322"/>
      <c r="E22" s="322"/>
      <c r="F22" s="322"/>
      <c r="G22" s="1381"/>
      <c r="H22" s="322"/>
      <c r="I22" s="1381"/>
      <c r="J22" s="322"/>
      <c r="K22" s="322"/>
      <c r="L22" s="322"/>
    </row>
    <row r="23" spans="2:12" ht="37.5" customHeight="1" x14ac:dyDescent="0.2">
      <c r="B23" s="2500" t="s">
        <v>2319</v>
      </c>
      <c r="C23" s="2500"/>
      <c r="D23" s="2501"/>
      <c r="E23" s="2501"/>
      <c r="F23" s="2501"/>
      <c r="G23" s="2501"/>
      <c r="H23" s="2501"/>
      <c r="I23" s="2501"/>
      <c r="J23" s="2501"/>
      <c r="K23" s="2501"/>
      <c r="L23" s="322"/>
    </row>
    <row r="24" spans="2:12" ht="4.5" customHeight="1" x14ac:dyDescent="0.2">
      <c r="B24" s="1477"/>
      <c r="C24" s="1477"/>
      <c r="D24" s="1425"/>
      <c r="E24" s="1425"/>
      <c r="F24" s="1425"/>
      <c r="G24" s="1426"/>
      <c r="H24" s="1425"/>
      <c r="I24" s="1426"/>
      <c r="J24" s="1425"/>
      <c r="K24" s="1425"/>
      <c r="L24" s="322"/>
    </row>
    <row r="25" spans="2:12" ht="13.5" customHeight="1" x14ac:dyDescent="0.2">
      <c r="B25" s="1475" t="s">
        <v>1857</v>
      </c>
      <c r="C25" s="1475"/>
      <c r="D25" s="322"/>
      <c r="E25" s="322"/>
      <c r="F25" s="322"/>
      <c r="G25" s="1381"/>
      <c r="H25" s="322"/>
      <c r="I25" s="1381"/>
      <c r="J25" s="322"/>
      <c r="K25" s="322"/>
      <c r="L25" s="322"/>
    </row>
    <row r="26" spans="2:12" ht="37.5" customHeight="1" x14ac:dyDescent="0.2">
      <c r="B26" s="2500" t="s">
        <v>2216</v>
      </c>
      <c r="C26" s="2500"/>
      <c r="D26" s="2501"/>
      <c r="E26" s="2501"/>
      <c r="F26" s="2501"/>
      <c r="G26" s="2501"/>
      <c r="H26" s="2501"/>
      <c r="I26" s="2501"/>
      <c r="J26" s="2501"/>
      <c r="K26" s="2501"/>
      <c r="L26" s="322"/>
    </row>
    <row r="27" spans="2:12" ht="4.5" customHeight="1" x14ac:dyDescent="0.2">
      <c r="B27" s="1479"/>
      <c r="C27" s="1479"/>
      <c r="D27" s="1479"/>
      <c r="E27" s="1425"/>
      <c r="F27" s="1425"/>
      <c r="G27" s="1426"/>
      <c r="H27" s="1425"/>
      <c r="I27" s="1426"/>
      <c r="J27" s="1425"/>
      <c r="K27" s="1425"/>
      <c r="L27" s="322"/>
    </row>
    <row r="28" spans="2:12" ht="13.5" customHeight="1" x14ac:dyDescent="0.2">
      <c r="B28" s="1475" t="s">
        <v>1858</v>
      </c>
      <c r="C28" s="1475"/>
      <c r="D28" s="322"/>
      <c r="E28" s="322"/>
      <c r="F28" s="322"/>
      <c r="G28" s="1381"/>
      <c r="H28" s="322"/>
      <c r="I28" s="1381"/>
      <c r="J28" s="322"/>
      <c r="K28" s="322"/>
      <c r="L28" s="322"/>
    </row>
    <row r="29" spans="2:12" ht="37.5" customHeight="1" x14ac:dyDescent="0.2">
      <c r="B29" s="2500" t="s">
        <v>2321</v>
      </c>
      <c r="C29" s="2500"/>
      <c r="D29" s="2501"/>
      <c r="E29" s="2501"/>
      <c r="F29" s="2501"/>
      <c r="G29" s="2501"/>
      <c r="H29" s="2501"/>
      <c r="I29" s="2501"/>
      <c r="J29" s="2501"/>
      <c r="K29" s="2501"/>
      <c r="L29" s="322"/>
    </row>
    <row r="30" spans="2:12" ht="4.5" customHeight="1" x14ac:dyDescent="0.2">
      <c r="B30" s="1477"/>
      <c r="C30" s="1477"/>
      <c r="D30" s="1425"/>
      <c r="E30" s="1425"/>
      <c r="F30" s="1425"/>
      <c r="G30" s="1426"/>
      <c r="H30" s="1425"/>
      <c r="I30" s="1426"/>
      <c r="J30" s="1425"/>
      <c r="K30" s="1425"/>
      <c r="L30" s="322"/>
    </row>
    <row r="31" spans="2:12" ht="13.5" customHeight="1" x14ac:dyDescent="0.2">
      <c r="B31" s="1475" t="s">
        <v>1365</v>
      </c>
      <c r="C31" s="1475"/>
      <c r="D31" s="322"/>
      <c r="E31" s="322"/>
      <c r="F31" s="322"/>
      <c r="G31" s="1381"/>
      <c r="H31" s="322"/>
      <c r="I31" s="1381"/>
      <c r="J31" s="322"/>
      <c r="K31" s="322"/>
      <c r="L31" s="322"/>
    </row>
    <row r="32" spans="2:12" ht="37.5" customHeight="1" x14ac:dyDescent="0.2">
      <c r="B32" s="2500" t="s">
        <v>2322</v>
      </c>
      <c r="C32" s="2500"/>
      <c r="D32" s="2501"/>
      <c r="E32" s="2501"/>
      <c r="F32" s="2501"/>
      <c r="G32" s="2501"/>
      <c r="H32" s="2501"/>
      <c r="I32" s="2501"/>
      <c r="J32" s="2501"/>
      <c r="K32" s="2501"/>
      <c r="L32" s="322"/>
    </row>
    <row r="33" spans="2:12" ht="4.5" customHeight="1" x14ac:dyDescent="0.2">
      <c r="B33" s="1477"/>
      <c r="C33" s="1477"/>
      <c r="D33" s="1425"/>
      <c r="E33" s="1425"/>
      <c r="F33" s="1425"/>
      <c r="G33" s="1426"/>
      <c r="H33" s="1425"/>
      <c r="I33" s="1426"/>
      <c r="J33" s="1425"/>
      <c r="K33" s="1425"/>
      <c r="L33" s="322"/>
    </row>
    <row r="34" spans="2:12" ht="13.5" customHeight="1" x14ac:dyDescent="0.2">
      <c r="B34" s="1382" t="s">
        <v>1364</v>
      </c>
      <c r="C34" s="1382"/>
      <c r="D34" s="322"/>
      <c r="E34" s="322"/>
      <c r="F34" s="322"/>
      <c r="G34" s="1381"/>
      <c r="H34" s="322"/>
      <c r="I34" s="1381"/>
      <c r="J34" s="322"/>
      <c r="K34" s="322"/>
      <c r="L34" s="322"/>
    </row>
    <row r="35" spans="2:12" ht="37.5" customHeight="1" x14ac:dyDescent="0.2">
      <c r="B35" s="2500" t="s">
        <v>2323</v>
      </c>
      <c r="C35" s="2500"/>
      <c r="D35" s="2501"/>
      <c r="E35" s="2501"/>
      <c r="F35" s="2501"/>
      <c r="G35" s="2501"/>
      <c r="H35" s="2501"/>
      <c r="I35" s="2501"/>
      <c r="J35" s="2501"/>
      <c r="K35" s="2501"/>
      <c r="L35" s="322"/>
    </row>
    <row r="36" spans="2:12" ht="4.5" customHeight="1" x14ac:dyDescent="0.2">
      <c r="B36" s="1477"/>
      <c r="C36" s="1477"/>
      <c r="D36" s="1425"/>
      <c r="E36" s="1425"/>
      <c r="F36" s="1425"/>
      <c r="G36" s="1426"/>
      <c r="H36" s="1425"/>
      <c r="I36" s="1426"/>
      <c r="J36" s="1425"/>
      <c r="K36" s="1425"/>
      <c r="L36" s="322"/>
    </row>
    <row r="37" spans="2:12" ht="13.5" customHeight="1" x14ac:dyDescent="0.2">
      <c r="B37" s="1382" t="s">
        <v>1363</v>
      </c>
      <c r="C37" s="1382"/>
      <c r="D37" s="322"/>
      <c r="E37" s="322"/>
      <c r="F37" s="322"/>
      <c r="G37" s="1381"/>
      <c r="H37" s="322"/>
      <c r="I37" s="1381"/>
      <c r="J37" s="322"/>
      <c r="K37" s="322"/>
      <c r="L37" s="322"/>
    </row>
    <row r="38" spans="2:12" ht="35.25" customHeight="1" x14ac:dyDescent="0.2">
      <c r="B38" s="2500" t="s">
        <v>2324</v>
      </c>
      <c r="C38" s="2500"/>
      <c r="D38" s="2501"/>
      <c r="E38" s="2501"/>
      <c r="F38" s="2501"/>
      <c r="G38" s="2501"/>
      <c r="H38" s="2501"/>
      <c r="I38" s="2501"/>
      <c r="J38" s="2501"/>
      <c r="K38" s="2501"/>
      <c r="L38" s="322"/>
    </row>
    <row r="39" spans="2:12" ht="4.5" customHeight="1" x14ac:dyDescent="0.2">
      <c r="B39" s="1400"/>
      <c r="C39" s="1400"/>
      <c r="D39" s="322"/>
      <c r="E39" s="322"/>
      <c r="F39" s="322"/>
      <c r="G39" s="1381"/>
      <c r="H39" s="322"/>
      <c r="I39" s="1381"/>
      <c r="J39" s="322"/>
      <c r="K39" s="322"/>
      <c r="L39" s="322"/>
    </row>
    <row r="40" spans="2:12" s="322" customFormat="1" ht="13.5" customHeight="1" x14ac:dyDescent="0.2">
      <c r="B40" s="1401" t="s">
        <v>1859</v>
      </c>
      <c r="C40" s="1401"/>
      <c r="D40" s="1376"/>
      <c r="E40" s="1377"/>
      <c r="F40" s="1377"/>
      <c r="G40" s="1378"/>
      <c r="H40" s="1377"/>
      <c r="I40" s="1378"/>
      <c r="J40" s="1377"/>
      <c r="K40" s="1377"/>
    </row>
    <row r="41" spans="2:12" s="322" customFormat="1" ht="33.75" customHeight="1" x14ac:dyDescent="0.2">
      <c r="B41" s="2500" t="s">
        <v>2325</v>
      </c>
      <c r="C41" s="2500"/>
      <c r="D41" s="2501"/>
      <c r="E41" s="2501"/>
      <c r="F41" s="2501"/>
      <c r="G41" s="2501"/>
      <c r="H41" s="2501"/>
      <c r="I41" s="2501"/>
      <c r="J41" s="2501"/>
      <c r="K41" s="2501"/>
    </row>
    <row r="42" spans="2:12" s="322" customFormat="1" ht="4.5" customHeight="1" x14ac:dyDescent="0.2">
      <c r="B42" s="1400"/>
      <c r="C42" s="1400"/>
      <c r="G42" s="1381"/>
      <c r="I42" s="1381"/>
    </row>
    <row r="43" spans="2:12" s="322" customFormat="1" ht="13.5" customHeight="1" x14ac:dyDescent="0.2">
      <c r="B43" s="1480" t="s">
        <v>1352</v>
      </c>
      <c r="C43" s="1481"/>
      <c r="D43" s="1402"/>
      <c r="E43" s="1402"/>
      <c r="F43" s="1402"/>
      <c r="G43" s="1403"/>
      <c r="H43" s="1402"/>
      <c r="I43" s="1403"/>
      <c r="J43" s="1402"/>
      <c r="K43" s="1404"/>
      <c r="L43" s="1482"/>
    </row>
    <row r="44" spans="2:12" s="322" customFormat="1" ht="13.5" customHeight="1" x14ac:dyDescent="0.2">
      <c r="B44" s="1405" t="s">
        <v>1351</v>
      </c>
      <c r="C44" s="1406"/>
      <c r="D44" s="1483"/>
      <c r="E44" s="1407"/>
      <c r="F44" s="1411" t="s">
        <v>1350</v>
      </c>
      <c r="G44" s="1409"/>
      <c r="H44" s="1408"/>
      <c r="I44" s="1409"/>
      <c r="J44" s="1484"/>
      <c r="K44" s="1485"/>
      <c r="L44" s="1482"/>
    </row>
    <row r="45" spans="2:12" s="322" customFormat="1" ht="13.5" customHeight="1" x14ac:dyDescent="0.2">
      <c r="B45" s="1405" t="s">
        <v>1349</v>
      </c>
      <c r="C45" s="1406"/>
      <c r="D45" s="1484"/>
      <c r="E45" s="1408"/>
      <c r="F45" s="1411" t="s">
        <v>1348</v>
      </c>
      <c r="G45" s="1409"/>
      <c r="H45" s="1408"/>
      <c r="I45" s="1409"/>
      <c r="J45" s="1484"/>
      <c r="K45" s="1485"/>
      <c r="L45" s="1482"/>
    </row>
    <row r="46" spans="2:12" s="322" customFormat="1" ht="13.5" customHeight="1" x14ac:dyDescent="0.2">
      <c r="B46" s="1412"/>
      <c r="C46" s="1410"/>
      <c r="D46" s="1410"/>
      <c r="E46" s="1410"/>
      <c r="F46" s="1410"/>
      <c r="G46" s="1413"/>
      <c r="H46" s="1410"/>
      <c r="I46" s="1413"/>
      <c r="J46" s="1410"/>
      <c r="K46" s="1414"/>
      <c r="L46" s="1482"/>
    </row>
    <row r="47" spans="2:12" ht="7.5" customHeight="1" x14ac:dyDescent="0.25">
      <c r="B47" s="1486"/>
      <c r="C47" s="1486"/>
      <c r="D47" s="1487"/>
      <c r="E47" s="1487"/>
      <c r="F47" s="1487"/>
      <c r="G47" s="1488"/>
      <c r="H47" s="1487"/>
      <c r="I47" s="1488"/>
      <c r="J47" s="1487"/>
      <c r="K47" s="1487"/>
    </row>
    <row r="48" spans="2:12" ht="13.5" customHeight="1" x14ac:dyDescent="0.2">
      <c r="B48" s="1417" t="s">
        <v>1860</v>
      </c>
      <c r="C48" s="1417"/>
      <c r="D48" s="322"/>
      <c r="E48" s="322"/>
      <c r="F48" s="322"/>
    </row>
    <row r="49" spans="2:3" s="317" customFormat="1" ht="10.5" customHeight="1" x14ac:dyDescent="0.2">
      <c r="B49" s="1418" t="s">
        <v>1861</v>
      </c>
      <c r="C49" s="1418"/>
    </row>
    <row r="50" spans="2:3" s="317" customFormat="1" ht="11.1" customHeight="1" x14ac:dyDescent="0.2">
      <c r="B50" s="1418" t="s">
        <v>1862</v>
      </c>
      <c r="C50" s="1418"/>
    </row>
    <row r="51" spans="2:3" s="317" customFormat="1" ht="11.1" customHeight="1" x14ac:dyDescent="0.2">
      <c r="B51" s="1418" t="s">
        <v>1863</v>
      </c>
      <c r="C51" s="1418"/>
    </row>
    <row r="52" spans="2:3" s="317" customFormat="1" ht="11.1" customHeight="1" x14ac:dyDescent="0.2">
      <c r="B52" s="1418" t="s">
        <v>1864</v>
      </c>
      <c r="C52" s="1418"/>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scale="99" firstPageNumber="42" orientation="portrait" useFirstPageNumber="1" r:id="rId1"/>
  <headerFooter>
    <oddHeader>&amp;L&amp;8Page 44&amp;R&amp;8Page 44</oddHeader>
    <oddFooter>&amp;LSee Notes to Financial Statements</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showGridLines="0" zoomScale="110" zoomScaleNormal="110" workbookViewId="0">
      <selection activeCell="K36" sqref="K36"/>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5" t="str">
        <f>'Single Audit Cover'!A7</f>
        <v>Jersey CUSD 100</v>
      </c>
      <c r="C1" s="2505"/>
      <c r="D1" s="2505"/>
      <c r="E1" s="2505"/>
      <c r="F1" s="2505"/>
      <c r="G1" s="2505"/>
      <c r="H1" s="2505"/>
      <c r="I1" s="2505"/>
      <c r="J1" s="2505"/>
      <c r="K1" s="2505"/>
      <c r="L1" s="1463"/>
    </row>
    <row r="2" spans="1:12" ht="12.75" customHeight="1" x14ac:dyDescent="0.2">
      <c r="B2" s="2506">
        <f>'Single Audit Cover'!E7</f>
        <v>40042100026</v>
      </c>
      <c r="C2" s="2506"/>
      <c r="D2" s="2506"/>
      <c r="E2" s="2506"/>
      <c r="F2" s="2506"/>
      <c r="G2" s="2506"/>
      <c r="H2" s="2506"/>
      <c r="I2" s="2506"/>
      <c r="J2" s="2506"/>
      <c r="K2" s="2506"/>
      <c r="L2" s="1464"/>
    </row>
    <row r="3" spans="1:12" ht="12.75" customHeight="1" x14ac:dyDescent="0.2">
      <c r="B3" s="2502" t="s">
        <v>1346</v>
      </c>
      <c r="C3" s="2502"/>
      <c r="D3" s="2502"/>
      <c r="E3" s="2502"/>
      <c r="F3" s="2502"/>
      <c r="G3" s="2502"/>
      <c r="H3" s="2502"/>
      <c r="I3" s="2502"/>
      <c r="J3" s="2502"/>
      <c r="K3" s="2502"/>
      <c r="L3" s="1944"/>
    </row>
    <row r="4" spans="1:12" ht="12.75" customHeight="1" x14ac:dyDescent="0.2">
      <c r="B4" s="2502" t="str">
        <f>'Single Audit Cover'!A4</f>
        <v>Year Ending June 30, 2018</v>
      </c>
      <c r="C4" s="2502"/>
      <c r="D4" s="2502"/>
      <c r="E4" s="2502"/>
      <c r="F4" s="2502"/>
      <c r="G4" s="2502"/>
      <c r="H4" s="2502"/>
      <c r="I4" s="2502"/>
      <c r="J4" s="2502"/>
      <c r="K4" s="2502"/>
      <c r="L4" s="1944"/>
    </row>
    <row r="5" spans="1:12" ht="5.25" customHeight="1" x14ac:dyDescent="0.2">
      <c r="B5" s="1259" t="s">
        <v>1230</v>
      </c>
      <c r="C5" s="1259"/>
      <c r="L5" s="322"/>
    </row>
    <row r="6" spans="1:12" ht="30.75" customHeight="1" x14ac:dyDescent="0.2">
      <c r="A6" s="322"/>
      <c r="B6" s="2507" t="s">
        <v>1374</v>
      </c>
      <c r="C6" s="2507"/>
      <c r="D6" s="2507"/>
      <c r="E6" s="2507"/>
      <c r="F6" s="2507"/>
      <c r="G6" s="2507"/>
      <c r="H6" s="2507"/>
      <c r="I6" s="2507"/>
      <c r="J6" s="2507"/>
      <c r="K6" s="2507"/>
      <c r="L6" s="322"/>
    </row>
    <row r="7" spans="1:12" ht="4.5" customHeight="1" x14ac:dyDescent="0.2">
      <c r="B7" s="1377"/>
      <c r="C7" s="1377"/>
      <c r="D7" s="1377"/>
      <c r="E7" s="1377"/>
      <c r="F7" s="1377"/>
      <c r="G7" s="1378"/>
      <c r="H7" s="1377"/>
      <c r="I7" s="1378"/>
      <c r="J7" s="1377"/>
      <c r="K7" s="1377"/>
      <c r="L7" s="322"/>
    </row>
    <row r="8" spans="1:12" ht="13.5" customHeight="1" x14ac:dyDescent="0.2">
      <c r="B8" s="1385" t="s">
        <v>1855</v>
      </c>
      <c r="C8" s="1465" t="s">
        <v>1949</v>
      </c>
      <c r="D8" s="1466">
        <v>10</v>
      </c>
      <c r="E8" s="322"/>
      <c r="F8" s="1382" t="s">
        <v>1361</v>
      </c>
      <c r="G8" s="1467" t="s">
        <v>2076</v>
      </c>
      <c r="H8" s="1468" t="s">
        <v>1373</v>
      </c>
      <c r="I8" s="1467"/>
      <c r="J8" s="1469" t="s">
        <v>1372</v>
      </c>
      <c r="L8" s="322"/>
    </row>
    <row r="9" spans="1:12" ht="13.5" customHeight="1" x14ac:dyDescent="0.2">
      <c r="D9" s="322"/>
      <c r="E9" s="322"/>
      <c r="F9" s="322"/>
      <c r="G9" s="1381"/>
      <c r="H9" s="322"/>
      <c r="I9" s="1470" t="s">
        <v>1358</v>
      </c>
      <c r="J9" s="322"/>
      <c r="K9" s="1471"/>
      <c r="L9" s="322"/>
    </row>
    <row r="10" spans="1:12" ht="4.5" customHeight="1" x14ac:dyDescent="0.2">
      <c r="B10" s="1472"/>
      <c r="C10" s="1472"/>
      <c r="D10" s="1425"/>
      <c r="E10" s="1425"/>
      <c r="F10" s="1425"/>
      <c r="G10" s="1426"/>
      <c r="H10" s="1425"/>
      <c r="I10" s="1426"/>
      <c r="J10" s="1425"/>
      <c r="K10" s="1425"/>
      <c r="L10" s="322"/>
    </row>
    <row r="11" spans="1:12" ht="5.25" customHeight="1" x14ac:dyDescent="0.2">
      <c r="B11" s="322"/>
      <c r="C11" s="322"/>
      <c r="D11" s="304"/>
      <c r="E11" s="322"/>
      <c r="F11" s="322"/>
      <c r="G11" s="1381"/>
      <c r="H11" s="322"/>
      <c r="I11" s="1381"/>
      <c r="J11" s="322"/>
      <c r="K11" s="1430"/>
      <c r="L11" s="322"/>
    </row>
    <row r="12" spans="1:12" ht="13.5" customHeight="1" x14ac:dyDescent="0.2">
      <c r="B12" s="1382" t="s">
        <v>1371</v>
      </c>
      <c r="C12" s="1382"/>
      <c r="D12" s="304"/>
      <c r="E12" s="322"/>
      <c r="F12" s="2493" t="s">
        <v>2224</v>
      </c>
      <c r="G12" s="2493"/>
      <c r="H12" s="2493"/>
      <c r="I12" s="2493"/>
      <c r="J12" s="2493"/>
      <c r="K12" s="2493"/>
      <c r="L12" s="322"/>
    </row>
    <row r="13" spans="1:12" ht="9.6" customHeight="1" x14ac:dyDescent="0.2">
      <c r="B13" s="1256"/>
      <c r="C13" s="1256"/>
      <c r="D13" s="304"/>
      <c r="E13" s="322"/>
      <c r="F13" s="322"/>
      <c r="G13" s="1381"/>
      <c r="H13" s="322"/>
      <c r="I13" s="1381"/>
      <c r="J13" s="322"/>
      <c r="K13" s="1430"/>
      <c r="L13" s="322"/>
    </row>
    <row r="14" spans="1:12" ht="13.5" customHeight="1" x14ac:dyDescent="0.2">
      <c r="B14" s="1385" t="s">
        <v>1370</v>
      </c>
      <c r="C14" s="1385"/>
      <c r="D14" s="2508" t="s">
        <v>2167</v>
      </c>
      <c r="E14" s="2508"/>
      <c r="F14" s="2508"/>
      <c r="H14" s="1473" t="s">
        <v>1369</v>
      </c>
      <c r="I14" s="2510">
        <v>10.555</v>
      </c>
      <c r="J14" s="2510"/>
      <c r="K14" s="2510"/>
      <c r="L14" s="322"/>
    </row>
    <row r="15" spans="1:12" ht="9.4" customHeight="1" x14ac:dyDescent="0.2">
      <c r="B15" s="1385"/>
      <c r="C15" s="1385"/>
      <c r="D15" s="1371"/>
      <c r="E15" s="1259"/>
      <c r="F15" s="1259"/>
      <c r="G15" s="1285"/>
      <c r="H15" s="1259"/>
      <c r="I15" s="1474"/>
      <c r="J15" s="1292"/>
      <c r="K15" s="1289"/>
      <c r="L15" s="322"/>
    </row>
    <row r="16" spans="1:12" ht="13.5" customHeight="1" x14ac:dyDescent="0.2">
      <c r="B16" s="1385" t="s">
        <v>1368</v>
      </c>
      <c r="C16" s="1385"/>
      <c r="D16" s="2510" t="s">
        <v>424</v>
      </c>
      <c r="E16" s="2510"/>
      <c r="F16" s="2510"/>
      <c r="G16" s="2510"/>
      <c r="H16" s="2510"/>
      <c r="I16" s="2510"/>
      <c r="J16" s="2510"/>
      <c r="K16" s="2510"/>
      <c r="L16" s="322"/>
    </row>
    <row r="17" spans="2:12" ht="13.5" customHeight="1" x14ac:dyDescent="0.2">
      <c r="B17" s="1385" t="s">
        <v>1367</v>
      </c>
      <c r="C17" s="1385"/>
      <c r="D17" s="2511" t="s">
        <v>2225</v>
      </c>
      <c r="E17" s="2511"/>
      <c r="F17" s="2511"/>
      <c r="G17" s="2511"/>
      <c r="H17" s="2511"/>
      <c r="I17" s="2511"/>
      <c r="J17" s="2511"/>
      <c r="K17" s="2511"/>
      <c r="L17" s="322"/>
    </row>
    <row r="18" spans="2:12" ht="9.4" customHeight="1" x14ac:dyDescent="0.2">
      <c r="B18" s="1425"/>
      <c r="C18" s="1425"/>
      <c r="D18" s="1425"/>
      <c r="E18" s="1425"/>
      <c r="F18" s="1425"/>
      <c r="G18" s="1426"/>
      <c r="H18" s="1425"/>
      <c r="I18" s="1426"/>
      <c r="J18" s="1425"/>
      <c r="K18" s="1425"/>
      <c r="L18" s="322"/>
    </row>
    <row r="19" spans="2:12" ht="13.5" customHeight="1" x14ac:dyDescent="0.2">
      <c r="B19" s="1475" t="s">
        <v>1366</v>
      </c>
      <c r="C19" s="1475"/>
      <c r="D19" s="328"/>
      <c r="E19" s="328"/>
      <c r="F19" s="328"/>
      <c r="G19" s="1476"/>
      <c r="H19" s="328"/>
      <c r="I19" s="1476"/>
      <c r="J19" s="322"/>
      <c r="K19" s="322"/>
      <c r="L19" s="322"/>
    </row>
    <row r="20" spans="2:12" ht="35.25" customHeight="1" x14ac:dyDescent="0.2">
      <c r="B20" s="2500" t="s">
        <v>2214</v>
      </c>
      <c r="C20" s="2500"/>
      <c r="D20" s="2501"/>
      <c r="E20" s="2501"/>
      <c r="F20" s="2501"/>
      <c r="G20" s="2501"/>
      <c r="H20" s="2501"/>
      <c r="I20" s="2501"/>
      <c r="J20" s="2501"/>
      <c r="K20" s="2501"/>
      <c r="L20" s="1430"/>
    </row>
    <row r="21" spans="2:12" ht="4.5" customHeight="1" x14ac:dyDescent="0.2">
      <c r="B21" s="1477"/>
      <c r="C21" s="1477"/>
      <c r="D21" s="1478"/>
      <c r="E21" s="1478"/>
      <c r="F21" s="1478"/>
      <c r="G21" s="1426"/>
      <c r="H21" s="1478"/>
      <c r="I21" s="1426"/>
      <c r="J21" s="1478"/>
      <c r="K21" s="1478"/>
      <c r="L21" s="1430"/>
    </row>
    <row r="22" spans="2:12" ht="13.35" customHeight="1" x14ac:dyDescent="0.2">
      <c r="B22" s="1475" t="s">
        <v>1856</v>
      </c>
      <c r="C22" s="1475"/>
      <c r="D22" s="322"/>
      <c r="E22" s="322"/>
      <c r="F22" s="322"/>
      <c r="G22" s="1381"/>
      <c r="H22" s="322"/>
      <c r="I22" s="1381"/>
      <c r="J22" s="322"/>
      <c r="K22" s="322"/>
      <c r="L22" s="322"/>
    </row>
    <row r="23" spans="2:12" ht="37.5" customHeight="1" x14ac:dyDescent="0.2">
      <c r="B23" s="2500" t="s">
        <v>2215</v>
      </c>
      <c r="C23" s="2500"/>
      <c r="D23" s="2501"/>
      <c r="E23" s="2501"/>
      <c r="F23" s="2501"/>
      <c r="G23" s="2501"/>
      <c r="H23" s="2501"/>
      <c r="I23" s="2501"/>
      <c r="J23" s="2501"/>
      <c r="K23" s="2501"/>
      <c r="L23" s="322"/>
    </row>
    <row r="24" spans="2:12" ht="4.5" customHeight="1" x14ac:dyDescent="0.2">
      <c r="B24" s="1477"/>
      <c r="C24" s="1477"/>
      <c r="D24" s="1425"/>
      <c r="E24" s="1425"/>
      <c r="F24" s="1425"/>
      <c r="G24" s="1426"/>
      <c r="H24" s="1425"/>
      <c r="I24" s="1426"/>
      <c r="J24" s="1425"/>
      <c r="K24" s="1425"/>
      <c r="L24" s="322"/>
    </row>
    <row r="25" spans="2:12" ht="13.5" customHeight="1" x14ac:dyDescent="0.2">
      <c r="B25" s="1475" t="s">
        <v>1857</v>
      </c>
      <c r="C25" s="1475"/>
      <c r="D25" s="322"/>
      <c r="E25" s="322"/>
      <c r="F25" s="322"/>
      <c r="G25" s="1381"/>
      <c r="H25" s="322"/>
      <c r="I25" s="1381"/>
      <c r="J25" s="322"/>
      <c r="K25" s="322"/>
      <c r="L25" s="322"/>
    </row>
    <row r="26" spans="2:12" ht="37.5" customHeight="1" x14ac:dyDescent="0.2">
      <c r="B26" s="2500" t="s">
        <v>2216</v>
      </c>
      <c r="C26" s="2500"/>
      <c r="D26" s="2501"/>
      <c r="E26" s="2501"/>
      <c r="F26" s="2501"/>
      <c r="G26" s="2501"/>
      <c r="H26" s="2501"/>
      <c r="I26" s="2501"/>
      <c r="J26" s="2501"/>
      <c r="K26" s="2501"/>
      <c r="L26" s="322"/>
    </row>
    <row r="27" spans="2:12" ht="4.5" customHeight="1" x14ac:dyDescent="0.2">
      <c r="B27" s="1479"/>
      <c r="C27" s="1479"/>
      <c r="D27" s="1479"/>
      <c r="E27" s="1425"/>
      <c r="F27" s="1425"/>
      <c r="G27" s="1426"/>
      <c r="H27" s="1425"/>
      <c r="I27" s="1426"/>
      <c r="J27" s="1425"/>
      <c r="K27" s="1425"/>
      <c r="L27" s="322"/>
    </row>
    <row r="28" spans="2:12" ht="13.5" customHeight="1" x14ac:dyDescent="0.2">
      <c r="B28" s="1475" t="s">
        <v>1858</v>
      </c>
      <c r="C28" s="1475"/>
      <c r="D28" s="322"/>
      <c r="E28" s="322"/>
      <c r="F28" s="322"/>
      <c r="G28" s="1381"/>
      <c r="H28" s="322"/>
      <c r="I28" s="1381"/>
      <c r="J28" s="322"/>
      <c r="K28" s="322"/>
      <c r="L28" s="322"/>
    </row>
    <row r="29" spans="2:12" ht="41.25" customHeight="1" x14ac:dyDescent="0.2">
      <c r="B29" s="2500" t="s">
        <v>2227</v>
      </c>
      <c r="C29" s="2500"/>
      <c r="D29" s="2501"/>
      <c r="E29" s="2501"/>
      <c r="F29" s="2501"/>
      <c r="G29" s="2501"/>
      <c r="H29" s="2501"/>
      <c r="I29" s="2501"/>
      <c r="J29" s="2501"/>
      <c r="K29" s="2501"/>
      <c r="L29" s="322"/>
    </row>
    <row r="30" spans="2:12" ht="4.5" customHeight="1" x14ac:dyDescent="0.2">
      <c r="B30" s="1477"/>
      <c r="C30" s="1477"/>
      <c r="D30" s="1425"/>
      <c r="E30" s="1425"/>
      <c r="F30" s="1425"/>
      <c r="G30" s="1426"/>
      <c r="H30" s="1425"/>
      <c r="I30" s="1426"/>
      <c r="J30" s="1425"/>
      <c r="K30" s="1425"/>
      <c r="L30" s="322"/>
    </row>
    <row r="31" spans="2:12" ht="13.5" customHeight="1" x14ac:dyDescent="0.2">
      <c r="B31" s="1475" t="s">
        <v>1365</v>
      </c>
      <c r="C31" s="1475"/>
      <c r="D31" s="322"/>
      <c r="E31" s="322"/>
      <c r="F31" s="322"/>
      <c r="G31" s="1381"/>
      <c r="H31" s="322"/>
      <c r="I31" s="1381"/>
      <c r="J31" s="322"/>
      <c r="K31" s="322"/>
      <c r="L31" s="322"/>
    </row>
    <row r="32" spans="2:12" ht="37.5" customHeight="1" x14ac:dyDescent="0.2">
      <c r="B32" s="2500" t="s">
        <v>2217</v>
      </c>
      <c r="C32" s="2500"/>
      <c r="D32" s="2501"/>
      <c r="E32" s="2501"/>
      <c r="F32" s="2501"/>
      <c r="G32" s="2501"/>
      <c r="H32" s="2501"/>
      <c r="I32" s="2501"/>
      <c r="J32" s="2501"/>
      <c r="K32" s="2501"/>
      <c r="L32" s="322"/>
    </row>
    <row r="33" spans="2:12" ht="4.5" customHeight="1" x14ac:dyDescent="0.2">
      <c r="B33" s="1477"/>
      <c r="C33" s="1477"/>
      <c r="D33" s="1425"/>
      <c r="E33" s="1425"/>
      <c r="F33" s="1425"/>
      <c r="G33" s="1426"/>
      <c r="H33" s="1425"/>
      <c r="I33" s="1426"/>
      <c r="J33" s="1425"/>
      <c r="K33" s="1425"/>
      <c r="L33" s="322"/>
    </row>
    <row r="34" spans="2:12" ht="13.5" customHeight="1" x14ac:dyDescent="0.2">
      <c r="B34" s="1382" t="s">
        <v>1364</v>
      </c>
      <c r="C34" s="1382"/>
      <c r="D34" s="322"/>
      <c r="E34" s="322"/>
      <c r="F34" s="322"/>
      <c r="G34" s="1381"/>
      <c r="H34" s="322"/>
      <c r="I34" s="1381"/>
      <c r="J34" s="322"/>
      <c r="K34" s="322"/>
      <c r="L34" s="322"/>
    </row>
    <row r="35" spans="2:12" ht="37.5" customHeight="1" x14ac:dyDescent="0.2">
      <c r="B35" s="2500" t="s">
        <v>2226</v>
      </c>
      <c r="C35" s="2500"/>
      <c r="D35" s="2501"/>
      <c r="E35" s="2501"/>
      <c r="F35" s="2501"/>
      <c r="G35" s="2501"/>
      <c r="H35" s="2501"/>
      <c r="I35" s="2501"/>
      <c r="J35" s="2501"/>
      <c r="K35" s="2501"/>
      <c r="L35" s="322"/>
    </row>
    <row r="36" spans="2:12" ht="4.5" customHeight="1" x14ac:dyDescent="0.2">
      <c r="B36" s="1477"/>
      <c r="C36" s="1477"/>
      <c r="D36" s="1425"/>
      <c r="E36" s="1425"/>
      <c r="F36" s="1425"/>
      <c r="G36" s="1426"/>
      <c r="H36" s="1425"/>
      <c r="I36" s="1426"/>
      <c r="J36" s="1425"/>
      <c r="K36" s="1425"/>
      <c r="L36" s="322"/>
    </row>
    <row r="37" spans="2:12" ht="13.5" customHeight="1" x14ac:dyDescent="0.2">
      <c r="B37" s="1382" t="s">
        <v>1363</v>
      </c>
      <c r="C37" s="1382"/>
      <c r="D37" s="322"/>
      <c r="E37" s="322"/>
      <c r="F37" s="322"/>
      <c r="G37" s="1381"/>
      <c r="H37" s="322"/>
      <c r="I37" s="1381"/>
      <c r="J37" s="322"/>
      <c r="K37" s="322"/>
      <c r="L37" s="322"/>
    </row>
    <row r="38" spans="2:12" ht="35.25" customHeight="1" x14ac:dyDescent="0.2">
      <c r="B38" s="2500" t="s">
        <v>2228</v>
      </c>
      <c r="C38" s="2500"/>
      <c r="D38" s="2501"/>
      <c r="E38" s="2501"/>
      <c r="F38" s="2501"/>
      <c r="G38" s="2501"/>
      <c r="H38" s="2501"/>
      <c r="I38" s="2501"/>
      <c r="J38" s="2501"/>
      <c r="K38" s="2501"/>
      <c r="L38" s="322"/>
    </row>
    <row r="39" spans="2:12" ht="4.5" customHeight="1" x14ac:dyDescent="0.2">
      <c r="B39" s="1400"/>
      <c r="C39" s="1400"/>
      <c r="D39" s="322"/>
      <c r="E39" s="322"/>
      <c r="F39" s="322"/>
      <c r="G39" s="1381"/>
      <c r="H39" s="322"/>
      <c r="I39" s="1381"/>
      <c r="J39" s="322"/>
      <c r="K39" s="322"/>
      <c r="L39" s="322"/>
    </row>
    <row r="40" spans="2:12" s="322" customFormat="1" ht="13.5" customHeight="1" x14ac:dyDescent="0.2">
      <c r="B40" s="1401" t="s">
        <v>1859</v>
      </c>
      <c r="C40" s="1401"/>
      <c r="D40" s="1376"/>
      <c r="E40" s="1377"/>
      <c r="F40" s="1377"/>
      <c r="G40" s="1378"/>
      <c r="H40" s="1377"/>
      <c r="I40" s="1378"/>
      <c r="J40" s="1377"/>
      <c r="K40" s="1377"/>
    </row>
    <row r="41" spans="2:12" s="322" customFormat="1" ht="33.75" customHeight="1" x14ac:dyDescent="0.2">
      <c r="B41" s="2500" t="s">
        <v>2229</v>
      </c>
      <c r="C41" s="2500"/>
      <c r="D41" s="2501"/>
      <c r="E41" s="2501"/>
      <c r="F41" s="2501"/>
      <c r="G41" s="2501"/>
      <c r="H41" s="2501"/>
      <c r="I41" s="2501"/>
      <c r="J41" s="2501"/>
      <c r="K41" s="2501"/>
    </row>
    <row r="42" spans="2:12" s="322" customFormat="1" ht="4.5" customHeight="1" x14ac:dyDescent="0.2">
      <c r="B42" s="1400"/>
      <c r="C42" s="1400"/>
      <c r="G42" s="1381"/>
      <c r="I42" s="1381"/>
    </row>
    <row r="43" spans="2:12" s="322" customFormat="1" ht="13.5" customHeight="1" x14ac:dyDescent="0.2">
      <c r="B43" s="1480" t="s">
        <v>1352</v>
      </c>
      <c r="C43" s="1481"/>
      <c r="D43" s="1402"/>
      <c r="E43" s="1402"/>
      <c r="F43" s="1402"/>
      <c r="G43" s="1403"/>
      <c r="H43" s="1402"/>
      <c r="I43" s="1403"/>
      <c r="J43" s="1402"/>
      <c r="K43" s="1404"/>
      <c r="L43" s="1482"/>
    </row>
    <row r="44" spans="2:12" s="322" customFormat="1" ht="13.5" customHeight="1" x14ac:dyDescent="0.2">
      <c r="B44" s="1405" t="s">
        <v>1351</v>
      </c>
      <c r="C44" s="1406"/>
      <c r="D44" s="1483"/>
      <c r="E44" s="1407"/>
      <c r="F44" s="1411" t="s">
        <v>1350</v>
      </c>
      <c r="G44" s="1409"/>
      <c r="H44" s="1408"/>
      <c r="I44" s="1409"/>
      <c r="J44" s="1484"/>
      <c r="K44" s="1485"/>
      <c r="L44" s="1482"/>
    </row>
    <row r="45" spans="2:12" s="322" customFormat="1" ht="13.5" customHeight="1" x14ac:dyDescent="0.2">
      <c r="B45" s="1405" t="s">
        <v>1349</v>
      </c>
      <c r="C45" s="1406"/>
      <c r="D45" s="1484"/>
      <c r="E45" s="1408"/>
      <c r="F45" s="1411" t="s">
        <v>1348</v>
      </c>
      <c r="G45" s="1409"/>
      <c r="H45" s="1408"/>
      <c r="I45" s="1409"/>
      <c r="J45" s="1484"/>
      <c r="K45" s="1485"/>
      <c r="L45" s="1482"/>
    </row>
    <row r="46" spans="2:12" s="322" customFormat="1" ht="13.5" customHeight="1" x14ac:dyDescent="0.2">
      <c r="B46" s="1412"/>
      <c r="C46" s="1410"/>
      <c r="D46" s="1410"/>
      <c r="E46" s="1410"/>
      <c r="F46" s="1410"/>
      <c r="G46" s="1413"/>
      <c r="H46" s="1410"/>
      <c r="I46" s="1413"/>
      <c r="J46" s="1410"/>
      <c r="K46" s="1414"/>
      <c r="L46" s="1482"/>
    </row>
    <row r="47" spans="2:12" ht="7.5" customHeight="1" x14ac:dyDescent="0.25">
      <c r="B47" s="1486"/>
      <c r="C47" s="1486"/>
      <c r="D47" s="1487"/>
      <c r="E47" s="1487"/>
      <c r="F47" s="1487"/>
      <c r="G47" s="1488"/>
      <c r="H47" s="1487"/>
      <c r="I47" s="1488"/>
      <c r="J47" s="1487"/>
      <c r="K47" s="1487"/>
    </row>
    <row r="48" spans="2:12" ht="13.5" customHeight="1" x14ac:dyDescent="0.2">
      <c r="B48" s="1417" t="s">
        <v>1860</v>
      </c>
      <c r="C48" s="1417"/>
      <c r="D48" s="322"/>
      <c r="E48" s="322"/>
      <c r="F48" s="322"/>
    </row>
    <row r="49" spans="2:3" s="317" customFormat="1" ht="10.5" customHeight="1" x14ac:dyDescent="0.2">
      <c r="B49" s="1418" t="s">
        <v>1861</v>
      </c>
      <c r="C49" s="1418"/>
    </row>
    <row r="50" spans="2:3" s="317" customFormat="1" ht="11.1" customHeight="1" x14ac:dyDescent="0.2">
      <c r="B50" s="1418" t="s">
        <v>1862</v>
      </c>
      <c r="C50" s="1418"/>
    </row>
    <row r="51" spans="2:3" s="317" customFormat="1" ht="11.1" customHeight="1" x14ac:dyDescent="0.2">
      <c r="B51" s="1418" t="s">
        <v>1863</v>
      </c>
      <c r="C51" s="1418"/>
    </row>
    <row r="52" spans="2:3" s="317" customFormat="1" ht="11.1" customHeight="1" x14ac:dyDescent="0.2">
      <c r="B52" s="1418" t="s">
        <v>1864</v>
      </c>
      <c r="C52" s="1418"/>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scale="99" firstPageNumber="42" orientation="portrait" useFirstPageNumber="1" r:id="rId1"/>
  <headerFooter>
    <oddHeader>&amp;L&amp;8Page 44&amp;R&amp;8Page 44</oddHeader>
    <oddFooter>&amp;LSee Notes to Financial Statements</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showGridLines="0" topLeftCell="A34" zoomScale="110" zoomScaleNormal="110" workbookViewId="0">
      <selection activeCell="K36" sqref="K36"/>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5" t="str">
        <f>'Single Audit Cover'!A7</f>
        <v>Jersey CUSD 100</v>
      </c>
      <c r="C1" s="2505"/>
      <c r="D1" s="2505"/>
      <c r="E1" s="2505"/>
      <c r="F1" s="2505"/>
      <c r="G1" s="2505"/>
      <c r="H1" s="2505"/>
      <c r="I1" s="2505"/>
      <c r="J1" s="2505"/>
      <c r="K1" s="2505"/>
      <c r="L1" s="1463"/>
    </row>
    <row r="2" spans="1:12" ht="12.75" customHeight="1" x14ac:dyDescent="0.2">
      <c r="B2" s="2506">
        <f>'Single Audit Cover'!E7</f>
        <v>40042100026</v>
      </c>
      <c r="C2" s="2506"/>
      <c r="D2" s="2506"/>
      <c r="E2" s="2506"/>
      <c r="F2" s="2506"/>
      <c r="G2" s="2506"/>
      <c r="H2" s="2506"/>
      <c r="I2" s="2506"/>
      <c r="J2" s="2506"/>
      <c r="K2" s="2506"/>
      <c r="L2" s="1464"/>
    </row>
    <row r="3" spans="1:12" ht="12.75" customHeight="1" x14ac:dyDescent="0.2">
      <c r="B3" s="2502" t="s">
        <v>1346</v>
      </c>
      <c r="C3" s="2502"/>
      <c r="D3" s="2502"/>
      <c r="E3" s="2502"/>
      <c r="F3" s="2502"/>
      <c r="G3" s="2502"/>
      <c r="H3" s="2502"/>
      <c r="I3" s="2502"/>
      <c r="J3" s="2502"/>
      <c r="K3" s="2502"/>
      <c r="L3" s="1944"/>
    </row>
    <row r="4" spans="1:12" ht="12.75" customHeight="1" x14ac:dyDescent="0.2">
      <c r="B4" s="2502" t="str">
        <f>'Single Audit Cover'!A4</f>
        <v>Year Ending June 30, 2018</v>
      </c>
      <c r="C4" s="2502"/>
      <c r="D4" s="2502"/>
      <c r="E4" s="2502"/>
      <c r="F4" s="2502"/>
      <c r="G4" s="2502"/>
      <c r="H4" s="2502"/>
      <c r="I4" s="2502"/>
      <c r="J4" s="2502"/>
      <c r="K4" s="2502"/>
      <c r="L4" s="1944"/>
    </row>
    <row r="5" spans="1:12" ht="5.25" customHeight="1" x14ac:dyDescent="0.2">
      <c r="B5" s="1259" t="s">
        <v>1230</v>
      </c>
      <c r="C5" s="1259"/>
      <c r="L5" s="322"/>
    </row>
    <row r="6" spans="1:12" ht="30.75" customHeight="1" x14ac:dyDescent="0.2">
      <c r="A6" s="322"/>
      <c r="B6" s="2507" t="s">
        <v>1374</v>
      </c>
      <c r="C6" s="2507"/>
      <c r="D6" s="2507"/>
      <c r="E6" s="2507"/>
      <c r="F6" s="2507"/>
      <c r="G6" s="2507"/>
      <c r="H6" s="2507"/>
      <c r="I6" s="2507"/>
      <c r="J6" s="2507"/>
      <c r="K6" s="2507"/>
      <c r="L6" s="322"/>
    </row>
    <row r="7" spans="1:12" ht="4.5" customHeight="1" x14ac:dyDescent="0.2">
      <c r="B7" s="1377"/>
      <c r="C7" s="1377"/>
      <c r="D7" s="1377"/>
      <c r="E7" s="1377"/>
      <c r="F7" s="1377"/>
      <c r="G7" s="1378"/>
      <c r="H7" s="1377"/>
      <c r="I7" s="1378"/>
      <c r="J7" s="1377"/>
      <c r="K7" s="1377"/>
      <c r="L7" s="322"/>
    </row>
    <row r="8" spans="1:12" ht="13.5" customHeight="1" x14ac:dyDescent="0.2">
      <c r="B8" s="1385" t="s">
        <v>1855</v>
      </c>
      <c r="C8" s="1465" t="s">
        <v>1949</v>
      </c>
      <c r="D8" s="1466">
        <v>11</v>
      </c>
      <c r="E8" s="322"/>
      <c r="F8" s="1382" t="s">
        <v>1361</v>
      </c>
      <c r="G8" s="1467" t="s">
        <v>2076</v>
      </c>
      <c r="H8" s="1468" t="s">
        <v>1373</v>
      </c>
      <c r="I8" s="1467"/>
      <c r="J8" s="1469" t="s">
        <v>1372</v>
      </c>
      <c r="L8" s="322"/>
    </row>
    <row r="9" spans="1:12" ht="13.5" customHeight="1" x14ac:dyDescent="0.2">
      <c r="D9" s="322"/>
      <c r="E9" s="322"/>
      <c r="F9" s="322"/>
      <c r="G9" s="1381"/>
      <c r="H9" s="322"/>
      <c r="I9" s="1470" t="s">
        <v>1358</v>
      </c>
      <c r="J9" s="322"/>
      <c r="K9" s="1471"/>
      <c r="L9" s="322"/>
    </row>
    <row r="10" spans="1:12" ht="4.5" customHeight="1" x14ac:dyDescent="0.2">
      <c r="B10" s="1472"/>
      <c r="C10" s="1472"/>
      <c r="D10" s="1425"/>
      <c r="E10" s="1425"/>
      <c r="F10" s="1425"/>
      <c r="G10" s="1426"/>
      <c r="H10" s="1425"/>
      <c r="I10" s="1426"/>
      <c r="J10" s="1425"/>
      <c r="K10" s="1425"/>
      <c r="L10" s="322"/>
    </row>
    <row r="11" spans="1:12" ht="5.25" customHeight="1" x14ac:dyDescent="0.2">
      <c r="B11" s="322"/>
      <c r="C11" s="322"/>
      <c r="D11" s="304"/>
      <c r="E11" s="322"/>
      <c r="F11" s="322"/>
      <c r="G11" s="1381"/>
      <c r="H11" s="322"/>
      <c r="I11" s="1381"/>
      <c r="J11" s="322"/>
      <c r="K11" s="1430"/>
      <c r="L11" s="322"/>
    </row>
    <row r="12" spans="1:12" ht="13.5" customHeight="1" x14ac:dyDescent="0.2">
      <c r="B12" s="1382" t="s">
        <v>1371</v>
      </c>
      <c r="C12" s="1382"/>
      <c r="D12" s="304"/>
      <c r="E12" s="322"/>
      <c r="F12" s="2493" t="s">
        <v>2230</v>
      </c>
      <c r="G12" s="2493"/>
      <c r="H12" s="2493"/>
      <c r="I12" s="2493"/>
      <c r="J12" s="2493"/>
      <c r="K12" s="2493"/>
      <c r="L12" s="322"/>
    </row>
    <row r="13" spans="1:12" ht="9.6" customHeight="1" x14ac:dyDescent="0.2">
      <c r="B13" s="1256"/>
      <c r="C13" s="1256"/>
      <c r="D13" s="304"/>
      <c r="E13" s="322"/>
      <c r="F13" s="322"/>
      <c r="G13" s="1381"/>
      <c r="H13" s="322"/>
      <c r="I13" s="1381"/>
      <c r="J13" s="322"/>
      <c r="K13" s="1430"/>
      <c r="L13" s="322"/>
    </row>
    <row r="14" spans="1:12" ht="13.5" customHeight="1" x14ac:dyDescent="0.2">
      <c r="B14" s="1385" t="s">
        <v>1370</v>
      </c>
      <c r="C14" s="1385"/>
      <c r="D14" s="2508" t="s">
        <v>2148</v>
      </c>
      <c r="E14" s="2508"/>
      <c r="F14" s="2508"/>
      <c r="H14" s="1473" t="s">
        <v>1369</v>
      </c>
      <c r="I14" s="2510">
        <v>84.173000000000002</v>
      </c>
      <c r="J14" s="2510"/>
      <c r="K14" s="2510"/>
      <c r="L14" s="322"/>
    </row>
    <row r="15" spans="1:12" ht="9.4" customHeight="1" x14ac:dyDescent="0.2">
      <c r="B15" s="1385"/>
      <c r="C15" s="1385"/>
      <c r="D15" s="1371"/>
      <c r="E15" s="1259"/>
      <c r="F15" s="1259"/>
      <c r="G15" s="1285"/>
      <c r="H15" s="1259"/>
      <c r="I15" s="1474"/>
      <c r="J15" s="1292"/>
      <c r="K15" s="1289"/>
      <c r="L15" s="322"/>
    </row>
    <row r="16" spans="1:12" ht="13.5" customHeight="1" x14ac:dyDescent="0.2">
      <c r="B16" s="1385" t="s">
        <v>1368</v>
      </c>
      <c r="C16" s="1385"/>
      <c r="D16" s="2510" t="s">
        <v>2231</v>
      </c>
      <c r="E16" s="2510"/>
      <c r="F16" s="2510"/>
      <c r="G16" s="2510"/>
      <c r="H16" s="2510"/>
      <c r="I16" s="2510"/>
      <c r="J16" s="2510"/>
      <c r="K16" s="2510"/>
      <c r="L16" s="322"/>
    </row>
    <row r="17" spans="2:12" ht="13.5" customHeight="1" x14ac:dyDescent="0.2">
      <c r="B17" s="1385" t="s">
        <v>1367</v>
      </c>
      <c r="C17" s="1385"/>
      <c r="D17" s="2511" t="s">
        <v>2220</v>
      </c>
      <c r="E17" s="2511"/>
      <c r="F17" s="2511"/>
      <c r="G17" s="2511"/>
      <c r="H17" s="2511"/>
      <c r="I17" s="2511"/>
      <c r="J17" s="2511"/>
      <c r="K17" s="2511"/>
      <c r="L17" s="322"/>
    </row>
    <row r="18" spans="2:12" ht="9.4" customHeight="1" x14ac:dyDescent="0.2">
      <c r="B18" s="1425"/>
      <c r="C18" s="1425"/>
      <c r="D18" s="1425"/>
      <c r="E18" s="1425"/>
      <c r="F18" s="1425"/>
      <c r="G18" s="1426"/>
      <c r="H18" s="1425"/>
      <c r="I18" s="1426"/>
      <c r="J18" s="1425"/>
      <c r="K18" s="1425"/>
      <c r="L18" s="322"/>
    </row>
    <row r="19" spans="2:12" ht="13.5" customHeight="1" x14ac:dyDescent="0.2">
      <c r="B19" s="1475" t="s">
        <v>1366</v>
      </c>
      <c r="C19" s="1475"/>
      <c r="D19" s="328"/>
      <c r="E19" s="328"/>
      <c r="F19" s="328"/>
      <c r="G19" s="1476"/>
      <c r="H19" s="328"/>
      <c r="I19" s="1476"/>
      <c r="J19" s="322"/>
      <c r="K19" s="322"/>
      <c r="L19" s="322"/>
    </row>
    <row r="20" spans="2:12" ht="35.25" customHeight="1" x14ac:dyDescent="0.2">
      <c r="B20" s="2500" t="s">
        <v>2232</v>
      </c>
      <c r="C20" s="2500"/>
      <c r="D20" s="2501"/>
      <c r="E20" s="2501"/>
      <c r="F20" s="2501"/>
      <c r="G20" s="2501"/>
      <c r="H20" s="2501"/>
      <c r="I20" s="2501"/>
      <c r="J20" s="2501"/>
      <c r="K20" s="2501"/>
      <c r="L20" s="1430"/>
    </row>
    <row r="21" spans="2:12" ht="4.5" customHeight="1" x14ac:dyDescent="0.2">
      <c r="B21" s="1477"/>
      <c r="C21" s="1477"/>
      <c r="D21" s="1478"/>
      <c r="E21" s="1478"/>
      <c r="F21" s="1478"/>
      <c r="G21" s="1426"/>
      <c r="H21" s="1478"/>
      <c r="I21" s="1426"/>
      <c r="J21" s="1478"/>
      <c r="K21" s="1478"/>
      <c r="L21" s="1430"/>
    </row>
    <row r="22" spans="2:12" ht="13.35" customHeight="1" x14ac:dyDescent="0.2">
      <c r="B22" s="1475" t="s">
        <v>1856</v>
      </c>
      <c r="C22" s="1475"/>
      <c r="D22" s="322"/>
      <c r="E22" s="322"/>
      <c r="F22" s="322"/>
      <c r="G22" s="1381"/>
      <c r="H22" s="322"/>
      <c r="I22" s="1381"/>
      <c r="J22" s="322"/>
      <c r="K22" s="322"/>
      <c r="L22" s="322"/>
    </row>
    <row r="23" spans="2:12" ht="37.5" customHeight="1" x14ac:dyDescent="0.2">
      <c r="B23" s="2500" t="s">
        <v>2233</v>
      </c>
      <c r="C23" s="2500"/>
      <c r="D23" s="2501"/>
      <c r="E23" s="2501"/>
      <c r="F23" s="2501"/>
      <c r="G23" s="2501"/>
      <c r="H23" s="2501"/>
      <c r="I23" s="2501"/>
      <c r="J23" s="2501"/>
      <c r="K23" s="2501"/>
      <c r="L23" s="322"/>
    </row>
    <row r="24" spans="2:12" ht="4.5" customHeight="1" x14ac:dyDescent="0.2">
      <c r="B24" s="1477"/>
      <c r="C24" s="1477"/>
      <c r="D24" s="1425"/>
      <c r="E24" s="1425"/>
      <c r="F24" s="1425"/>
      <c r="G24" s="1426"/>
      <c r="H24" s="1425"/>
      <c r="I24" s="1426"/>
      <c r="J24" s="1425"/>
      <c r="K24" s="1425"/>
      <c r="L24" s="322"/>
    </row>
    <row r="25" spans="2:12" ht="13.5" customHeight="1" x14ac:dyDescent="0.2">
      <c r="B25" s="1475" t="s">
        <v>1857</v>
      </c>
      <c r="C25" s="1475"/>
      <c r="D25" s="322"/>
      <c r="E25" s="322"/>
      <c r="F25" s="322"/>
      <c r="G25" s="1381"/>
      <c r="H25" s="322"/>
      <c r="I25" s="1381"/>
      <c r="J25" s="322"/>
      <c r="K25" s="322"/>
      <c r="L25" s="322"/>
    </row>
    <row r="26" spans="2:12" ht="37.5" customHeight="1" x14ac:dyDescent="0.2">
      <c r="B26" s="2500" t="s">
        <v>2216</v>
      </c>
      <c r="C26" s="2500"/>
      <c r="D26" s="2501"/>
      <c r="E26" s="2501"/>
      <c r="F26" s="2501"/>
      <c r="G26" s="2501"/>
      <c r="H26" s="2501"/>
      <c r="I26" s="2501"/>
      <c r="J26" s="2501"/>
      <c r="K26" s="2501"/>
      <c r="L26" s="322"/>
    </row>
    <row r="27" spans="2:12" ht="4.5" customHeight="1" x14ac:dyDescent="0.2">
      <c r="B27" s="1479"/>
      <c r="C27" s="1479"/>
      <c r="D27" s="1479"/>
      <c r="E27" s="1425"/>
      <c r="F27" s="1425"/>
      <c r="G27" s="1426"/>
      <c r="H27" s="1425"/>
      <c r="I27" s="1426"/>
      <c r="J27" s="1425"/>
      <c r="K27" s="1425"/>
      <c r="L27" s="322"/>
    </row>
    <row r="28" spans="2:12" ht="13.5" customHeight="1" x14ac:dyDescent="0.2">
      <c r="B28" s="1475" t="s">
        <v>1858</v>
      </c>
      <c r="C28" s="1475"/>
      <c r="D28" s="322"/>
      <c r="E28" s="322"/>
      <c r="F28" s="322"/>
      <c r="G28" s="1381"/>
      <c r="H28" s="322"/>
      <c r="I28" s="1381"/>
      <c r="J28" s="322"/>
      <c r="K28" s="322"/>
      <c r="L28" s="322"/>
    </row>
    <row r="29" spans="2:12" ht="37.5" customHeight="1" x14ac:dyDescent="0.2">
      <c r="B29" s="2500" t="s">
        <v>2235</v>
      </c>
      <c r="C29" s="2500"/>
      <c r="D29" s="2501"/>
      <c r="E29" s="2501"/>
      <c r="F29" s="2501"/>
      <c r="G29" s="2501"/>
      <c r="H29" s="2501"/>
      <c r="I29" s="2501"/>
      <c r="J29" s="2501"/>
      <c r="K29" s="2501"/>
      <c r="L29" s="322"/>
    </row>
    <row r="30" spans="2:12" ht="4.5" customHeight="1" x14ac:dyDescent="0.2">
      <c r="B30" s="1477"/>
      <c r="C30" s="1477"/>
      <c r="D30" s="1425"/>
      <c r="E30" s="1425"/>
      <c r="F30" s="1425"/>
      <c r="G30" s="1426"/>
      <c r="H30" s="1425"/>
      <c r="I30" s="1426"/>
      <c r="J30" s="1425"/>
      <c r="K30" s="1425"/>
      <c r="L30" s="322"/>
    </row>
    <row r="31" spans="2:12" ht="13.5" customHeight="1" x14ac:dyDescent="0.2">
      <c r="B31" s="1475" t="s">
        <v>1365</v>
      </c>
      <c r="C31" s="1475"/>
      <c r="D31" s="322"/>
      <c r="E31" s="322"/>
      <c r="F31" s="322"/>
      <c r="G31" s="1381"/>
      <c r="H31" s="322"/>
      <c r="I31" s="1381"/>
      <c r="J31" s="322"/>
      <c r="K31" s="322"/>
      <c r="L31" s="322"/>
    </row>
    <row r="32" spans="2:12" ht="37.5" customHeight="1" x14ac:dyDescent="0.2">
      <c r="B32" s="2500" t="s">
        <v>2236</v>
      </c>
      <c r="C32" s="2500"/>
      <c r="D32" s="2501"/>
      <c r="E32" s="2501"/>
      <c r="F32" s="2501"/>
      <c r="G32" s="2501"/>
      <c r="H32" s="2501"/>
      <c r="I32" s="2501"/>
      <c r="J32" s="2501"/>
      <c r="K32" s="2501"/>
      <c r="L32" s="322"/>
    </row>
    <row r="33" spans="2:12" ht="4.5" customHeight="1" x14ac:dyDescent="0.2">
      <c r="B33" s="1477"/>
      <c r="C33" s="1477"/>
      <c r="D33" s="1425"/>
      <c r="E33" s="1425"/>
      <c r="F33" s="1425"/>
      <c r="G33" s="1426"/>
      <c r="H33" s="1425"/>
      <c r="I33" s="1426"/>
      <c r="J33" s="1425"/>
      <c r="K33" s="1425"/>
      <c r="L33" s="322"/>
    </row>
    <row r="34" spans="2:12" ht="13.5" customHeight="1" x14ac:dyDescent="0.2">
      <c r="B34" s="1382" t="s">
        <v>1364</v>
      </c>
      <c r="C34" s="1382"/>
      <c r="D34" s="322"/>
      <c r="E34" s="322"/>
      <c r="F34" s="322"/>
      <c r="G34" s="1381"/>
      <c r="H34" s="322"/>
      <c r="I34" s="1381"/>
      <c r="J34" s="322"/>
      <c r="K34" s="322"/>
      <c r="L34" s="322"/>
    </row>
    <row r="35" spans="2:12" ht="37.5" customHeight="1" x14ac:dyDescent="0.2">
      <c r="B35" s="2500" t="s">
        <v>2234</v>
      </c>
      <c r="C35" s="2500"/>
      <c r="D35" s="2501"/>
      <c r="E35" s="2501"/>
      <c r="F35" s="2501"/>
      <c r="G35" s="2501"/>
      <c r="H35" s="2501"/>
      <c r="I35" s="2501"/>
      <c r="J35" s="2501"/>
      <c r="K35" s="2501"/>
      <c r="L35" s="322"/>
    </row>
    <row r="36" spans="2:12" ht="4.5" customHeight="1" x14ac:dyDescent="0.2">
      <c r="B36" s="1477"/>
      <c r="C36" s="1477"/>
      <c r="D36" s="1425"/>
      <c r="E36" s="1425"/>
      <c r="F36" s="1425"/>
      <c r="G36" s="1426"/>
      <c r="H36" s="1425"/>
      <c r="I36" s="1426"/>
      <c r="J36" s="1425"/>
      <c r="K36" s="1425"/>
      <c r="L36" s="322"/>
    </row>
    <row r="37" spans="2:12" ht="13.5" customHeight="1" x14ac:dyDescent="0.2">
      <c r="B37" s="1382" t="s">
        <v>1363</v>
      </c>
      <c r="C37" s="1382"/>
      <c r="D37" s="322"/>
      <c r="E37" s="322"/>
      <c r="F37" s="322"/>
      <c r="G37" s="1381"/>
      <c r="H37" s="322"/>
      <c r="I37" s="1381"/>
      <c r="J37" s="322"/>
      <c r="K37" s="322"/>
      <c r="L37" s="322"/>
    </row>
    <row r="38" spans="2:12" ht="35.25" customHeight="1" x14ac:dyDescent="0.2">
      <c r="B38" s="2500" t="s">
        <v>2237</v>
      </c>
      <c r="C38" s="2500"/>
      <c r="D38" s="2501"/>
      <c r="E38" s="2501"/>
      <c r="F38" s="2501"/>
      <c r="G38" s="2501"/>
      <c r="H38" s="2501"/>
      <c r="I38" s="2501"/>
      <c r="J38" s="2501"/>
      <c r="K38" s="2501"/>
      <c r="L38" s="322"/>
    </row>
    <row r="39" spans="2:12" ht="4.5" customHeight="1" x14ac:dyDescent="0.2">
      <c r="B39" s="1400"/>
      <c r="C39" s="1400"/>
      <c r="D39" s="322"/>
      <c r="E39" s="322"/>
      <c r="F39" s="322"/>
      <c r="G39" s="1381"/>
      <c r="H39" s="322"/>
      <c r="I39" s="1381"/>
      <c r="J39" s="322"/>
      <c r="K39" s="322"/>
      <c r="L39" s="322"/>
    </row>
    <row r="40" spans="2:12" s="322" customFormat="1" ht="13.5" customHeight="1" x14ac:dyDescent="0.2">
      <c r="B40" s="1401" t="s">
        <v>1859</v>
      </c>
      <c r="C40" s="1401"/>
      <c r="D40" s="1376"/>
      <c r="E40" s="1377"/>
      <c r="F40" s="1377"/>
      <c r="G40" s="1378"/>
      <c r="H40" s="1377"/>
      <c r="I40" s="1378"/>
      <c r="J40" s="1377"/>
      <c r="K40" s="1377"/>
    </row>
    <row r="41" spans="2:12" s="322" customFormat="1" ht="33.75" customHeight="1" x14ac:dyDescent="0.2">
      <c r="B41" s="2500" t="s">
        <v>2348</v>
      </c>
      <c r="C41" s="2500"/>
      <c r="D41" s="2501"/>
      <c r="E41" s="2501"/>
      <c r="F41" s="2501"/>
      <c r="G41" s="2501"/>
      <c r="H41" s="2501"/>
      <c r="I41" s="2501"/>
      <c r="J41" s="2501"/>
      <c r="K41" s="2501"/>
    </row>
    <row r="42" spans="2:12" s="322" customFormat="1" ht="4.5" customHeight="1" x14ac:dyDescent="0.2">
      <c r="B42" s="1400"/>
      <c r="C42" s="1400"/>
      <c r="G42" s="1381"/>
      <c r="I42" s="1381"/>
    </row>
    <row r="43" spans="2:12" s="322" customFormat="1" ht="13.5" customHeight="1" x14ac:dyDescent="0.2">
      <c r="B43" s="1480" t="s">
        <v>1352</v>
      </c>
      <c r="C43" s="1481"/>
      <c r="D43" s="1402"/>
      <c r="E43" s="1402"/>
      <c r="F43" s="1402"/>
      <c r="G43" s="1403"/>
      <c r="H43" s="1402"/>
      <c r="I43" s="1403"/>
      <c r="J43" s="1402"/>
      <c r="K43" s="1404"/>
      <c r="L43" s="1482"/>
    </row>
    <row r="44" spans="2:12" s="322" customFormat="1" ht="13.5" customHeight="1" x14ac:dyDescent="0.2">
      <c r="B44" s="1405" t="s">
        <v>1351</v>
      </c>
      <c r="C44" s="1406"/>
      <c r="D44" s="1483"/>
      <c r="E44" s="1407"/>
      <c r="F44" s="1411" t="s">
        <v>1350</v>
      </c>
      <c r="G44" s="1409"/>
      <c r="H44" s="1408"/>
      <c r="I44" s="1409"/>
      <c r="J44" s="1484"/>
      <c r="K44" s="1485"/>
      <c r="L44" s="1482"/>
    </row>
    <row r="45" spans="2:12" s="322" customFormat="1" ht="13.5" customHeight="1" x14ac:dyDescent="0.2">
      <c r="B45" s="1405" t="s">
        <v>1349</v>
      </c>
      <c r="C45" s="1406"/>
      <c r="D45" s="1484"/>
      <c r="E45" s="1408"/>
      <c r="F45" s="1411" t="s">
        <v>1348</v>
      </c>
      <c r="G45" s="1409"/>
      <c r="H45" s="1408"/>
      <c r="I45" s="1409"/>
      <c r="J45" s="1484"/>
      <c r="K45" s="1485"/>
      <c r="L45" s="1482"/>
    </row>
    <row r="46" spans="2:12" s="322" customFormat="1" ht="13.5" customHeight="1" x14ac:dyDescent="0.2">
      <c r="B46" s="1412"/>
      <c r="C46" s="1410"/>
      <c r="D46" s="1410"/>
      <c r="E46" s="1410"/>
      <c r="F46" s="1410"/>
      <c r="G46" s="1413"/>
      <c r="H46" s="1410"/>
      <c r="I46" s="1413"/>
      <c r="J46" s="1410"/>
      <c r="K46" s="1414"/>
      <c r="L46" s="1482"/>
    </row>
    <row r="47" spans="2:12" ht="7.5" customHeight="1" x14ac:dyDescent="0.25">
      <c r="B47" s="1486"/>
      <c r="C47" s="1486"/>
      <c r="D47" s="1487"/>
      <c r="E47" s="1487"/>
      <c r="F47" s="1487"/>
      <c r="G47" s="1488"/>
      <c r="H47" s="1487"/>
      <c r="I47" s="1488"/>
      <c r="J47" s="1487"/>
      <c r="K47" s="1487"/>
    </row>
    <row r="48" spans="2:12" ht="13.5" customHeight="1" x14ac:dyDescent="0.2">
      <c r="B48" s="1417" t="s">
        <v>1860</v>
      </c>
      <c r="C48" s="1417"/>
      <c r="D48" s="322"/>
      <c r="E48" s="322"/>
      <c r="F48" s="322"/>
    </row>
    <row r="49" spans="2:3" s="317" customFormat="1" ht="10.5" customHeight="1" x14ac:dyDescent="0.2">
      <c r="B49" s="1418" t="s">
        <v>1861</v>
      </c>
      <c r="C49" s="1418"/>
    </row>
    <row r="50" spans="2:3" s="317" customFormat="1" ht="11.1" customHeight="1" x14ac:dyDescent="0.2">
      <c r="B50" s="1418" t="s">
        <v>1862</v>
      </c>
      <c r="C50" s="1418"/>
    </row>
    <row r="51" spans="2:3" s="317" customFormat="1" ht="11.1" customHeight="1" x14ac:dyDescent="0.2">
      <c r="B51" s="1418" t="s">
        <v>1863</v>
      </c>
      <c r="C51" s="1418"/>
    </row>
    <row r="52" spans="2:3" s="317" customFormat="1" ht="11.1" customHeight="1" x14ac:dyDescent="0.2">
      <c r="B52" s="1418" t="s">
        <v>1864</v>
      </c>
      <c r="C52" s="1418"/>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scale="99" firstPageNumber="42" orientation="portrait" useFirstPageNumber="1" r:id="rId1"/>
  <headerFooter>
    <oddHeader>&amp;L&amp;8Page 44&amp;R&amp;8Page 44</oddHeader>
    <oddFooter>&amp;LSee Notes to Financial Statements</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showGridLines="0" topLeftCell="A31" zoomScale="110" zoomScaleNormal="110" workbookViewId="0">
      <selection activeCell="K36" sqref="K36"/>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5" t="str">
        <f>'Single Audit Cover'!A7</f>
        <v>Jersey CUSD 100</v>
      </c>
      <c r="C1" s="2505"/>
      <c r="D1" s="2505"/>
      <c r="E1" s="2505"/>
      <c r="F1" s="2505"/>
      <c r="G1" s="2505"/>
      <c r="H1" s="2505"/>
      <c r="I1" s="2505"/>
      <c r="J1" s="2505"/>
      <c r="K1" s="2505"/>
      <c r="L1" s="1463"/>
    </row>
    <row r="2" spans="1:12" ht="12.75" customHeight="1" x14ac:dyDescent="0.2">
      <c r="B2" s="2506">
        <f>'Single Audit Cover'!E7</f>
        <v>40042100026</v>
      </c>
      <c r="C2" s="2506"/>
      <c r="D2" s="2506"/>
      <c r="E2" s="2506"/>
      <c r="F2" s="2506"/>
      <c r="G2" s="2506"/>
      <c r="H2" s="2506"/>
      <c r="I2" s="2506"/>
      <c r="J2" s="2506"/>
      <c r="K2" s="2506"/>
      <c r="L2" s="1464"/>
    </row>
    <row r="3" spans="1:12" ht="12.75" customHeight="1" x14ac:dyDescent="0.2">
      <c r="B3" s="2502" t="s">
        <v>1346</v>
      </c>
      <c r="C3" s="2502"/>
      <c r="D3" s="2502"/>
      <c r="E3" s="2502"/>
      <c r="F3" s="2502"/>
      <c r="G3" s="2502"/>
      <c r="H3" s="2502"/>
      <c r="I3" s="2502"/>
      <c r="J3" s="2502"/>
      <c r="K3" s="2502"/>
      <c r="L3" s="1961"/>
    </row>
    <row r="4" spans="1:12" ht="12.75" customHeight="1" x14ac:dyDescent="0.2">
      <c r="B4" s="2502" t="str">
        <f>'Single Audit Cover'!A4</f>
        <v>Year Ending June 30, 2018</v>
      </c>
      <c r="C4" s="2502"/>
      <c r="D4" s="2502"/>
      <c r="E4" s="2502"/>
      <c r="F4" s="2502"/>
      <c r="G4" s="2502"/>
      <c r="H4" s="2502"/>
      <c r="I4" s="2502"/>
      <c r="J4" s="2502"/>
      <c r="K4" s="2502"/>
      <c r="L4" s="1961"/>
    </row>
    <row r="5" spans="1:12" ht="5.25" customHeight="1" x14ac:dyDescent="0.2">
      <c r="B5" s="1259" t="s">
        <v>1230</v>
      </c>
      <c r="C5" s="1259"/>
      <c r="L5" s="322"/>
    </row>
    <row r="6" spans="1:12" ht="30.75" customHeight="1" x14ac:dyDescent="0.2">
      <c r="A6" s="322"/>
      <c r="B6" s="2507" t="s">
        <v>1374</v>
      </c>
      <c r="C6" s="2507"/>
      <c r="D6" s="2507"/>
      <c r="E6" s="2507"/>
      <c r="F6" s="2507"/>
      <c r="G6" s="2507"/>
      <c r="H6" s="2507"/>
      <c r="I6" s="2507"/>
      <c r="J6" s="2507"/>
      <c r="K6" s="2507"/>
      <c r="L6" s="322"/>
    </row>
    <row r="7" spans="1:12" ht="4.5" customHeight="1" x14ac:dyDescent="0.2">
      <c r="B7" s="1377"/>
      <c r="C7" s="1377"/>
      <c r="D7" s="1377"/>
      <c r="E7" s="1377"/>
      <c r="F7" s="1377"/>
      <c r="G7" s="1378"/>
      <c r="H7" s="1377"/>
      <c r="I7" s="1378"/>
      <c r="J7" s="1377"/>
      <c r="K7" s="1377"/>
      <c r="L7" s="322"/>
    </row>
    <row r="8" spans="1:12" ht="13.5" customHeight="1" x14ac:dyDescent="0.2">
      <c r="B8" s="1385" t="s">
        <v>1855</v>
      </c>
      <c r="C8" s="1465" t="s">
        <v>1949</v>
      </c>
      <c r="D8" s="1466">
        <v>12</v>
      </c>
      <c r="E8" s="322"/>
      <c r="F8" s="1382" t="s">
        <v>1361</v>
      </c>
      <c r="G8" s="1467" t="s">
        <v>2076</v>
      </c>
      <c r="H8" s="1468" t="s">
        <v>1373</v>
      </c>
      <c r="I8" s="1467"/>
      <c r="J8" s="1469" t="s">
        <v>1372</v>
      </c>
      <c r="L8" s="322"/>
    </row>
    <row r="9" spans="1:12" ht="13.5" customHeight="1" x14ac:dyDescent="0.2">
      <c r="D9" s="322"/>
      <c r="E9" s="322"/>
      <c r="F9" s="322"/>
      <c r="G9" s="1381"/>
      <c r="H9" s="322"/>
      <c r="I9" s="1470" t="s">
        <v>1358</v>
      </c>
      <c r="J9" s="322"/>
      <c r="K9" s="1471"/>
      <c r="L9" s="322"/>
    </row>
    <row r="10" spans="1:12" ht="4.5" customHeight="1" x14ac:dyDescent="0.2">
      <c r="B10" s="1472"/>
      <c r="C10" s="1472"/>
      <c r="D10" s="1425"/>
      <c r="E10" s="1425"/>
      <c r="F10" s="1425"/>
      <c r="G10" s="1426"/>
      <c r="H10" s="1425"/>
      <c r="I10" s="1426"/>
      <c r="J10" s="1425"/>
      <c r="K10" s="1425"/>
      <c r="L10" s="322"/>
    </row>
    <row r="11" spans="1:12" ht="5.25" customHeight="1" x14ac:dyDescent="0.2">
      <c r="B11" s="322"/>
      <c r="C11" s="322"/>
      <c r="D11" s="304"/>
      <c r="E11" s="322"/>
      <c r="F11" s="322"/>
      <c r="G11" s="1381"/>
      <c r="H11" s="322"/>
      <c r="I11" s="1381"/>
      <c r="J11" s="322"/>
      <c r="K11" s="1430"/>
      <c r="L11" s="322"/>
    </row>
    <row r="12" spans="1:12" ht="13.5" customHeight="1" x14ac:dyDescent="0.2">
      <c r="B12" s="1382" t="s">
        <v>1371</v>
      </c>
      <c r="C12" s="1382"/>
      <c r="D12" s="304"/>
      <c r="E12" s="322"/>
      <c r="F12" s="2493" t="s">
        <v>2230</v>
      </c>
      <c r="G12" s="2493"/>
      <c r="H12" s="2493"/>
      <c r="I12" s="2493"/>
      <c r="J12" s="2493"/>
      <c r="K12" s="2493"/>
      <c r="L12" s="322"/>
    </row>
    <row r="13" spans="1:12" ht="9.6" customHeight="1" x14ac:dyDescent="0.2">
      <c r="B13" s="1256"/>
      <c r="C13" s="1256"/>
      <c r="D13" s="304"/>
      <c r="E13" s="322"/>
      <c r="F13" s="322"/>
      <c r="G13" s="1381"/>
      <c r="H13" s="322"/>
      <c r="I13" s="1381"/>
      <c r="J13" s="322"/>
      <c r="K13" s="1430"/>
      <c r="L13" s="322"/>
    </row>
    <row r="14" spans="1:12" ht="13.5" customHeight="1" x14ac:dyDescent="0.2">
      <c r="B14" s="1385" t="s">
        <v>1370</v>
      </c>
      <c r="C14" s="1385"/>
      <c r="D14" s="2508" t="s">
        <v>2149</v>
      </c>
      <c r="E14" s="2508"/>
      <c r="F14" s="2508"/>
      <c r="H14" s="1473" t="s">
        <v>1369</v>
      </c>
      <c r="I14" s="2510">
        <v>84.173000000000002</v>
      </c>
      <c r="J14" s="2510"/>
      <c r="K14" s="2510"/>
      <c r="L14" s="322"/>
    </row>
    <row r="15" spans="1:12" ht="9.4" customHeight="1" x14ac:dyDescent="0.2">
      <c r="B15" s="1385"/>
      <c r="C15" s="1385"/>
      <c r="D15" s="1371"/>
      <c r="E15" s="1259"/>
      <c r="F15" s="1259"/>
      <c r="G15" s="1285"/>
      <c r="H15" s="1259"/>
      <c r="I15" s="1474"/>
      <c r="J15" s="1292"/>
      <c r="K15" s="1289"/>
      <c r="L15" s="322"/>
    </row>
    <row r="16" spans="1:12" ht="13.5" customHeight="1" x14ac:dyDescent="0.2">
      <c r="B16" s="1385" t="s">
        <v>1368</v>
      </c>
      <c r="C16" s="1385"/>
      <c r="D16" s="2510" t="s">
        <v>2231</v>
      </c>
      <c r="E16" s="2510"/>
      <c r="F16" s="2510"/>
      <c r="G16" s="2510"/>
      <c r="H16" s="2510"/>
      <c r="I16" s="2510"/>
      <c r="J16" s="2510"/>
      <c r="K16" s="2510"/>
      <c r="L16" s="322"/>
    </row>
    <row r="17" spans="2:12" ht="13.5" customHeight="1" x14ac:dyDescent="0.2">
      <c r="B17" s="1385" t="s">
        <v>1367</v>
      </c>
      <c r="C17" s="1385"/>
      <c r="D17" s="2511" t="s">
        <v>2220</v>
      </c>
      <c r="E17" s="2511"/>
      <c r="F17" s="2511"/>
      <c r="G17" s="2511"/>
      <c r="H17" s="2511"/>
      <c r="I17" s="2511"/>
      <c r="J17" s="2511"/>
      <c r="K17" s="2511"/>
      <c r="L17" s="322"/>
    </row>
    <row r="18" spans="2:12" ht="9.4" customHeight="1" x14ac:dyDescent="0.2">
      <c r="B18" s="1425"/>
      <c r="C18" s="1425"/>
      <c r="D18" s="1425"/>
      <c r="E18" s="1425"/>
      <c r="F18" s="1425"/>
      <c r="G18" s="1426"/>
      <c r="H18" s="1425"/>
      <c r="I18" s="1426"/>
      <c r="J18" s="1425"/>
      <c r="K18" s="1425"/>
      <c r="L18" s="322"/>
    </row>
    <row r="19" spans="2:12" ht="13.5" customHeight="1" x14ac:dyDescent="0.2">
      <c r="B19" s="1475" t="s">
        <v>1366</v>
      </c>
      <c r="C19" s="1475"/>
      <c r="D19" s="328"/>
      <c r="E19" s="328"/>
      <c r="F19" s="328"/>
      <c r="G19" s="1476"/>
      <c r="H19" s="328"/>
      <c r="I19" s="1476"/>
      <c r="J19" s="322"/>
      <c r="K19" s="322"/>
      <c r="L19" s="322"/>
    </row>
    <row r="20" spans="2:12" ht="35.25" customHeight="1" x14ac:dyDescent="0.2">
      <c r="B20" s="2500" t="s">
        <v>2232</v>
      </c>
      <c r="C20" s="2500"/>
      <c r="D20" s="2501"/>
      <c r="E20" s="2501"/>
      <c r="F20" s="2501"/>
      <c r="G20" s="2501"/>
      <c r="H20" s="2501"/>
      <c r="I20" s="2501"/>
      <c r="J20" s="2501"/>
      <c r="K20" s="2501"/>
      <c r="L20" s="1430"/>
    </row>
    <row r="21" spans="2:12" ht="4.5" customHeight="1" x14ac:dyDescent="0.2">
      <c r="B21" s="1477"/>
      <c r="C21" s="1477"/>
      <c r="D21" s="1478"/>
      <c r="E21" s="1478"/>
      <c r="F21" s="1478"/>
      <c r="G21" s="1426"/>
      <c r="H21" s="1478"/>
      <c r="I21" s="1426"/>
      <c r="J21" s="1478"/>
      <c r="K21" s="1478"/>
      <c r="L21" s="1430"/>
    </row>
    <row r="22" spans="2:12" ht="13.35" customHeight="1" x14ac:dyDescent="0.2">
      <c r="B22" s="1475" t="s">
        <v>1856</v>
      </c>
      <c r="C22" s="1475"/>
      <c r="D22" s="322"/>
      <c r="E22" s="322"/>
      <c r="F22" s="322"/>
      <c r="G22" s="1381"/>
      <c r="H22" s="322"/>
      <c r="I22" s="1381"/>
      <c r="J22" s="322"/>
      <c r="K22" s="322"/>
      <c r="L22" s="322"/>
    </row>
    <row r="23" spans="2:12" ht="37.5" customHeight="1" x14ac:dyDescent="0.2">
      <c r="B23" s="2500" t="s">
        <v>2233</v>
      </c>
      <c r="C23" s="2500"/>
      <c r="D23" s="2501"/>
      <c r="E23" s="2501"/>
      <c r="F23" s="2501"/>
      <c r="G23" s="2501"/>
      <c r="H23" s="2501"/>
      <c r="I23" s="2501"/>
      <c r="J23" s="2501"/>
      <c r="K23" s="2501"/>
      <c r="L23" s="322"/>
    </row>
    <row r="24" spans="2:12" ht="4.5" customHeight="1" x14ac:dyDescent="0.2">
      <c r="B24" s="1477"/>
      <c r="C24" s="1477"/>
      <c r="D24" s="1425"/>
      <c r="E24" s="1425"/>
      <c r="F24" s="1425"/>
      <c r="G24" s="1426"/>
      <c r="H24" s="1425"/>
      <c r="I24" s="1426"/>
      <c r="J24" s="1425"/>
      <c r="K24" s="1425"/>
      <c r="L24" s="322"/>
    </row>
    <row r="25" spans="2:12" ht="13.5" customHeight="1" x14ac:dyDescent="0.2">
      <c r="B25" s="1475" t="s">
        <v>1857</v>
      </c>
      <c r="C25" s="1475"/>
      <c r="D25" s="322"/>
      <c r="E25" s="322"/>
      <c r="F25" s="322"/>
      <c r="G25" s="1381"/>
      <c r="H25" s="322"/>
      <c r="I25" s="1381"/>
      <c r="J25" s="322"/>
      <c r="K25" s="322"/>
      <c r="L25" s="322"/>
    </row>
    <row r="26" spans="2:12" ht="37.5" customHeight="1" x14ac:dyDescent="0.2">
      <c r="B26" s="2500" t="s">
        <v>2216</v>
      </c>
      <c r="C26" s="2500"/>
      <c r="D26" s="2501"/>
      <c r="E26" s="2501"/>
      <c r="F26" s="2501"/>
      <c r="G26" s="2501"/>
      <c r="H26" s="2501"/>
      <c r="I26" s="2501"/>
      <c r="J26" s="2501"/>
      <c r="K26" s="2501"/>
      <c r="L26" s="322"/>
    </row>
    <row r="27" spans="2:12" ht="4.5" customHeight="1" x14ac:dyDescent="0.2">
      <c r="B27" s="1479"/>
      <c r="C27" s="1479"/>
      <c r="D27" s="1479"/>
      <c r="E27" s="1425"/>
      <c r="F27" s="1425"/>
      <c r="G27" s="1426"/>
      <c r="H27" s="1425"/>
      <c r="I27" s="1426"/>
      <c r="J27" s="1425"/>
      <c r="K27" s="1425"/>
      <c r="L27" s="322"/>
    </row>
    <row r="28" spans="2:12" ht="13.5" customHeight="1" x14ac:dyDescent="0.2">
      <c r="B28" s="1475" t="s">
        <v>1858</v>
      </c>
      <c r="C28" s="1475"/>
      <c r="D28" s="322"/>
      <c r="E28" s="322"/>
      <c r="F28" s="322"/>
      <c r="G28" s="1381"/>
      <c r="H28" s="322"/>
      <c r="I28" s="1381"/>
      <c r="J28" s="322"/>
      <c r="K28" s="322"/>
      <c r="L28" s="322"/>
    </row>
    <row r="29" spans="2:12" ht="37.5" customHeight="1" x14ac:dyDescent="0.2">
      <c r="B29" s="2500" t="s">
        <v>2235</v>
      </c>
      <c r="C29" s="2500"/>
      <c r="D29" s="2501"/>
      <c r="E29" s="2501"/>
      <c r="F29" s="2501"/>
      <c r="G29" s="2501"/>
      <c r="H29" s="2501"/>
      <c r="I29" s="2501"/>
      <c r="J29" s="2501"/>
      <c r="K29" s="2501"/>
      <c r="L29" s="322"/>
    </row>
    <row r="30" spans="2:12" ht="4.5" customHeight="1" x14ac:dyDescent="0.2">
      <c r="B30" s="1477"/>
      <c r="C30" s="1477"/>
      <c r="D30" s="1425"/>
      <c r="E30" s="1425"/>
      <c r="F30" s="1425"/>
      <c r="G30" s="1426"/>
      <c r="H30" s="1425"/>
      <c r="I30" s="1426"/>
      <c r="J30" s="1425"/>
      <c r="K30" s="1425"/>
      <c r="L30" s="322"/>
    </row>
    <row r="31" spans="2:12" ht="13.5" customHeight="1" x14ac:dyDescent="0.2">
      <c r="B31" s="1475" t="s">
        <v>1365</v>
      </c>
      <c r="C31" s="1475"/>
      <c r="D31" s="322"/>
      <c r="E31" s="322"/>
      <c r="F31" s="322"/>
      <c r="G31" s="1381"/>
      <c r="H31" s="322"/>
      <c r="I31" s="1381"/>
      <c r="J31" s="322"/>
      <c r="K31" s="322"/>
      <c r="L31" s="322"/>
    </row>
    <row r="32" spans="2:12" ht="37.5" customHeight="1" x14ac:dyDescent="0.2">
      <c r="B32" s="2500" t="s">
        <v>2236</v>
      </c>
      <c r="C32" s="2500"/>
      <c r="D32" s="2501"/>
      <c r="E32" s="2501"/>
      <c r="F32" s="2501"/>
      <c r="G32" s="2501"/>
      <c r="H32" s="2501"/>
      <c r="I32" s="2501"/>
      <c r="J32" s="2501"/>
      <c r="K32" s="2501"/>
      <c r="L32" s="322"/>
    </row>
    <row r="33" spans="2:12" ht="4.5" customHeight="1" x14ac:dyDescent="0.2">
      <c r="B33" s="1477"/>
      <c r="C33" s="1477"/>
      <c r="D33" s="1425"/>
      <c r="E33" s="1425"/>
      <c r="F33" s="1425"/>
      <c r="G33" s="1426"/>
      <c r="H33" s="1425"/>
      <c r="I33" s="1426"/>
      <c r="J33" s="1425"/>
      <c r="K33" s="1425"/>
      <c r="L33" s="322"/>
    </row>
    <row r="34" spans="2:12" ht="13.5" customHeight="1" x14ac:dyDescent="0.2">
      <c r="B34" s="1382" t="s">
        <v>1364</v>
      </c>
      <c r="C34" s="1382"/>
      <c r="D34" s="322"/>
      <c r="E34" s="322"/>
      <c r="F34" s="322"/>
      <c r="G34" s="1381"/>
      <c r="H34" s="322"/>
      <c r="I34" s="1381"/>
      <c r="J34" s="322"/>
      <c r="K34" s="322"/>
      <c r="L34" s="322"/>
    </row>
    <row r="35" spans="2:12" ht="37.5" customHeight="1" x14ac:dyDescent="0.2">
      <c r="B35" s="2500" t="s">
        <v>2234</v>
      </c>
      <c r="C35" s="2500"/>
      <c r="D35" s="2501"/>
      <c r="E35" s="2501"/>
      <c r="F35" s="2501"/>
      <c r="G35" s="2501"/>
      <c r="H35" s="2501"/>
      <c r="I35" s="2501"/>
      <c r="J35" s="2501"/>
      <c r="K35" s="2501"/>
      <c r="L35" s="322"/>
    </row>
    <row r="36" spans="2:12" ht="4.5" customHeight="1" x14ac:dyDescent="0.2">
      <c r="B36" s="1477"/>
      <c r="C36" s="1477"/>
      <c r="D36" s="1425"/>
      <c r="E36" s="1425"/>
      <c r="F36" s="1425"/>
      <c r="G36" s="1426"/>
      <c r="H36" s="1425"/>
      <c r="I36" s="1426"/>
      <c r="J36" s="1425"/>
      <c r="K36" s="1425"/>
      <c r="L36" s="322"/>
    </row>
    <row r="37" spans="2:12" ht="13.5" customHeight="1" x14ac:dyDescent="0.2">
      <c r="B37" s="1382" t="s">
        <v>1363</v>
      </c>
      <c r="C37" s="1382"/>
      <c r="D37" s="322"/>
      <c r="E37" s="322"/>
      <c r="F37" s="322"/>
      <c r="G37" s="1381"/>
      <c r="H37" s="322"/>
      <c r="I37" s="1381"/>
      <c r="J37" s="322"/>
      <c r="K37" s="322"/>
      <c r="L37" s="322"/>
    </row>
    <row r="38" spans="2:12" ht="35.25" customHeight="1" x14ac:dyDescent="0.2">
      <c r="B38" s="2500" t="s">
        <v>2237</v>
      </c>
      <c r="C38" s="2500"/>
      <c r="D38" s="2501"/>
      <c r="E38" s="2501"/>
      <c r="F38" s="2501"/>
      <c r="G38" s="2501"/>
      <c r="H38" s="2501"/>
      <c r="I38" s="2501"/>
      <c r="J38" s="2501"/>
      <c r="K38" s="2501"/>
      <c r="L38" s="322"/>
    </row>
    <row r="39" spans="2:12" ht="4.5" customHeight="1" x14ac:dyDescent="0.2">
      <c r="B39" s="1400"/>
      <c r="C39" s="1400"/>
      <c r="D39" s="322"/>
      <c r="E39" s="322"/>
      <c r="F39" s="322"/>
      <c r="G39" s="1381"/>
      <c r="H39" s="322"/>
      <c r="I39" s="1381"/>
      <c r="J39" s="322"/>
      <c r="K39" s="322"/>
      <c r="L39" s="322"/>
    </row>
    <row r="40" spans="2:12" s="322" customFormat="1" ht="13.5" customHeight="1" x14ac:dyDescent="0.2">
      <c r="B40" s="1401" t="s">
        <v>1859</v>
      </c>
      <c r="C40" s="1401"/>
      <c r="D40" s="1376"/>
      <c r="E40" s="1377"/>
      <c r="F40" s="1377"/>
      <c r="G40" s="1378"/>
      <c r="H40" s="1377"/>
      <c r="I40" s="1378"/>
      <c r="J40" s="1377"/>
      <c r="K40" s="1377"/>
    </row>
    <row r="41" spans="2:12" s="322" customFormat="1" ht="33.75" customHeight="1" x14ac:dyDescent="0.2">
      <c r="B41" s="2500" t="s">
        <v>2348</v>
      </c>
      <c r="C41" s="2500"/>
      <c r="D41" s="2501"/>
      <c r="E41" s="2501"/>
      <c r="F41" s="2501"/>
      <c r="G41" s="2501"/>
      <c r="H41" s="2501"/>
      <c r="I41" s="2501"/>
      <c r="J41" s="2501"/>
      <c r="K41" s="2501"/>
    </row>
    <row r="42" spans="2:12" s="322" customFormat="1" ht="4.5" customHeight="1" x14ac:dyDescent="0.2">
      <c r="B42" s="1400"/>
      <c r="C42" s="1400"/>
      <c r="G42" s="1381"/>
      <c r="I42" s="1381"/>
    </row>
    <row r="43" spans="2:12" s="322" customFormat="1" ht="13.5" customHeight="1" x14ac:dyDescent="0.2">
      <c r="B43" s="1480" t="s">
        <v>1352</v>
      </c>
      <c r="C43" s="1481"/>
      <c r="D43" s="1402"/>
      <c r="E43" s="1402"/>
      <c r="F43" s="1402"/>
      <c r="G43" s="1403"/>
      <c r="H43" s="1402"/>
      <c r="I43" s="1403"/>
      <c r="J43" s="1402"/>
      <c r="K43" s="1404"/>
      <c r="L43" s="1482"/>
    </row>
    <row r="44" spans="2:12" s="322" customFormat="1" ht="13.5" customHeight="1" x14ac:dyDescent="0.2">
      <c r="B44" s="1405" t="s">
        <v>1351</v>
      </c>
      <c r="C44" s="1406"/>
      <c r="D44" s="1483"/>
      <c r="E44" s="1407"/>
      <c r="F44" s="1411" t="s">
        <v>1350</v>
      </c>
      <c r="G44" s="1409"/>
      <c r="H44" s="1408"/>
      <c r="I44" s="1409"/>
      <c r="J44" s="1484"/>
      <c r="K44" s="1485"/>
      <c r="L44" s="1482"/>
    </row>
    <row r="45" spans="2:12" s="322" customFormat="1" ht="13.5" customHeight="1" x14ac:dyDescent="0.2">
      <c r="B45" s="1405" t="s">
        <v>1349</v>
      </c>
      <c r="C45" s="1406"/>
      <c r="D45" s="1484"/>
      <c r="E45" s="1408"/>
      <c r="F45" s="1411" t="s">
        <v>1348</v>
      </c>
      <c r="G45" s="1409"/>
      <c r="H45" s="1408"/>
      <c r="I45" s="1409"/>
      <c r="J45" s="1484"/>
      <c r="K45" s="1485"/>
      <c r="L45" s="1482"/>
    </row>
    <row r="46" spans="2:12" s="322" customFormat="1" ht="13.5" customHeight="1" x14ac:dyDescent="0.2">
      <c r="B46" s="1412"/>
      <c r="C46" s="1410"/>
      <c r="D46" s="1410"/>
      <c r="E46" s="1410"/>
      <c r="F46" s="1410"/>
      <c r="G46" s="1413"/>
      <c r="H46" s="1410"/>
      <c r="I46" s="1413"/>
      <c r="J46" s="1410"/>
      <c r="K46" s="1414"/>
      <c r="L46" s="1482"/>
    </row>
    <row r="47" spans="2:12" ht="7.5" customHeight="1" x14ac:dyDescent="0.25">
      <c r="B47" s="1486"/>
      <c r="C47" s="1486"/>
      <c r="D47" s="1487"/>
      <c r="E47" s="1487"/>
      <c r="F47" s="1487"/>
      <c r="G47" s="1488"/>
      <c r="H47" s="1487"/>
      <c r="I47" s="1488"/>
      <c r="J47" s="1487"/>
      <c r="K47" s="1487"/>
    </row>
    <row r="48" spans="2:12" ht="13.5" customHeight="1" x14ac:dyDescent="0.2">
      <c r="B48" s="1417" t="s">
        <v>1860</v>
      </c>
      <c r="C48" s="1417"/>
      <c r="D48" s="322"/>
      <c r="E48" s="322"/>
      <c r="F48" s="322"/>
    </row>
    <row r="49" spans="2:3" s="317" customFormat="1" ht="10.5" customHeight="1" x14ac:dyDescent="0.2">
      <c r="B49" s="1418" t="s">
        <v>1861</v>
      </c>
      <c r="C49" s="1418"/>
    </row>
    <row r="50" spans="2:3" s="317" customFormat="1" ht="11.1" customHeight="1" x14ac:dyDescent="0.2">
      <c r="B50" s="1418" t="s">
        <v>1862</v>
      </c>
      <c r="C50" s="1418"/>
    </row>
    <row r="51" spans="2:3" s="317" customFormat="1" ht="11.1" customHeight="1" x14ac:dyDescent="0.2">
      <c r="B51" s="1418" t="s">
        <v>1863</v>
      </c>
      <c r="C51" s="1418"/>
    </row>
    <row r="52" spans="2:3" s="317" customFormat="1" ht="11.1" customHeight="1" x14ac:dyDescent="0.2">
      <c r="B52" s="1418" t="s">
        <v>1864</v>
      </c>
      <c r="C52" s="1418"/>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scale="99" firstPageNumber="42" orientation="portrait" useFirstPageNumber="1" r:id="rId1"/>
  <headerFooter>
    <oddHeader>&amp;L&amp;8Page 44&amp;R&amp;8Page 44</oddHeader>
    <oddFooter>&amp;LSee Notes to Financial Statements</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showGridLines="0" topLeftCell="A31" zoomScale="110" zoomScaleNormal="110" workbookViewId="0">
      <selection activeCell="K36" sqref="K36"/>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5" t="str">
        <f>'Single Audit Cover'!A7</f>
        <v>Jersey CUSD 100</v>
      </c>
      <c r="C1" s="2505"/>
      <c r="D1" s="2505"/>
      <c r="E1" s="2505"/>
      <c r="F1" s="2505"/>
      <c r="G1" s="2505"/>
      <c r="H1" s="2505"/>
      <c r="I1" s="2505"/>
      <c r="J1" s="2505"/>
      <c r="K1" s="2505"/>
      <c r="L1" s="1463"/>
    </row>
    <row r="2" spans="1:12" ht="12.75" customHeight="1" x14ac:dyDescent="0.2">
      <c r="B2" s="2506">
        <f>'Single Audit Cover'!E7</f>
        <v>40042100026</v>
      </c>
      <c r="C2" s="2506"/>
      <c r="D2" s="2506"/>
      <c r="E2" s="2506"/>
      <c r="F2" s="2506"/>
      <c r="G2" s="2506"/>
      <c r="H2" s="2506"/>
      <c r="I2" s="2506"/>
      <c r="J2" s="2506"/>
      <c r="K2" s="2506"/>
      <c r="L2" s="1464"/>
    </row>
    <row r="3" spans="1:12" ht="12.75" customHeight="1" x14ac:dyDescent="0.2">
      <c r="B3" s="2502" t="s">
        <v>1346</v>
      </c>
      <c r="C3" s="2502"/>
      <c r="D3" s="2502"/>
      <c r="E3" s="2502"/>
      <c r="F3" s="2502"/>
      <c r="G3" s="2502"/>
      <c r="H3" s="2502"/>
      <c r="I3" s="2502"/>
      <c r="J3" s="2502"/>
      <c r="K3" s="2502"/>
      <c r="L3" s="1946"/>
    </row>
    <row r="4" spans="1:12" ht="12.75" customHeight="1" x14ac:dyDescent="0.2">
      <c r="B4" s="2502" t="str">
        <f>'Single Audit Cover'!A4</f>
        <v>Year Ending June 30, 2018</v>
      </c>
      <c r="C4" s="2502"/>
      <c r="D4" s="2502"/>
      <c r="E4" s="2502"/>
      <c r="F4" s="2502"/>
      <c r="G4" s="2502"/>
      <c r="H4" s="2502"/>
      <c r="I4" s="2502"/>
      <c r="J4" s="2502"/>
      <c r="K4" s="2502"/>
      <c r="L4" s="1946"/>
    </row>
    <row r="5" spans="1:12" ht="5.25" customHeight="1" x14ac:dyDescent="0.2">
      <c r="B5" s="1259" t="s">
        <v>1230</v>
      </c>
      <c r="C5" s="1259"/>
      <c r="L5" s="322"/>
    </row>
    <row r="6" spans="1:12" ht="30.75" customHeight="1" x14ac:dyDescent="0.2">
      <c r="A6" s="322"/>
      <c r="B6" s="2507" t="s">
        <v>1374</v>
      </c>
      <c r="C6" s="2507"/>
      <c r="D6" s="2507"/>
      <c r="E6" s="2507"/>
      <c r="F6" s="2507"/>
      <c r="G6" s="2507"/>
      <c r="H6" s="2507"/>
      <c r="I6" s="2507"/>
      <c r="J6" s="2507"/>
      <c r="K6" s="2507"/>
      <c r="L6" s="322"/>
    </row>
    <row r="7" spans="1:12" ht="4.5" customHeight="1" x14ac:dyDescent="0.2">
      <c r="B7" s="1377"/>
      <c r="C7" s="1377"/>
      <c r="D7" s="1377"/>
      <c r="E7" s="1377"/>
      <c r="F7" s="1377"/>
      <c r="G7" s="1378"/>
      <c r="H7" s="1377"/>
      <c r="I7" s="1378"/>
      <c r="J7" s="1377"/>
      <c r="K7" s="1377"/>
      <c r="L7" s="322"/>
    </row>
    <row r="8" spans="1:12" ht="13.5" customHeight="1" x14ac:dyDescent="0.2">
      <c r="B8" s="1385" t="s">
        <v>1855</v>
      </c>
      <c r="C8" s="1465" t="s">
        <v>1949</v>
      </c>
      <c r="D8" s="1466">
        <v>13</v>
      </c>
      <c r="E8" s="322"/>
      <c r="F8" s="1382" t="s">
        <v>1361</v>
      </c>
      <c r="G8" s="1467" t="s">
        <v>2076</v>
      </c>
      <c r="H8" s="1468" t="s">
        <v>1373</v>
      </c>
      <c r="I8" s="1467"/>
      <c r="J8" s="1469" t="s">
        <v>1372</v>
      </c>
      <c r="L8" s="322"/>
    </row>
    <row r="9" spans="1:12" ht="13.5" customHeight="1" x14ac:dyDescent="0.2">
      <c r="D9" s="322"/>
      <c r="E9" s="322"/>
      <c r="F9" s="322"/>
      <c r="G9" s="1381"/>
      <c r="H9" s="322"/>
      <c r="I9" s="1470" t="s">
        <v>1358</v>
      </c>
      <c r="J9" s="322"/>
      <c r="K9" s="1471"/>
      <c r="L9" s="322"/>
    </row>
    <row r="10" spans="1:12" ht="4.5" customHeight="1" x14ac:dyDescent="0.2">
      <c r="B10" s="1472"/>
      <c r="C10" s="1472"/>
      <c r="D10" s="1425"/>
      <c r="E10" s="1425"/>
      <c r="F10" s="1425"/>
      <c r="G10" s="1426"/>
      <c r="H10" s="1425"/>
      <c r="I10" s="1426"/>
      <c r="J10" s="1425"/>
      <c r="K10" s="1425"/>
      <c r="L10" s="322"/>
    </row>
    <row r="11" spans="1:12" ht="5.25" customHeight="1" x14ac:dyDescent="0.2">
      <c r="B11" s="322"/>
      <c r="C11" s="322"/>
      <c r="D11" s="304"/>
      <c r="E11" s="322"/>
      <c r="F11" s="322"/>
      <c r="G11" s="1381"/>
      <c r="H11" s="322"/>
      <c r="I11" s="1381"/>
      <c r="J11" s="322"/>
      <c r="K11" s="1430"/>
      <c r="L11" s="322"/>
    </row>
    <row r="12" spans="1:12" ht="13.5" customHeight="1" x14ac:dyDescent="0.2">
      <c r="B12" s="1382" t="s">
        <v>1371</v>
      </c>
      <c r="C12" s="1382"/>
      <c r="D12" s="304"/>
      <c r="E12" s="322"/>
      <c r="F12" s="2493" t="s">
        <v>2238</v>
      </c>
      <c r="G12" s="2493"/>
      <c r="H12" s="2493"/>
      <c r="I12" s="2493"/>
      <c r="J12" s="2493"/>
      <c r="K12" s="2493"/>
      <c r="L12" s="322"/>
    </row>
    <row r="13" spans="1:12" ht="9.6" customHeight="1" x14ac:dyDescent="0.2">
      <c r="B13" s="1256"/>
      <c r="C13" s="1256"/>
      <c r="D13" s="304"/>
      <c r="E13" s="322"/>
      <c r="F13" s="322"/>
      <c r="G13" s="1381"/>
      <c r="H13" s="322"/>
      <c r="I13" s="1381"/>
      <c r="J13" s="322"/>
      <c r="K13" s="1430"/>
      <c r="L13" s="322"/>
    </row>
    <row r="14" spans="1:12" ht="13.5" customHeight="1" x14ac:dyDescent="0.2">
      <c r="B14" s="1385" t="s">
        <v>1370</v>
      </c>
      <c r="C14" s="1385"/>
      <c r="D14" s="2508" t="s">
        <v>2155</v>
      </c>
      <c r="E14" s="2508"/>
      <c r="F14" s="2508"/>
      <c r="H14" s="1473" t="s">
        <v>1369</v>
      </c>
      <c r="I14" s="2510">
        <v>84.027000000000001</v>
      </c>
      <c r="J14" s="2510"/>
      <c r="K14" s="2510"/>
      <c r="L14" s="322"/>
    </row>
    <row r="15" spans="1:12" ht="9.4" customHeight="1" x14ac:dyDescent="0.2">
      <c r="B15" s="1385"/>
      <c r="C15" s="1385"/>
      <c r="D15" s="1371"/>
      <c r="E15" s="1259"/>
      <c r="F15" s="1259"/>
      <c r="G15" s="1285"/>
      <c r="H15" s="1259"/>
      <c r="I15" s="1474"/>
      <c r="J15" s="1292"/>
      <c r="K15" s="1289"/>
      <c r="L15" s="322"/>
    </row>
    <row r="16" spans="1:12" ht="13.5" customHeight="1" x14ac:dyDescent="0.2">
      <c r="B16" s="1385" t="s">
        <v>1368</v>
      </c>
      <c r="C16" s="1385"/>
      <c r="D16" s="2510" t="s">
        <v>2231</v>
      </c>
      <c r="E16" s="2510"/>
      <c r="F16" s="2510"/>
      <c r="G16" s="2510"/>
      <c r="H16" s="2510"/>
      <c r="I16" s="2510"/>
      <c r="J16" s="2510"/>
      <c r="K16" s="2510"/>
      <c r="L16" s="322"/>
    </row>
    <row r="17" spans="2:12" ht="13.5" customHeight="1" x14ac:dyDescent="0.2">
      <c r="B17" s="1385" t="s">
        <v>1367</v>
      </c>
      <c r="C17" s="1385"/>
      <c r="D17" s="2511" t="s">
        <v>2220</v>
      </c>
      <c r="E17" s="2511"/>
      <c r="F17" s="2511"/>
      <c r="G17" s="2511"/>
      <c r="H17" s="2511"/>
      <c r="I17" s="2511"/>
      <c r="J17" s="2511"/>
      <c r="K17" s="2511"/>
      <c r="L17" s="322"/>
    </row>
    <row r="18" spans="2:12" ht="9.4" customHeight="1" x14ac:dyDescent="0.2">
      <c r="B18" s="1425"/>
      <c r="C18" s="1425"/>
      <c r="D18" s="1425"/>
      <c r="E18" s="1425"/>
      <c r="F18" s="1425"/>
      <c r="G18" s="1426"/>
      <c r="H18" s="1425"/>
      <c r="I18" s="1426"/>
      <c r="J18" s="1425"/>
      <c r="K18" s="1425"/>
      <c r="L18" s="322"/>
    </row>
    <row r="19" spans="2:12" ht="13.5" customHeight="1" x14ac:dyDescent="0.2">
      <c r="B19" s="1475" t="s">
        <v>1366</v>
      </c>
      <c r="C19" s="1475"/>
      <c r="D19" s="328"/>
      <c r="E19" s="328"/>
      <c r="F19" s="328"/>
      <c r="G19" s="1476"/>
      <c r="H19" s="328"/>
      <c r="I19" s="1476"/>
      <c r="J19" s="322"/>
      <c r="K19" s="322"/>
      <c r="L19" s="322"/>
    </row>
    <row r="20" spans="2:12" ht="35.25" customHeight="1" x14ac:dyDescent="0.2">
      <c r="B20" s="2500" t="s">
        <v>2232</v>
      </c>
      <c r="C20" s="2500"/>
      <c r="D20" s="2501"/>
      <c r="E20" s="2501"/>
      <c r="F20" s="2501"/>
      <c r="G20" s="2501"/>
      <c r="H20" s="2501"/>
      <c r="I20" s="2501"/>
      <c r="J20" s="2501"/>
      <c r="K20" s="2501"/>
      <c r="L20" s="1430"/>
    </row>
    <row r="21" spans="2:12" ht="4.5" customHeight="1" x14ac:dyDescent="0.2">
      <c r="B21" s="1477"/>
      <c r="C21" s="1477"/>
      <c r="D21" s="1478"/>
      <c r="E21" s="1478"/>
      <c r="F21" s="1478"/>
      <c r="G21" s="1426"/>
      <c r="H21" s="1478"/>
      <c r="I21" s="1426"/>
      <c r="J21" s="1478"/>
      <c r="K21" s="1478"/>
      <c r="L21" s="1430"/>
    </row>
    <row r="22" spans="2:12" ht="13.35" customHeight="1" x14ac:dyDescent="0.2">
      <c r="B22" s="1475" t="s">
        <v>1856</v>
      </c>
      <c r="C22" s="1475"/>
      <c r="D22" s="322"/>
      <c r="E22" s="322"/>
      <c r="F22" s="322"/>
      <c r="G22" s="1381"/>
      <c r="H22" s="322"/>
      <c r="I22" s="1381"/>
      <c r="J22" s="322"/>
      <c r="K22" s="322"/>
      <c r="L22" s="322"/>
    </row>
    <row r="23" spans="2:12" ht="37.5" customHeight="1" x14ac:dyDescent="0.2">
      <c r="B23" s="2500" t="s">
        <v>2233</v>
      </c>
      <c r="C23" s="2500"/>
      <c r="D23" s="2501"/>
      <c r="E23" s="2501"/>
      <c r="F23" s="2501"/>
      <c r="G23" s="2501"/>
      <c r="H23" s="2501"/>
      <c r="I23" s="2501"/>
      <c r="J23" s="2501"/>
      <c r="K23" s="2501"/>
      <c r="L23" s="322"/>
    </row>
    <row r="24" spans="2:12" ht="4.5" customHeight="1" x14ac:dyDescent="0.2">
      <c r="B24" s="1477"/>
      <c r="C24" s="1477"/>
      <c r="D24" s="1425"/>
      <c r="E24" s="1425"/>
      <c r="F24" s="1425"/>
      <c r="G24" s="1426"/>
      <c r="H24" s="1425"/>
      <c r="I24" s="1426"/>
      <c r="J24" s="1425"/>
      <c r="K24" s="1425"/>
      <c r="L24" s="322"/>
    </row>
    <row r="25" spans="2:12" ht="13.5" customHeight="1" x14ac:dyDescent="0.2">
      <c r="B25" s="1475" t="s">
        <v>1857</v>
      </c>
      <c r="C25" s="1475"/>
      <c r="D25" s="322"/>
      <c r="E25" s="322"/>
      <c r="F25" s="322"/>
      <c r="G25" s="1381"/>
      <c r="H25" s="322"/>
      <c r="I25" s="1381"/>
      <c r="J25" s="322"/>
      <c r="K25" s="322"/>
      <c r="L25" s="322"/>
    </row>
    <row r="26" spans="2:12" ht="37.5" customHeight="1" x14ac:dyDescent="0.2">
      <c r="B26" s="2500" t="s">
        <v>2216</v>
      </c>
      <c r="C26" s="2500"/>
      <c r="D26" s="2501"/>
      <c r="E26" s="2501"/>
      <c r="F26" s="2501"/>
      <c r="G26" s="2501"/>
      <c r="H26" s="2501"/>
      <c r="I26" s="2501"/>
      <c r="J26" s="2501"/>
      <c r="K26" s="2501"/>
      <c r="L26" s="322"/>
    </row>
    <row r="27" spans="2:12" ht="4.5" customHeight="1" x14ac:dyDescent="0.2">
      <c r="B27" s="1479"/>
      <c r="C27" s="1479"/>
      <c r="D27" s="1479"/>
      <c r="E27" s="1425"/>
      <c r="F27" s="1425"/>
      <c r="G27" s="1426"/>
      <c r="H27" s="1425"/>
      <c r="I27" s="1426"/>
      <c r="J27" s="1425"/>
      <c r="K27" s="1425"/>
      <c r="L27" s="322"/>
    </row>
    <row r="28" spans="2:12" ht="13.5" customHeight="1" x14ac:dyDescent="0.2">
      <c r="B28" s="1475" t="s">
        <v>1858</v>
      </c>
      <c r="C28" s="1475"/>
      <c r="D28" s="322"/>
      <c r="E28" s="322"/>
      <c r="F28" s="322"/>
      <c r="G28" s="1381"/>
      <c r="H28" s="322"/>
      <c r="I28" s="1381"/>
      <c r="J28" s="322"/>
      <c r="K28" s="322"/>
      <c r="L28" s="322"/>
    </row>
    <row r="29" spans="2:12" ht="37.5" customHeight="1" x14ac:dyDescent="0.2">
      <c r="B29" s="2500" t="s">
        <v>2326</v>
      </c>
      <c r="C29" s="2500"/>
      <c r="D29" s="2501"/>
      <c r="E29" s="2501"/>
      <c r="F29" s="2501"/>
      <c r="G29" s="2501"/>
      <c r="H29" s="2501"/>
      <c r="I29" s="2501"/>
      <c r="J29" s="2501"/>
      <c r="K29" s="2501"/>
      <c r="L29" s="322"/>
    </row>
    <row r="30" spans="2:12" ht="4.5" customHeight="1" x14ac:dyDescent="0.2">
      <c r="B30" s="1477"/>
      <c r="C30" s="1477"/>
      <c r="D30" s="1425"/>
      <c r="E30" s="1425"/>
      <c r="F30" s="1425"/>
      <c r="G30" s="1426"/>
      <c r="H30" s="1425"/>
      <c r="I30" s="1426"/>
      <c r="J30" s="1425"/>
      <c r="K30" s="1425"/>
      <c r="L30" s="322"/>
    </row>
    <row r="31" spans="2:12" ht="13.5" customHeight="1" x14ac:dyDescent="0.2">
      <c r="B31" s="1475" t="s">
        <v>1365</v>
      </c>
      <c r="C31" s="1475"/>
      <c r="D31" s="322"/>
      <c r="E31" s="322"/>
      <c r="F31" s="322"/>
      <c r="G31" s="1381"/>
      <c r="H31" s="322"/>
      <c r="I31" s="1381"/>
      <c r="J31" s="322"/>
      <c r="K31" s="322"/>
      <c r="L31" s="322"/>
    </row>
    <row r="32" spans="2:12" ht="37.5" customHeight="1" x14ac:dyDescent="0.2">
      <c r="B32" s="2500" t="s">
        <v>2236</v>
      </c>
      <c r="C32" s="2500"/>
      <c r="D32" s="2501"/>
      <c r="E32" s="2501"/>
      <c r="F32" s="2501"/>
      <c r="G32" s="2501"/>
      <c r="H32" s="2501"/>
      <c r="I32" s="2501"/>
      <c r="J32" s="2501"/>
      <c r="K32" s="2501"/>
      <c r="L32" s="322"/>
    </row>
    <row r="33" spans="2:12" ht="4.5" customHeight="1" x14ac:dyDescent="0.2">
      <c r="B33" s="1477"/>
      <c r="C33" s="1477"/>
      <c r="D33" s="1425"/>
      <c r="E33" s="1425"/>
      <c r="F33" s="1425"/>
      <c r="G33" s="1426"/>
      <c r="H33" s="1425"/>
      <c r="I33" s="1426"/>
      <c r="J33" s="1425"/>
      <c r="K33" s="1425"/>
      <c r="L33" s="322"/>
    </row>
    <row r="34" spans="2:12" ht="13.5" customHeight="1" x14ac:dyDescent="0.2">
      <c r="B34" s="1382" t="s">
        <v>1364</v>
      </c>
      <c r="C34" s="1382"/>
      <c r="D34" s="322"/>
      <c r="E34" s="322"/>
      <c r="F34" s="322"/>
      <c r="G34" s="1381"/>
      <c r="H34" s="322"/>
      <c r="I34" s="1381"/>
      <c r="J34" s="322"/>
      <c r="K34" s="322"/>
      <c r="L34" s="322"/>
    </row>
    <row r="35" spans="2:12" ht="37.5" customHeight="1" x14ac:dyDescent="0.2">
      <c r="B35" s="2500" t="s">
        <v>2234</v>
      </c>
      <c r="C35" s="2500"/>
      <c r="D35" s="2501"/>
      <c r="E35" s="2501"/>
      <c r="F35" s="2501"/>
      <c r="G35" s="2501"/>
      <c r="H35" s="2501"/>
      <c r="I35" s="2501"/>
      <c r="J35" s="2501"/>
      <c r="K35" s="2501"/>
      <c r="L35" s="322"/>
    </row>
    <row r="36" spans="2:12" ht="4.5" customHeight="1" x14ac:dyDescent="0.2">
      <c r="B36" s="1477"/>
      <c r="C36" s="1477"/>
      <c r="D36" s="1425"/>
      <c r="E36" s="1425"/>
      <c r="F36" s="1425"/>
      <c r="G36" s="1426"/>
      <c r="H36" s="1425"/>
      <c r="I36" s="1426"/>
      <c r="J36" s="1425"/>
      <c r="K36" s="1425"/>
      <c r="L36" s="322"/>
    </row>
    <row r="37" spans="2:12" ht="13.5" customHeight="1" x14ac:dyDescent="0.2">
      <c r="B37" s="1382" t="s">
        <v>1363</v>
      </c>
      <c r="C37" s="1382"/>
      <c r="D37" s="322"/>
      <c r="E37" s="322"/>
      <c r="F37" s="322"/>
      <c r="G37" s="1381"/>
      <c r="H37" s="322"/>
      <c r="I37" s="1381"/>
      <c r="J37" s="322"/>
      <c r="K37" s="322"/>
      <c r="L37" s="322"/>
    </row>
    <row r="38" spans="2:12" ht="35.25" customHeight="1" x14ac:dyDescent="0.2">
      <c r="B38" s="2500" t="s">
        <v>2237</v>
      </c>
      <c r="C38" s="2500"/>
      <c r="D38" s="2501"/>
      <c r="E38" s="2501"/>
      <c r="F38" s="2501"/>
      <c r="G38" s="2501"/>
      <c r="H38" s="2501"/>
      <c r="I38" s="2501"/>
      <c r="J38" s="2501"/>
      <c r="K38" s="2501"/>
      <c r="L38" s="322"/>
    </row>
    <row r="39" spans="2:12" ht="4.5" customHeight="1" x14ac:dyDescent="0.2">
      <c r="B39" s="1400"/>
      <c r="C39" s="1400"/>
      <c r="D39" s="322"/>
      <c r="E39" s="322"/>
      <c r="F39" s="322"/>
      <c r="G39" s="1381"/>
      <c r="H39" s="322"/>
      <c r="I39" s="1381"/>
      <c r="J39" s="322"/>
      <c r="K39" s="322"/>
      <c r="L39" s="322"/>
    </row>
    <row r="40" spans="2:12" s="322" customFormat="1" ht="13.5" customHeight="1" x14ac:dyDescent="0.2">
      <c r="B40" s="1401" t="s">
        <v>1859</v>
      </c>
      <c r="C40" s="1401"/>
      <c r="D40" s="1376"/>
      <c r="E40" s="1377"/>
      <c r="F40" s="1377"/>
      <c r="G40" s="1378"/>
      <c r="H40" s="1377"/>
      <c r="I40" s="1378"/>
      <c r="J40" s="1377"/>
      <c r="K40" s="1377"/>
    </row>
    <row r="41" spans="2:12" s="322" customFormat="1" ht="33.75" customHeight="1" x14ac:dyDescent="0.2">
      <c r="B41" s="2500" t="s">
        <v>2348</v>
      </c>
      <c r="C41" s="2500"/>
      <c r="D41" s="2501"/>
      <c r="E41" s="2501"/>
      <c r="F41" s="2501"/>
      <c r="G41" s="2501"/>
      <c r="H41" s="2501"/>
      <c r="I41" s="2501"/>
      <c r="J41" s="2501"/>
      <c r="K41" s="2501"/>
    </row>
    <row r="42" spans="2:12" s="322" customFormat="1" ht="4.5" customHeight="1" x14ac:dyDescent="0.2">
      <c r="B42" s="1400"/>
      <c r="C42" s="1400"/>
      <c r="G42" s="1381"/>
      <c r="I42" s="1381"/>
    </row>
    <row r="43" spans="2:12" s="322" customFormat="1" ht="13.5" customHeight="1" x14ac:dyDescent="0.2">
      <c r="B43" s="1480" t="s">
        <v>1352</v>
      </c>
      <c r="C43" s="1481"/>
      <c r="D43" s="1402"/>
      <c r="E43" s="1402"/>
      <c r="F43" s="1402"/>
      <c r="G43" s="1403"/>
      <c r="H43" s="1402"/>
      <c r="I43" s="1403"/>
      <c r="J43" s="1402"/>
      <c r="K43" s="1404"/>
      <c r="L43" s="1482"/>
    </row>
    <row r="44" spans="2:12" s="322" customFormat="1" ht="13.5" customHeight="1" x14ac:dyDescent="0.2">
      <c r="B44" s="1405" t="s">
        <v>1351</v>
      </c>
      <c r="C44" s="1406"/>
      <c r="D44" s="1483"/>
      <c r="E44" s="1407"/>
      <c r="F44" s="1411" t="s">
        <v>1350</v>
      </c>
      <c r="G44" s="1409"/>
      <c r="H44" s="1408"/>
      <c r="I44" s="1409"/>
      <c r="J44" s="1484"/>
      <c r="K44" s="1485"/>
      <c r="L44" s="1482"/>
    </row>
    <row r="45" spans="2:12" s="322" customFormat="1" ht="13.5" customHeight="1" x14ac:dyDescent="0.2">
      <c r="B45" s="1405" t="s">
        <v>1349</v>
      </c>
      <c r="C45" s="1406"/>
      <c r="D45" s="1484"/>
      <c r="E45" s="1408"/>
      <c r="F45" s="1411" t="s">
        <v>1348</v>
      </c>
      <c r="G45" s="1409"/>
      <c r="H45" s="1408"/>
      <c r="I45" s="1409"/>
      <c r="J45" s="1484"/>
      <c r="K45" s="1485"/>
      <c r="L45" s="1482"/>
    </row>
    <row r="46" spans="2:12" s="322" customFormat="1" ht="13.5" customHeight="1" x14ac:dyDescent="0.2">
      <c r="B46" s="1412"/>
      <c r="C46" s="1410"/>
      <c r="D46" s="1410"/>
      <c r="E46" s="1410"/>
      <c r="F46" s="1410"/>
      <c r="G46" s="1413"/>
      <c r="H46" s="1410"/>
      <c r="I46" s="1413"/>
      <c r="J46" s="1410"/>
      <c r="K46" s="1414"/>
      <c r="L46" s="1482"/>
    </row>
    <row r="47" spans="2:12" ht="7.5" customHeight="1" x14ac:dyDescent="0.25">
      <c r="B47" s="1486"/>
      <c r="C47" s="1486"/>
      <c r="D47" s="1487"/>
      <c r="E47" s="1487"/>
      <c r="F47" s="1487"/>
      <c r="G47" s="1488"/>
      <c r="H47" s="1487"/>
      <c r="I47" s="1488"/>
      <c r="J47" s="1487"/>
      <c r="K47" s="1487"/>
    </row>
    <row r="48" spans="2:12" ht="13.5" customHeight="1" x14ac:dyDescent="0.2">
      <c r="B48" s="1417" t="s">
        <v>1860</v>
      </c>
      <c r="C48" s="1417"/>
      <c r="D48" s="322"/>
      <c r="E48" s="322"/>
      <c r="F48" s="322"/>
    </row>
    <row r="49" spans="2:3" s="317" customFormat="1" ht="10.5" customHeight="1" x14ac:dyDescent="0.2">
      <c r="B49" s="1418" t="s">
        <v>1861</v>
      </c>
      <c r="C49" s="1418"/>
    </row>
    <row r="50" spans="2:3" s="317" customFormat="1" ht="11.1" customHeight="1" x14ac:dyDescent="0.2">
      <c r="B50" s="1418" t="s">
        <v>1862</v>
      </c>
      <c r="C50" s="1418"/>
    </row>
    <row r="51" spans="2:3" s="317" customFormat="1" ht="11.1" customHeight="1" x14ac:dyDescent="0.2">
      <c r="B51" s="1418" t="s">
        <v>1863</v>
      </c>
      <c r="C51" s="1418"/>
    </row>
    <row r="52" spans="2:3" s="317" customFormat="1" ht="11.1" customHeight="1" x14ac:dyDescent="0.2">
      <c r="B52" s="1418" t="s">
        <v>1864</v>
      </c>
      <c r="C52" s="1418"/>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scale="99" firstPageNumber="42" orientation="portrait" useFirstPageNumber="1" r:id="rId1"/>
  <headerFooter>
    <oddHeader>&amp;L&amp;8Page 44&amp;R&amp;8Page 44</oddHeader>
    <oddFooter>&amp;LSee Notes to Financial Statements</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showGridLines="0" topLeftCell="A34" zoomScale="110" zoomScaleNormal="110" workbookViewId="0">
      <selection activeCell="K36" sqref="K36"/>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5" t="str">
        <f>'Single Audit Cover'!A7</f>
        <v>Jersey CUSD 100</v>
      </c>
      <c r="C1" s="2505"/>
      <c r="D1" s="2505"/>
      <c r="E1" s="2505"/>
      <c r="F1" s="2505"/>
      <c r="G1" s="2505"/>
      <c r="H1" s="2505"/>
      <c r="I1" s="2505"/>
      <c r="J1" s="2505"/>
      <c r="K1" s="2505"/>
      <c r="L1" s="1463"/>
    </row>
    <row r="2" spans="1:12" ht="12.75" customHeight="1" x14ac:dyDescent="0.2">
      <c r="B2" s="2506">
        <f>'Single Audit Cover'!E7</f>
        <v>40042100026</v>
      </c>
      <c r="C2" s="2506"/>
      <c r="D2" s="2506"/>
      <c r="E2" s="2506"/>
      <c r="F2" s="2506"/>
      <c r="G2" s="2506"/>
      <c r="H2" s="2506"/>
      <c r="I2" s="2506"/>
      <c r="J2" s="2506"/>
      <c r="K2" s="2506"/>
      <c r="L2" s="1464"/>
    </row>
    <row r="3" spans="1:12" ht="12.75" customHeight="1" x14ac:dyDescent="0.2">
      <c r="B3" s="2502" t="s">
        <v>1346</v>
      </c>
      <c r="C3" s="2502"/>
      <c r="D3" s="2502"/>
      <c r="E3" s="2502"/>
      <c r="F3" s="2502"/>
      <c r="G3" s="2502"/>
      <c r="H3" s="2502"/>
      <c r="I3" s="2502"/>
      <c r="J3" s="2502"/>
      <c r="K3" s="2502"/>
      <c r="L3" s="1961"/>
    </row>
    <row r="4" spans="1:12" ht="12.75" customHeight="1" x14ac:dyDescent="0.2">
      <c r="B4" s="2502" t="str">
        <f>'Single Audit Cover'!A4</f>
        <v>Year Ending June 30, 2018</v>
      </c>
      <c r="C4" s="2502"/>
      <c r="D4" s="2502"/>
      <c r="E4" s="2502"/>
      <c r="F4" s="2502"/>
      <c r="G4" s="2502"/>
      <c r="H4" s="2502"/>
      <c r="I4" s="2502"/>
      <c r="J4" s="2502"/>
      <c r="K4" s="2502"/>
      <c r="L4" s="1961"/>
    </row>
    <row r="5" spans="1:12" ht="5.25" customHeight="1" x14ac:dyDescent="0.2">
      <c r="B5" s="1259" t="s">
        <v>1230</v>
      </c>
      <c r="C5" s="1259"/>
      <c r="L5" s="322"/>
    </row>
    <row r="6" spans="1:12" ht="30.75" customHeight="1" x14ac:dyDescent="0.2">
      <c r="A6" s="322"/>
      <c r="B6" s="2507" t="s">
        <v>1374</v>
      </c>
      <c r="C6" s="2507"/>
      <c r="D6" s="2507"/>
      <c r="E6" s="2507"/>
      <c r="F6" s="2507"/>
      <c r="G6" s="2507"/>
      <c r="H6" s="2507"/>
      <c r="I6" s="2507"/>
      <c r="J6" s="2507"/>
      <c r="K6" s="2507"/>
      <c r="L6" s="322"/>
    </row>
    <row r="7" spans="1:12" ht="4.5" customHeight="1" x14ac:dyDescent="0.2">
      <c r="B7" s="1377"/>
      <c r="C7" s="1377"/>
      <c r="D7" s="1377"/>
      <c r="E7" s="1377"/>
      <c r="F7" s="1377"/>
      <c r="G7" s="1378"/>
      <c r="H7" s="1377"/>
      <c r="I7" s="1378"/>
      <c r="J7" s="1377"/>
      <c r="K7" s="1377"/>
      <c r="L7" s="322"/>
    </row>
    <row r="8" spans="1:12" ht="13.5" customHeight="1" x14ac:dyDescent="0.2">
      <c r="B8" s="1385" t="s">
        <v>1855</v>
      </c>
      <c r="C8" s="1465" t="s">
        <v>1949</v>
      </c>
      <c r="D8" s="1466">
        <v>14</v>
      </c>
      <c r="E8" s="322"/>
      <c r="F8" s="1382" t="s">
        <v>1361</v>
      </c>
      <c r="G8" s="1467" t="s">
        <v>2076</v>
      </c>
      <c r="H8" s="1468" t="s">
        <v>1373</v>
      </c>
      <c r="I8" s="1467"/>
      <c r="J8" s="1469" t="s">
        <v>1372</v>
      </c>
      <c r="L8" s="322"/>
    </row>
    <row r="9" spans="1:12" ht="13.5" customHeight="1" x14ac:dyDescent="0.2">
      <c r="D9" s="322"/>
      <c r="E9" s="322"/>
      <c r="F9" s="322"/>
      <c r="G9" s="1381"/>
      <c r="H9" s="322"/>
      <c r="I9" s="1470" t="s">
        <v>1358</v>
      </c>
      <c r="J9" s="322"/>
      <c r="K9" s="1471"/>
      <c r="L9" s="322"/>
    </row>
    <row r="10" spans="1:12" ht="4.5" customHeight="1" x14ac:dyDescent="0.2">
      <c r="B10" s="1472"/>
      <c r="C10" s="1472"/>
      <c r="D10" s="1425"/>
      <c r="E10" s="1425"/>
      <c r="F10" s="1425"/>
      <c r="G10" s="1426"/>
      <c r="H10" s="1425"/>
      <c r="I10" s="1426"/>
      <c r="J10" s="1425"/>
      <c r="K10" s="1425"/>
      <c r="L10" s="322"/>
    </row>
    <row r="11" spans="1:12" ht="5.25" customHeight="1" x14ac:dyDescent="0.2">
      <c r="B11" s="322"/>
      <c r="C11" s="322"/>
      <c r="D11" s="304"/>
      <c r="E11" s="322"/>
      <c r="F11" s="322"/>
      <c r="G11" s="1381"/>
      <c r="H11" s="322"/>
      <c r="I11" s="1381"/>
      <c r="J11" s="322"/>
      <c r="K11" s="1430"/>
      <c r="L11" s="322"/>
    </row>
    <row r="12" spans="1:12" ht="13.5" customHeight="1" x14ac:dyDescent="0.2">
      <c r="B12" s="1382" t="s">
        <v>1371</v>
      </c>
      <c r="C12" s="1382"/>
      <c r="D12" s="304"/>
      <c r="E12" s="322"/>
      <c r="F12" s="2493" t="s">
        <v>2238</v>
      </c>
      <c r="G12" s="2493"/>
      <c r="H12" s="2493"/>
      <c r="I12" s="2493"/>
      <c r="J12" s="2493"/>
      <c r="K12" s="2493"/>
      <c r="L12" s="322"/>
    </row>
    <row r="13" spans="1:12" ht="9.6" customHeight="1" x14ac:dyDescent="0.2">
      <c r="B13" s="1256"/>
      <c r="C13" s="1256"/>
      <c r="D13" s="304"/>
      <c r="E13" s="322"/>
      <c r="F13" s="322"/>
      <c r="G13" s="1381"/>
      <c r="H13" s="322"/>
      <c r="I13" s="1381"/>
      <c r="J13" s="322"/>
      <c r="K13" s="1430"/>
      <c r="L13" s="322"/>
    </row>
    <row r="14" spans="1:12" ht="13.5" customHeight="1" x14ac:dyDescent="0.2">
      <c r="B14" s="1385" t="s">
        <v>1370</v>
      </c>
      <c r="C14" s="1385"/>
      <c r="D14" s="2508" t="s">
        <v>2156</v>
      </c>
      <c r="E14" s="2508"/>
      <c r="F14" s="2508"/>
      <c r="H14" s="1473" t="s">
        <v>1369</v>
      </c>
      <c r="I14" s="2510">
        <v>84.027000000000001</v>
      </c>
      <c r="J14" s="2510"/>
      <c r="K14" s="2510"/>
      <c r="L14" s="322"/>
    </row>
    <row r="15" spans="1:12" ht="9.4" customHeight="1" x14ac:dyDescent="0.2">
      <c r="B15" s="1385"/>
      <c r="C15" s="1385"/>
      <c r="D15" s="1371"/>
      <c r="E15" s="1259"/>
      <c r="F15" s="1259"/>
      <c r="G15" s="1285"/>
      <c r="H15" s="1259"/>
      <c r="I15" s="1474"/>
      <c r="J15" s="1292"/>
      <c r="K15" s="1289"/>
      <c r="L15" s="322"/>
    </row>
    <row r="16" spans="1:12" ht="13.5" customHeight="1" x14ac:dyDescent="0.2">
      <c r="B16" s="1385" t="s">
        <v>1368</v>
      </c>
      <c r="C16" s="1385"/>
      <c r="D16" s="2510" t="s">
        <v>2231</v>
      </c>
      <c r="E16" s="2510"/>
      <c r="F16" s="2510"/>
      <c r="G16" s="2510"/>
      <c r="H16" s="2510"/>
      <c r="I16" s="2510"/>
      <c r="J16" s="2510"/>
      <c r="K16" s="2510"/>
      <c r="L16" s="322"/>
    </row>
    <row r="17" spans="2:12" ht="13.5" customHeight="1" x14ac:dyDescent="0.2">
      <c r="B17" s="1385" t="s">
        <v>1367</v>
      </c>
      <c r="C17" s="1385"/>
      <c r="D17" s="2511" t="s">
        <v>2220</v>
      </c>
      <c r="E17" s="2511"/>
      <c r="F17" s="2511"/>
      <c r="G17" s="2511"/>
      <c r="H17" s="2511"/>
      <c r="I17" s="2511"/>
      <c r="J17" s="2511"/>
      <c r="K17" s="2511"/>
      <c r="L17" s="322"/>
    </row>
    <row r="18" spans="2:12" ht="9.4" customHeight="1" x14ac:dyDescent="0.2">
      <c r="B18" s="1425"/>
      <c r="C18" s="1425"/>
      <c r="D18" s="1425"/>
      <c r="E18" s="1425"/>
      <c r="F18" s="1425"/>
      <c r="G18" s="1426"/>
      <c r="H18" s="1425"/>
      <c r="I18" s="1426"/>
      <c r="J18" s="1425"/>
      <c r="K18" s="1425"/>
      <c r="L18" s="322"/>
    </row>
    <row r="19" spans="2:12" ht="13.5" customHeight="1" x14ac:dyDescent="0.2">
      <c r="B19" s="1475" t="s">
        <v>1366</v>
      </c>
      <c r="C19" s="1475"/>
      <c r="D19" s="328"/>
      <c r="E19" s="328"/>
      <c r="F19" s="328"/>
      <c r="G19" s="1476"/>
      <c r="H19" s="328"/>
      <c r="I19" s="1476"/>
      <c r="J19" s="322"/>
      <c r="K19" s="322"/>
      <c r="L19" s="322"/>
    </row>
    <row r="20" spans="2:12" ht="35.25" customHeight="1" x14ac:dyDescent="0.2">
      <c r="B20" s="2500" t="s">
        <v>2232</v>
      </c>
      <c r="C20" s="2500"/>
      <c r="D20" s="2501"/>
      <c r="E20" s="2501"/>
      <c r="F20" s="2501"/>
      <c r="G20" s="2501"/>
      <c r="H20" s="2501"/>
      <c r="I20" s="2501"/>
      <c r="J20" s="2501"/>
      <c r="K20" s="2501"/>
      <c r="L20" s="1430"/>
    </row>
    <row r="21" spans="2:12" ht="4.5" customHeight="1" x14ac:dyDescent="0.2">
      <c r="B21" s="1477"/>
      <c r="C21" s="1477"/>
      <c r="D21" s="1478"/>
      <c r="E21" s="1478"/>
      <c r="F21" s="1478"/>
      <c r="G21" s="1426"/>
      <c r="H21" s="1478"/>
      <c r="I21" s="1426"/>
      <c r="J21" s="1478"/>
      <c r="K21" s="1478"/>
      <c r="L21" s="1430"/>
    </row>
    <row r="22" spans="2:12" ht="13.35" customHeight="1" x14ac:dyDescent="0.2">
      <c r="B22" s="1475" t="s">
        <v>1856</v>
      </c>
      <c r="C22" s="1475"/>
      <c r="D22" s="322"/>
      <c r="E22" s="322"/>
      <c r="F22" s="322"/>
      <c r="G22" s="1381"/>
      <c r="H22" s="322"/>
      <c r="I22" s="1381"/>
      <c r="J22" s="322"/>
      <c r="K22" s="322"/>
      <c r="L22" s="322"/>
    </row>
    <row r="23" spans="2:12" ht="37.5" customHeight="1" x14ac:dyDescent="0.2">
      <c r="B23" s="2500" t="s">
        <v>2233</v>
      </c>
      <c r="C23" s="2500"/>
      <c r="D23" s="2501"/>
      <c r="E23" s="2501"/>
      <c r="F23" s="2501"/>
      <c r="G23" s="2501"/>
      <c r="H23" s="2501"/>
      <c r="I23" s="2501"/>
      <c r="J23" s="2501"/>
      <c r="K23" s="2501"/>
      <c r="L23" s="322"/>
    </row>
    <row r="24" spans="2:12" ht="4.5" customHeight="1" x14ac:dyDescent="0.2">
      <c r="B24" s="1477"/>
      <c r="C24" s="1477"/>
      <c r="D24" s="1425"/>
      <c r="E24" s="1425"/>
      <c r="F24" s="1425"/>
      <c r="G24" s="1426"/>
      <c r="H24" s="1425"/>
      <c r="I24" s="1426"/>
      <c r="J24" s="1425"/>
      <c r="K24" s="1425"/>
      <c r="L24" s="322"/>
    </row>
    <row r="25" spans="2:12" ht="13.5" customHeight="1" x14ac:dyDescent="0.2">
      <c r="B25" s="1475" t="s">
        <v>1857</v>
      </c>
      <c r="C25" s="1475"/>
      <c r="D25" s="322"/>
      <c r="E25" s="322"/>
      <c r="F25" s="322"/>
      <c r="G25" s="1381"/>
      <c r="H25" s="322"/>
      <c r="I25" s="1381"/>
      <c r="J25" s="322"/>
      <c r="K25" s="322"/>
      <c r="L25" s="322"/>
    </row>
    <row r="26" spans="2:12" ht="37.5" customHeight="1" x14ac:dyDescent="0.2">
      <c r="B26" s="2500" t="s">
        <v>2216</v>
      </c>
      <c r="C26" s="2500"/>
      <c r="D26" s="2501"/>
      <c r="E26" s="2501"/>
      <c r="F26" s="2501"/>
      <c r="G26" s="2501"/>
      <c r="H26" s="2501"/>
      <c r="I26" s="2501"/>
      <c r="J26" s="2501"/>
      <c r="K26" s="2501"/>
      <c r="L26" s="322"/>
    </row>
    <row r="27" spans="2:12" ht="4.5" customHeight="1" x14ac:dyDescent="0.2">
      <c r="B27" s="1479"/>
      <c r="C27" s="1479"/>
      <c r="D27" s="1479"/>
      <c r="E27" s="1425"/>
      <c r="F27" s="1425"/>
      <c r="G27" s="1426"/>
      <c r="H27" s="1425"/>
      <c r="I27" s="1426"/>
      <c r="J27" s="1425"/>
      <c r="K27" s="1425"/>
      <c r="L27" s="322"/>
    </row>
    <row r="28" spans="2:12" ht="13.5" customHeight="1" x14ac:dyDescent="0.2">
      <c r="B28" s="1475" t="s">
        <v>1858</v>
      </c>
      <c r="C28" s="1475"/>
      <c r="D28" s="322"/>
      <c r="E28" s="322"/>
      <c r="F28" s="322"/>
      <c r="G28" s="1381"/>
      <c r="H28" s="322"/>
      <c r="I28" s="1381"/>
      <c r="J28" s="322"/>
      <c r="K28" s="322"/>
      <c r="L28" s="322"/>
    </row>
    <row r="29" spans="2:12" ht="37.5" customHeight="1" x14ac:dyDescent="0.2">
      <c r="B29" s="2500" t="s">
        <v>2326</v>
      </c>
      <c r="C29" s="2500"/>
      <c r="D29" s="2501"/>
      <c r="E29" s="2501"/>
      <c r="F29" s="2501"/>
      <c r="G29" s="2501"/>
      <c r="H29" s="2501"/>
      <c r="I29" s="2501"/>
      <c r="J29" s="2501"/>
      <c r="K29" s="2501"/>
      <c r="L29" s="322"/>
    </row>
    <row r="30" spans="2:12" ht="4.5" customHeight="1" x14ac:dyDescent="0.2">
      <c r="B30" s="1477"/>
      <c r="C30" s="1477"/>
      <c r="D30" s="1425"/>
      <c r="E30" s="1425"/>
      <c r="F30" s="1425"/>
      <c r="G30" s="1426"/>
      <c r="H30" s="1425"/>
      <c r="I30" s="1426"/>
      <c r="J30" s="1425"/>
      <c r="K30" s="1425"/>
      <c r="L30" s="322"/>
    </row>
    <row r="31" spans="2:12" ht="13.5" customHeight="1" x14ac:dyDescent="0.2">
      <c r="B31" s="1475" t="s">
        <v>1365</v>
      </c>
      <c r="C31" s="1475"/>
      <c r="D31" s="322"/>
      <c r="E31" s="322"/>
      <c r="F31" s="322"/>
      <c r="G31" s="1381"/>
      <c r="H31" s="322"/>
      <c r="I31" s="1381"/>
      <c r="J31" s="322"/>
      <c r="K31" s="322"/>
      <c r="L31" s="322"/>
    </row>
    <row r="32" spans="2:12" ht="37.5" customHeight="1" x14ac:dyDescent="0.2">
      <c r="B32" s="2500" t="s">
        <v>2236</v>
      </c>
      <c r="C32" s="2500"/>
      <c r="D32" s="2501"/>
      <c r="E32" s="2501"/>
      <c r="F32" s="2501"/>
      <c r="G32" s="2501"/>
      <c r="H32" s="2501"/>
      <c r="I32" s="2501"/>
      <c r="J32" s="2501"/>
      <c r="K32" s="2501"/>
      <c r="L32" s="322"/>
    </row>
    <row r="33" spans="2:12" ht="4.5" customHeight="1" x14ac:dyDescent="0.2">
      <c r="B33" s="1477"/>
      <c r="C33" s="1477"/>
      <c r="D33" s="1425"/>
      <c r="E33" s="1425"/>
      <c r="F33" s="1425"/>
      <c r="G33" s="1426"/>
      <c r="H33" s="1425"/>
      <c r="I33" s="1426"/>
      <c r="J33" s="1425"/>
      <c r="K33" s="1425"/>
      <c r="L33" s="322"/>
    </row>
    <row r="34" spans="2:12" ht="13.5" customHeight="1" x14ac:dyDescent="0.2">
      <c r="B34" s="1382" t="s">
        <v>1364</v>
      </c>
      <c r="C34" s="1382"/>
      <c r="D34" s="322"/>
      <c r="E34" s="322"/>
      <c r="F34" s="322"/>
      <c r="G34" s="1381"/>
      <c r="H34" s="322"/>
      <c r="I34" s="1381"/>
      <c r="J34" s="322"/>
      <c r="K34" s="322"/>
      <c r="L34" s="322"/>
    </row>
    <row r="35" spans="2:12" ht="37.5" customHeight="1" x14ac:dyDescent="0.2">
      <c r="B35" s="2500" t="s">
        <v>2234</v>
      </c>
      <c r="C35" s="2500"/>
      <c r="D35" s="2501"/>
      <c r="E35" s="2501"/>
      <c r="F35" s="2501"/>
      <c r="G35" s="2501"/>
      <c r="H35" s="2501"/>
      <c r="I35" s="2501"/>
      <c r="J35" s="2501"/>
      <c r="K35" s="2501"/>
      <c r="L35" s="322"/>
    </row>
    <row r="36" spans="2:12" ht="4.5" customHeight="1" x14ac:dyDescent="0.2">
      <c r="B36" s="1477"/>
      <c r="C36" s="1477"/>
      <c r="D36" s="1425"/>
      <c r="E36" s="1425"/>
      <c r="F36" s="1425"/>
      <c r="G36" s="1426"/>
      <c r="H36" s="1425"/>
      <c r="I36" s="1426"/>
      <c r="J36" s="1425"/>
      <c r="K36" s="1425"/>
      <c r="L36" s="322"/>
    </row>
    <row r="37" spans="2:12" ht="13.5" customHeight="1" x14ac:dyDescent="0.2">
      <c r="B37" s="1382" t="s">
        <v>1363</v>
      </c>
      <c r="C37" s="1382"/>
      <c r="D37" s="322"/>
      <c r="E37" s="322"/>
      <c r="F37" s="322"/>
      <c r="G37" s="1381"/>
      <c r="H37" s="322"/>
      <c r="I37" s="1381"/>
      <c r="J37" s="322"/>
      <c r="K37" s="322"/>
      <c r="L37" s="322"/>
    </row>
    <row r="38" spans="2:12" ht="35.25" customHeight="1" x14ac:dyDescent="0.2">
      <c r="B38" s="2500" t="s">
        <v>2237</v>
      </c>
      <c r="C38" s="2500"/>
      <c r="D38" s="2501"/>
      <c r="E38" s="2501"/>
      <c r="F38" s="2501"/>
      <c r="G38" s="2501"/>
      <c r="H38" s="2501"/>
      <c r="I38" s="2501"/>
      <c r="J38" s="2501"/>
      <c r="K38" s="2501"/>
      <c r="L38" s="322"/>
    </row>
    <row r="39" spans="2:12" ht="4.5" customHeight="1" x14ac:dyDescent="0.2">
      <c r="B39" s="1400"/>
      <c r="C39" s="1400"/>
      <c r="D39" s="322"/>
      <c r="E39" s="322"/>
      <c r="F39" s="322"/>
      <c r="G39" s="1381"/>
      <c r="H39" s="322"/>
      <c r="I39" s="1381"/>
      <c r="J39" s="322"/>
      <c r="K39" s="322"/>
      <c r="L39" s="322"/>
    </row>
    <row r="40" spans="2:12" s="322" customFormat="1" ht="13.5" customHeight="1" x14ac:dyDescent="0.2">
      <c r="B40" s="1401" t="s">
        <v>1859</v>
      </c>
      <c r="C40" s="1401"/>
      <c r="D40" s="1376"/>
      <c r="E40" s="1377"/>
      <c r="F40" s="1377"/>
      <c r="G40" s="1378"/>
      <c r="H40" s="1377"/>
      <c r="I40" s="1378"/>
      <c r="J40" s="1377"/>
      <c r="K40" s="1377"/>
    </row>
    <row r="41" spans="2:12" s="322" customFormat="1" ht="33.75" customHeight="1" x14ac:dyDescent="0.2">
      <c r="B41" s="2500" t="s">
        <v>2348</v>
      </c>
      <c r="C41" s="2500"/>
      <c r="D41" s="2501"/>
      <c r="E41" s="2501"/>
      <c r="F41" s="2501"/>
      <c r="G41" s="2501"/>
      <c r="H41" s="2501"/>
      <c r="I41" s="2501"/>
      <c r="J41" s="2501"/>
      <c r="K41" s="2501"/>
    </row>
    <row r="42" spans="2:12" s="322" customFormat="1" ht="4.5" customHeight="1" x14ac:dyDescent="0.2">
      <c r="B42" s="1400"/>
      <c r="C42" s="1400"/>
      <c r="G42" s="1381"/>
      <c r="I42" s="1381"/>
    </row>
    <row r="43" spans="2:12" s="322" customFormat="1" ht="13.5" customHeight="1" x14ac:dyDescent="0.2">
      <c r="B43" s="1480" t="s">
        <v>1352</v>
      </c>
      <c r="C43" s="1481"/>
      <c r="D43" s="1402"/>
      <c r="E43" s="1402"/>
      <c r="F43" s="1402"/>
      <c r="G43" s="1403"/>
      <c r="H43" s="1402"/>
      <c r="I43" s="1403"/>
      <c r="J43" s="1402"/>
      <c r="K43" s="1404"/>
      <c r="L43" s="1482"/>
    </row>
    <row r="44" spans="2:12" s="322" customFormat="1" ht="13.5" customHeight="1" x14ac:dyDescent="0.2">
      <c r="B44" s="1405" t="s">
        <v>1351</v>
      </c>
      <c r="C44" s="1406"/>
      <c r="D44" s="1483"/>
      <c r="E44" s="1407"/>
      <c r="F44" s="1411" t="s">
        <v>1350</v>
      </c>
      <c r="G44" s="1409"/>
      <c r="H44" s="1408"/>
      <c r="I44" s="1409"/>
      <c r="J44" s="1484"/>
      <c r="K44" s="1485"/>
      <c r="L44" s="1482"/>
    </row>
    <row r="45" spans="2:12" s="322" customFormat="1" ht="13.5" customHeight="1" x14ac:dyDescent="0.2">
      <c r="B45" s="1405" t="s">
        <v>1349</v>
      </c>
      <c r="C45" s="1406"/>
      <c r="D45" s="1484"/>
      <c r="E45" s="1408"/>
      <c r="F45" s="1411" t="s">
        <v>1348</v>
      </c>
      <c r="G45" s="1409"/>
      <c r="H45" s="1408"/>
      <c r="I45" s="1409"/>
      <c r="J45" s="1484"/>
      <c r="K45" s="1485"/>
      <c r="L45" s="1482"/>
    </row>
    <row r="46" spans="2:12" s="322" customFormat="1" ht="13.5" customHeight="1" x14ac:dyDescent="0.2">
      <c r="B46" s="1412"/>
      <c r="C46" s="1410"/>
      <c r="D46" s="1410"/>
      <c r="E46" s="1410"/>
      <c r="F46" s="1410"/>
      <c r="G46" s="1413"/>
      <c r="H46" s="1410"/>
      <c r="I46" s="1413"/>
      <c r="J46" s="1410"/>
      <c r="K46" s="1414"/>
      <c r="L46" s="1482"/>
    </row>
    <row r="47" spans="2:12" ht="7.5" customHeight="1" x14ac:dyDescent="0.25">
      <c r="B47" s="1486"/>
      <c r="C47" s="1486"/>
      <c r="D47" s="1487"/>
      <c r="E47" s="1487"/>
      <c r="F47" s="1487"/>
      <c r="G47" s="1488"/>
      <c r="H47" s="1487"/>
      <c r="I47" s="1488"/>
      <c r="J47" s="1487"/>
      <c r="K47" s="1487"/>
    </row>
    <row r="48" spans="2:12" ht="13.5" customHeight="1" x14ac:dyDescent="0.2">
      <c r="B48" s="1417" t="s">
        <v>1860</v>
      </c>
      <c r="C48" s="1417"/>
      <c r="D48" s="322"/>
      <c r="E48" s="322"/>
      <c r="F48" s="322"/>
    </row>
    <row r="49" spans="2:3" s="317" customFormat="1" ht="10.5" customHeight="1" x14ac:dyDescent="0.2">
      <c r="B49" s="1418" t="s">
        <v>1861</v>
      </c>
      <c r="C49" s="1418"/>
    </row>
    <row r="50" spans="2:3" s="317" customFormat="1" ht="11.1" customHeight="1" x14ac:dyDescent="0.2">
      <c r="B50" s="1418" t="s">
        <v>1862</v>
      </c>
      <c r="C50" s="1418"/>
    </row>
    <row r="51" spans="2:3" s="317" customFormat="1" ht="11.1" customHeight="1" x14ac:dyDescent="0.2">
      <c r="B51" s="1418" t="s">
        <v>1863</v>
      </c>
      <c r="C51" s="1418"/>
    </row>
    <row r="52" spans="2:3" s="317" customFormat="1" ht="11.1" customHeight="1" x14ac:dyDescent="0.2">
      <c r="B52" s="1418" t="s">
        <v>1864</v>
      </c>
      <c r="C52" s="1418"/>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scale="99" firstPageNumber="42" orientation="portrait" useFirstPageNumber="1" r:id="rId1"/>
  <headerFooter>
    <oddHeader>&amp;L&amp;8Page 44&amp;R&amp;8Page 44</oddHeader>
    <oddFooter>&amp;LSee Notes to Financial Statements</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topLeftCell="A13" zoomScale="110" zoomScaleNormal="110" workbookViewId="0">
      <selection activeCell="O37" sqref="O37"/>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24"/>
      <c r="B1" s="2125"/>
      <c r="C1" s="2125"/>
      <c r="D1" s="384"/>
      <c r="E1" s="384"/>
      <c r="F1" s="384"/>
      <c r="G1" s="384"/>
      <c r="H1" s="384"/>
      <c r="I1" s="384"/>
      <c r="J1" s="384"/>
      <c r="K1" s="384"/>
      <c r="L1" s="384"/>
      <c r="M1" s="384"/>
      <c r="N1" s="384"/>
      <c r="O1" s="2124"/>
      <c r="P1" s="2125"/>
      <c r="Q1" s="2125"/>
    </row>
    <row r="2" spans="1:18" ht="15" x14ac:dyDescent="0.2">
      <c r="A2" s="2128" t="s">
        <v>576</v>
      </c>
      <c r="B2" s="2128"/>
      <c r="C2" s="2128"/>
      <c r="D2" s="2128"/>
      <c r="E2" s="2128"/>
      <c r="F2" s="2128"/>
      <c r="G2" s="2128"/>
      <c r="H2" s="2128"/>
      <c r="I2" s="2128"/>
      <c r="J2" s="2128"/>
      <c r="K2" s="2128"/>
      <c r="L2" s="2128"/>
      <c r="M2" s="2128"/>
      <c r="N2" s="2128"/>
      <c r="O2" s="2128"/>
      <c r="P2" s="2128"/>
      <c r="Q2" s="2128"/>
      <c r="R2" s="2128"/>
    </row>
    <row r="3" spans="1:18" ht="12.75" x14ac:dyDescent="0.2">
      <c r="A3" s="2129" t="s">
        <v>1479</v>
      </c>
      <c r="B3" s="2129"/>
      <c r="C3" s="2129"/>
      <c r="D3" s="2129"/>
      <c r="E3" s="2129"/>
      <c r="F3" s="2129"/>
      <c r="G3" s="2129"/>
      <c r="H3" s="2129"/>
      <c r="I3" s="2129"/>
      <c r="J3" s="2129"/>
      <c r="K3" s="2129"/>
      <c r="L3" s="2129"/>
      <c r="M3" s="2129"/>
      <c r="N3" s="2129"/>
      <c r="O3" s="2129"/>
      <c r="P3" s="2129"/>
      <c r="Q3" s="2129"/>
      <c r="R3" s="2129"/>
    </row>
    <row r="4" spans="1:18" x14ac:dyDescent="0.2">
      <c r="A4" s="2130" t="s">
        <v>1634</v>
      </c>
      <c r="B4" s="2130"/>
      <c r="C4" s="2130"/>
      <c r="D4" s="2130"/>
      <c r="E4" s="2130"/>
      <c r="F4" s="2130"/>
      <c r="G4" s="2130"/>
      <c r="H4" s="2130"/>
      <c r="I4" s="2130"/>
      <c r="J4" s="2130"/>
      <c r="K4" s="2130"/>
      <c r="L4" s="2130"/>
      <c r="M4" s="2130"/>
      <c r="N4" s="2130"/>
      <c r="O4" s="2130"/>
      <c r="P4" s="2130"/>
      <c r="Q4" s="2130"/>
      <c r="R4" s="2130"/>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1187</v>
      </c>
      <c r="D7" s="390" t="str">
        <f>COVER!A17</f>
        <v>Jersey CUSD 100</v>
      </c>
      <c r="E7" s="391"/>
      <c r="G7" s="252"/>
      <c r="H7" s="387"/>
      <c r="I7" s="387"/>
      <c r="J7" s="387"/>
      <c r="K7" s="387"/>
      <c r="L7" s="329"/>
      <c r="M7" s="329"/>
      <c r="N7" s="329"/>
      <c r="O7" s="329"/>
      <c r="P7" s="329"/>
    </row>
    <row r="8" spans="1:18" ht="12.75" x14ac:dyDescent="0.2">
      <c r="A8" s="329"/>
      <c r="B8" s="329"/>
      <c r="C8" s="389" t="s">
        <v>1186</v>
      </c>
      <c r="D8" s="392">
        <f>COVER!A13</f>
        <v>40042100026</v>
      </c>
      <c r="E8" s="393"/>
      <c r="G8" s="329"/>
      <c r="H8" s="329"/>
      <c r="I8" s="329"/>
      <c r="J8" s="329"/>
      <c r="K8" s="329"/>
      <c r="L8" s="329"/>
      <c r="M8" s="329"/>
      <c r="N8" s="329"/>
      <c r="O8" s="329"/>
      <c r="P8" s="329"/>
    </row>
    <row r="9" spans="1:18" ht="12.75" x14ac:dyDescent="0.2">
      <c r="A9" s="329"/>
      <c r="B9" s="329"/>
      <c r="C9" s="389" t="s">
        <v>736</v>
      </c>
      <c r="D9" s="394" t="str">
        <f>COVER!A15</f>
        <v>Jersey and Greene</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1039</v>
      </c>
      <c r="C11" s="398" t="s">
        <v>1202</v>
      </c>
      <c r="D11" s="216"/>
      <c r="E11" s="216"/>
      <c r="F11" s="216"/>
      <c r="G11" s="216"/>
      <c r="H11" s="336" t="s">
        <v>158</v>
      </c>
      <c r="I11" s="336"/>
      <c r="J11" s="336"/>
      <c r="K11" s="399" t="s">
        <v>1203</v>
      </c>
      <c r="L11" s="336"/>
      <c r="M11" s="336" t="s">
        <v>1204</v>
      </c>
      <c r="N11" s="336"/>
      <c r="O11" s="400" t="str">
        <f>IF(K12&gt;0.24999,"4",IF(K12&gt;0.09999,"3",IF(K12&gt;=0,"2",1)))</f>
        <v>4</v>
      </c>
      <c r="P11" s="216"/>
      <c r="Q11" s="216"/>
    </row>
    <row r="12" spans="1:18" s="408" customFormat="1" ht="11.25" x14ac:dyDescent="0.2">
      <c r="A12" s="218"/>
      <c r="B12" s="401"/>
      <c r="C12" s="218" t="s">
        <v>1431</v>
      </c>
      <c r="D12" s="218"/>
      <c r="E12" s="218"/>
      <c r="F12" s="218" t="s">
        <v>1151</v>
      </c>
      <c r="G12" s="402"/>
      <c r="H12" s="403">
        <f>SUM('Acct Summary 7-8'!C81+'Acct Summary 7-8'!D81+'Acct Summary 7-8'!F81+'Acct Summary 7-8'!I81+IF('Acct Summary 7-8'!G81&lt;0,'Acct Summary 7-8'!G81,"0")+IF('Acct Summary 7-8'!J81&lt;0,'Acct Summary 7-8'!J81,"0"))</f>
        <v>5852741</v>
      </c>
      <c r="I12" s="404"/>
      <c r="J12" s="404"/>
      <c r="K12" s="405">
        <f>TRUNC((H12/H13*100000),5)/100000</f>
        <v>0.27159424050000003</v>
      </c>
      <c r="L12" s="406"/>
      <c r="M12" s="360" t="s">
        <v>1205</v>
      </c>
      <c r="N12" s="360"/>
      <c r="O12" s="407">
        <v>0.35</v>
      </c>
      <c r="P12" s="218"/>
      <c r="Q12" s="218"/>
    </row>
    <row r="13" spans="1:18" s="408" customFormat="1" ht="12.75" x14ac:dyDescent="0.2">
      <c r="A13" s="218"/>
      <c r="B13" s="401"/>
      <c r="C13" s="2126" t="s">
        <v>1390</v>
      </c>
      <c r="D13" s="2127"/>
      <c r="E13" s="218"/>
      <c r="F13" s="409" t="s">
        <v>825</v>
      </c>
      <c r="G13" s="402"/>
      <c r="H13" s="403">
        <f>SUM('Acct Summary 7-8'!C8+'Acct Summary 7-8'!D8+'Acct Summary 7-8'!F8+'Acct Summary 7-8'!I8)+H14</f>
        <v>21549577</v>
      </c>
      <c r="I13" s="404"/>
      <c r="J13" s="404"/>
      <c r="K13" s="410"/>
      <c r="L13" s="218"/>
      <c r="M13" s="360" t="s">
        <v>1206</v>
      </c>
      <c r="N13" s="360"/>
      <c r="O13" s="411">
        <f>(O11*O12)</f>
        <v>1.4</v>
      </c>
      <c r="P13" s="218"/>
      <c r="Q13" s="218"/>
      <c r="R13" s="412"/>
    </row>
    <row r="14" spans="1:18" s="408" customFormat="1" ht="12.75" x14ac:dyDescent="0.2">
      <c r="A14" s="218"/>
      <c r="B14" s="401"/>
      <c r="C14" s="240" t="s">
        <v>1463</v>
      </c>
      <c r="D14" s="413"/>
      <c r="E14" s="218"/>
      <c r="F14" s="409" t="s">
        <v>827</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1477</v>
      </c>
      <c r="D15" s="216"/>
      <c r="E15" s="216"/>
      <c r="F15" s="218"/>
      <c r="G15" s="414"/>
      <c r="H15" s="395"/>
      <c r="I15" s="216"/>
      <c r="J15" s="216"/>
      <c r="K15" s="395"/>
      <c r="L15" s="216"/>
      <c r="M15" s="415"/>
      <c r="N15" s="415"/>
      <c r="O15" s="216"/>
      <c r="P15" s="216"/>
      <c r="Q15" s="216"/>
      <c r="R15" s="384"/>
    </row>
    <row r="16" spans="1:18" ht="12.75" x14ac:dyDescent="0.2">
      <c r="A16" s="216"/>
      <c r="B16" s="397" t="s">
        <v>1040</v>
      </c>
      <c r="C16" s="398" t="s">
        <v>1207</v>
      </c>
      <c r="D16" s="216"/>
      <c r="E16" s="216"/>
      <c r="F16" s="216"/>
      <c r="G16" s="216"/>
      <c r="H16" s="336" t="s">
        <v>158</v>
      </c>
      <c r="I16" s="336"/>
      <c r="J16" s="336"/>
      <c r="K16" s="399" t="s">
        <v>1203</v>
      </c>
      <c r="L16" s="336"/>
      <c r="M16" s="336" t="s">
        <v>1204</v>
      </c>
      <c r="N16" s="336"/>
      <c r="O16" s="400">
        <f>IF(K17&gt;1.2,"1",IF(K17&gt;1.1,"2",IF(K17&gt;1,"3",4)))</f>
        <v>4</v>
      </c>
      <c r="P16" s="216"/>
      <c r="R16" s="384"/>
    </row>
    <row r="17" spans="1:18" s="408" customFormat="1" ht="11.25" x14ac:dyDescent="0.2">
      <c r="A17" s="218"/>
      <c r="B17" s="401"/>
      <c r="C17" s="218" t="s">
        <v>829</v>
      </c>
      <c r="D17" s="218"/>
      <c r="E17" s="218"/>
      <c r="F17" s="218" t="s">
        <v>463</v>
      </c>
      <c r="G17" s="402"/>
      <c r="H17" s="403">
        <f>SUM('Acct Summary 7-8'!C17+'Acct Summary 7-8'!D17+'Acct Summary 7-8'!F17)</f>
        <v>20520027</v>
      </c>
      <c r="I17" s="404"/>
      <c r="J17" s="416"/>
      <c r="K17" s="405">
        <f>TRUNC((H17/H18*100000),5)/100000</f>
        <v>0.95222412020000002</v>
      </c>
      <c r="L17" s="406"/>
      <c r="M17" s="417" t="s">
        <v>1232</v>
      </c>
      <c r="O17" s="418" t="str">
        <f>IF(AND(O16="2", J20 &gt; 2),"1",IF(AND(O16 = "1", J20 &gt; 2),"2",IF(AND(O16="1", J20 &gt;1),"1","0")))</f>
        <v>0</v>
      </c>
      <c r="P17" s="218"/>
    </row>
    <row r="18" spans="1:18" s="408" customFormat="1" ht="11.25" x14ac:dyDescent="0.2">
      <c r="A18" s="218"/>
      <c r="B18" s="401"/>
      <c r="C18" s="2126" t="s">
        <v>1383</v>
      </c>
      <c r="D18" s="2127"/>
      <c r="E18" s="218"/>
      <c r="F18" s="419" t="s">
        <v>826</v>
      </c>
      <c r="G18" s="402"/>
      <c r="H18" s="403">
        <f>SUM('Acct Summary 7-8'!C8+'Acct Summary 7-8'!D8+'Acct Summary 7-8'!F8+'Acct Summary 7-8'!I8)+H19</f>
        <v>21549577</v>
      </c>
      <c r="I18" s="404"/>
      <c r="J18" s="404"/>
      <c r="K18" s="410"/>
      <c r="L18" s="218"/>
      <c r="M18" s="360" t="s">
        <v>1205</v>
      </c>
      <c r="N18" s="360"/>
      <c r="O18" s="410">
        <v>0.35</v>
      </c>
      <c r="P18" s="218"/>
    </row>
    <row r="19" spans="1:18" s="408" customFormat="1" ht="11.25" x14ac:dyDescent="0.2">
      <c r="A19" s="218"/>
      <c r="B19" s="401"/>
      <c r="C19" s="240" t="s">
        <v>1463</v>
      </c>
      <c r="D19" s="413"/>
      <c r="E19" s="218"/>
      <c r="F19" s="419" t="s">
        <v>827</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1477</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1206</v>
      </c>
      <c r="N20" s="360"/>
      <c r="O20" s="411">
        <f>(O16+O17)*O18</f>
        <v>1.4</v>
      </c>
      <c r="P20" s="218"/>
      <c r="R20" s="412"/>
    </row>
    <row r="21" spans="1:18" ht="11.45" customHeight="1" x14ac:dyDescent="0.2">
      <c r="A21" s="216"/>
      <c r="B21" s="396"/>
      <c r="C21" s="218" t="s">
        <v>495</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626</v>
      </c>
      <c r="C23" s="398" t="s">
        <v>1208</v>
      </c>
      <c r="D23" s="216"/>
      <c r="E23" s="216"/>
      <c r="F23" s="216"/>
      <c r="G23" s="216"/>
      <c r="H23" s="336" t="s">
        <v>158</v>
      </c>
      <c r="I23" s="336"/>
      <c r="J23" s="336"/>
      <c r="K23" s="399" t="s">
        <v>1209</v>
      </c>
      <c r="L23" s="336"/>
      <c r="M23" s="336" t="s">
        <v>1204</v>
      </c>
      <c r="N23" s="336"/>
      <c r="O23" s="400" t="str">
        <f>IF(K24&gt;=180,"4",IF(K24&gt;=90,"3",IF(K24&gt;=30,"2",1)))</f>
        <v>3</v>
      </c>
      <c r="P23" s="216"/>
      <c r="R23" s="384"/>
    </row>
    <row r="24" spans="1:18" s="408" customFormat="1" ht="11.25" x14ac:dyDescent="0.2">
      <c r="A24" s="218"/>
      <c r="B24" s="401"/>
      <c r="C24" s="2123" t="s">
        <v>1478</v>
      </c>
      <c r="D24" s="2123"/>
      <c r="E24" s="218"/>
      <c r="F24" s="218" t="s">
        <v>464</v>
      </c>
      <c r="G24" s="402"/>
      <c r="H24" s="403">
        <f>SUM('Assets-Liab 5-6'!C4+'Assets-Liab 5-6'!D4+'Assets-Liab 5-6'!F4+'Assets-Liab 5-6'!I4+'Assets-Liab 5-6'!C5+'Assets-Liab 5-6'!D5+'Assets-Liab 5-6'!F5+'Assets-Liab 5-6'!I5)</f>
        <v>6027811</v>
      </c>
      <c r="I24" s="422"/>
      <c r="J24" s="422"/>
      <c r="K24" s="423">
        <f>TRUNC(((H24/H25*100000)/100000),2)</f>
        <v>105.75</v>
      </c>
      <c r="L24" s="424"/>
      <c r="M24" s="360" t="s">
        <v>1205</v>
      </c>
      <c r="N24" s="360"/>
      <c r="O24" s="411">
        <v>0.1</v>
      </c>
      <c r="P24" s="218"/>
    </row>
    <row r="25" spans="1:18" s="408" customFormat="1" ht="12.75" x14ac:dyDescent="0.2">
      <c r="A25" s="218"/>
      <c r="B25" s="401"/>
      <c r="C25" s="218" t="s">
        <v>830</v>
      </c>
      <c r="D25" s="218"/>
      <c r="E25" s="218"/>
      <c r="F25" s="218" t="s">
        <v>465</v>
      </c>
      <c r="G25" s="402"/>
      <c r="H25" s="423">
        <f>ROUND((H17/360),5)</f>
        <v>57000.074999999997</v>
      </c>
      <c r="I25" s="425"/>
      <c r="J25" s="425"/>
      <c r="K25" s="410"/>
      <c r="L25" s="218"/>
      <c r="M25" s="360" t="s">
        <v>1206</v>
      </c>
      <c r="N25" s="360"/>
      <c r="O25" s="411">
        <f>O23*O24</f>
        <v>0.30000000000000004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510</v>
      </c>
      <c r="C27" s="398"/>
      <c r="D27" s="216"/>
      <c r="E27" s="216"/>
      <c r="F27" s="216"/>
      <c r="G27" s="216"/>
      <c r="H27" s="336" t="s">
        <v>158</v>
      </c>
      <c r="I27" s="336"/>
      <c r="J27" s="336"/>
      <c r="K27" s="399" t="s">
        <v>511</v>
      </c>
      <c r="L27" s="336"/>
      <c r="M27" s="336" t="s">
        <v>1204</v>
      </c>
      <c r="N27" s="336"/>
      <c r="O27" s="426" t="str">
        <f>IF(K28&gt;=75,"4",IF(K28&gt;=50,"3",IF(K28&gt;=25,"2",1)))</f>
        <v>4</v>
      </c>
      <c r="P27" s="216"/>
    </row>
    <row r="28" spans="1:18" s="408" customFormat="1" ht="11.25" x14ac:dyDescent="0.2">
      <c r="A28" s="218"/>
      <c r="B28" s="401"/>
      <c r="C28" s="218" t="s">
        <v>2068</v>
      </c>
      <c r="D28" s="218"/>
      <c r="E28" s="218"/>
      <c r="F28" s="218" t="s">
        <v>463</v>
      </c>
      <c r="G28" s="402"/>
      <c r="H28" s="427">
        <f>SUM('Short-Term Long-Term Debt 24'!F6,'Short-Term Long-Term Debt 24'!F7,'Short-Term Long-Term Debt 24'!F11)</f>
        <v>0</v>
      </c>
      <c r="I28" s="428"/>
      <c r="J28" s="428"/>
      <c r="K28" s="423">
        <f>TRUNC(100-((((H28/H29*100))*100)/100),2)</f>
        <v>100</v>
      </c>
      <c r="L28" s="429"/>
      <c r="M28" s="360" t="s">
        <v>1205</v>
      </c>
      <c r="N28" s="360"/>
      <c r="O28" s="430">
        <v>0.1</v>
      </c>
      <c r="P28" s="218"/>
    </row>
    <row r="29" spans="1:18" s="408" customFormat="1" ht="11.25" x14ac:dyDescent="0.2">
      <c r="A29" s="218"/>
      <c r="B29" s="401"/>
      <c r="C29" s="218" t="s">
        <v>828</v>
      </c>
      <c r="D29" s="218"/>
      <c r="E29" s="218"/>
      <c r="F29" s="218" t="s">
        <v>832</v>
      </c>
      <c r="G29" s="402"/>
      <c r="H29" s="431">
        <f>ROUND((0.85*'FP Info 3'!J7*'FP Info 3'!J10),5)</f>
        <v>6638039.5725100003</v>
      </c>
      <c r="I29" s="428"/>
      <c r="J29" s="428"/>
      <c r="K29" s="410"/>
      <c r="L29" s="218"/>
      <c r="M29" s="360" t="s">
        <v>1206</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582</v>
      </c>
      <c r="C31" s="398"/>
      <c r="D31" s="216"/>
      <c r="E31" s="216"/>
      <c r="F31" s="216"/>
      <c r="G31" s="414"/>
      <c r="H31" s="336" t="s">
        <v>158</v>
      </c>
      <c r="I31" s="336"/>
      <c r="J31" s="336"/>
      <c r="K31" s="399" t="s">
        <v>511</v>
      </c>
      <c r="L31" s="336"/>
      <c r="M31" s="336" t="s">
        <v>1204</v>
      </c>
      <c r="N31" s="336"/>
      <c r="O31" s="400" t="str">
        <f>IF(K32&gt;=75,"4",IF(K32&gt;=50,"3",IF(K32&gt;=25,"2",1)))</f>
        <v>2</v>
      </c>
      <c r="P31" s="216"/>
    </row>
    <row r="32" spans="1:18" s="408" customFormat="1" ht="11.25" x14ac:dyDescent="0.2">
      <c r="A32" s="218"/>
      <c r="B32" s="401"/>
      <c r="C32" s="218" t="s">
        <v>901</v>
      </c>
      <c r="D32" s="218"/>
      <c r="E32" s="218"/>
      <c r="F32" s="218"/>
      <c r="G32" s="402"/>
      <c r="H32" s="403">
        <f>'FP Info 3'!H37</f>
        <v>26278697</v>
      </c>
      <c r="I32" s="420"/>
      <c r="J32" s="420"/>
      <c r="K32" s="423">
        <f>TRUNC(100-((((H32/H33*100))*100)/100),2)</f>
        <v>38.06</v>
      </c>
      <c r="L32" s="406"/>
      <c r="M32" s="360" t="s">
        <v>1205</v>
      </c>
      <c r="N32" s="360"/>
      <c r="O32" s="434">
        <v>0.1</v>
      </c>
    </row>
    <row r="33" spans="1:17" s="408" customFormat="1" ht="11.25" x14ac:dyDescent="0.2">
      <c r="A33" s="218"/>
      <c r="B33" s="401"/>
      <c r="C33" s="218" t="s">
        <v>831</v>
      </c>
      <c r="D33" s="218"/>
      <c r="E33" s="218"/>
      <c r="F33" s="218"/>
      <c r="G33" s="402"/>
      <c r="H33" s="403">
        <f>IF('FP Info 3'!H31="Enter X in a or b"," ",'FP Info 3'!H31)</f>
        <v>42429340.482000001</v>
      </c>
      <c r="I33" s="420"/>
      <c r="J33" s="420"/>
      <c r="K33" s="403"/>
      <c r="L33" s="218"/>
      <c r="M33" s="435" t="s">
        <v>1206</v>
      </c>
      <c r="N33" s="435"/>
      <c r="O33" s="434">
        <f>(O31*O32)</f>
        <v>0.2</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312</v>
      </c>
      <c r="N35" s="414"/>
      <c r="O35" s="439">
        <f>(O13+O20+O25+O29+O33)</f>
        <v>3.6999999999999997</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1690</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1109</v>
      </c>
      <c r="I39" s="408"/>
      <c r="J39" s="408"/>
      <c r="K39" s="410"/>
      <c r="L39" s="408"/>
      <c r="M39" s="408"/>
      <c r="N39" s="408"/>
      <c r="O39" s="218"/>
      <c r="P39" s="216"/>
      <c r="Q39" s="216"/>
    </row>
    <row r="40" spans="1:17" x14ac:dyDescent="0.2">
      <c r="A40" s="216"/>
      <c r="B40" s="396"/>
      <c r="C40" s="216"/>
      <c r="D40" s="216"/>
      <c r="E40" s="216"/>
      <c r="F40" s="216"/>
      <c r="G40" s="445"/>
      <c r="H40" s="446" t="s">
        <v>1585</v>
      </c>
      <c r="I40" s="408"/>
      <c r="J40" s="408"/>
      <c r="K40" s="410"/>
      <c r="L40" s="408"/>
      <c r="M40" s="408"/>
      <c r="N40" s="408"/>
      <c r="O40" s="218"/>
      <c r="P40" s="216"/>
      <c r="Q40" s="216"/>
    </row>
    <row r="41" spans="1:17" x14ac:dyDescent="0.2">
      <c r="G41" s="448"/>
      <c r="H41" s="218" t="s">
        <v>1586</v>
      </c>
      <c r="M41" s="216"/>
      <c r="O41" s="216"/>
      <c r="P41" s="216"/>
      <c r="Q41" s="216"/>
    </row>
    <row r="42" spans="1:17" x14ac:dyDescent="0.2">
      <c r="A42" s="385" t="s">
        <v>1587</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4"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oddHeader>&amp;L&amp;8Page &amp;P&amp;C &amp;R&amp;8Page &amp;P</oddHeader>
    <oddFooter>&amp;L&amp;8See Notes to Financial Statements</oddFooter>
  </headerFooter>
  <ignoredErrors>
    <ignoredError sqref="H19" formulaRange="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showGridLines="0" topLeftCell="A37" zoomScale="110" zoomScaleNormal="110" workbookViewId="0">
      <selection activeCell="K36" sqref="K36"/>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5" t="str">
        <f>'Single Audit Cover'!A7</f>
        <v>Jersey CUSD 100</v>
      </c>
      <c r="C1" s="2505"/>
      <c r="D1" s="2505"/>
      <c r="E1" s="2505"/>
      <c r="F1" s="2505"/>
      <c r="G1" s="2505"/>
      <c r="H1" s="2505"/>
      <c r="I1" s="2505"/>
      <c r="J1" s="2505"/>
      <c r="K1" s="2505"/>
      <c r="L1" s="1463"/>
    </row>
    <row r="2" spans="1:12" ht="12.75" customHeight="1" x14ac:dyDescent="0.2">
      <c r="B2" s="2506">
        <f>'Single Audit Cover'!E7</f>
        <v>40042100026</v>
      </c>
      <c r="C2" s="2506"/>
      <c r="D2" s="2506"/>
      <c r="E2" s="2506"/>
      <c r="F2" s="2506"/>
      <c r="G2" s="2506"/>
      <c r="H2" s="2506"/>
      <c r="I2" s="2506"/>
      <c r="J2" s="2506"/>
      <c r="K2" s="2506"/>
      <c r="L2" s="1464"/>
    </row>
    <row r="3" spans="1:12" ht="12.75" customHeight="1" x14ac:dyDescent="0.2">
      <c r="B3" s="2502" t="s">
        <v>1346</v>
      </c>
      <c r="C3" s="2502"/>
      <c r="D3" s="2502"/>
      <c r="E3" s="2502"/>
      <c r="F3" s="2502"/>
      <c r="G3" s="2502"/>
      <c r="H3" s="2502"/>
      <c r="I3" s="2502"/>
      <c r="J3" s="2502"/>
      <c r="K3" s="2502"/>
      <c r="L3" s="1946"/>
    </row>
    <row r="4" spans="1:12" ht="12.75" customHeight="1" x14ac:dyDescent="0.2">
      <c r="B4" s="2502" t="str">
        <f>'Single Audit Cover'!A4</f>
        <v>Year Ending June 30, 2018</v>
      </c>
      <c r="C4" s="2502"/>
      <c r="D4" s="2502"/>
      <c r="E4" s="2502"/>
      <c r="F4" s="2502"/>
      <c r="G4" s="2502"/>
      <c r="H4" s="2502"/>
      <c r="I4" s="2502"/>
      <c r="J4" s="2502"/>
      <c r="K4" s="2502"/>
      <c r="L4" s="1946"/>
    </row>
    <row r="5" spans="1:12" ht="5.25" customHeight="1" x14ac:dyDescent="0.2">
      <c r="B5" s="1259" t="s">
        <v>1230</v>
      </c>
      <c r="C5" s="1259"/>
      <c r="L5" s="322"/>
    </row>
    <row r="6" spans="1:12" ht="30.75" customHeight="1" x14ac:dyDescent="0.2">
      <c r="A6" s="322"/>
      <c r="B6" s="2507" t="s">
        <v>1374</v>
      </c>
      <c r="C6" s="2507"/>
      <c r="D6" s="2507"/>
      <c r="E6" s="2507"/>
      <c r="F6" s="2507"/>
      <c r="G6" s="2507"/>
      <c r="H6" s="2507"/>
      <c r="I6" s="2507"/>
      <c r="J6" s="2507"/>
      <c r="K6" s="2507"/>
      <c r="L6" s="322"/>
    </row>
    <row r="7" spans="1:12" ht="4.5" customHeight="1" x14ac:dyDescent="0.2">
      <c r="B7" s="1377"/>
      <c r="C7" s="1377"/>
      <c r="D7" s="1377"/>
      <c r="E7" s="1377"/>
      <c r="F7" s="1377"/>
      <c r="G7" s="1378"/>
      <c r="H7" s="1377"/>
      <c r="I7" s="1378"/>
      <c r="J7" s="1377"/>
      <c r="K7" s="1377"/>
      <c r="L7" s="322"/>
    </row>
    <row r="8" spans="1:12" ht="13.5" customHeight="1" x14ac:dyDescent="0.2">
      <c r="B8" s="1385" t="s">
        <v>1855</v>
      </c>
      <c r="C8" s="1465" t="s">
        <v>1949</v>
      </c>
      <c r="D8" s="1466">
        <v>15</v>
      </c>
      <c r="E8" s="322"/>
      <c r="F8" s="1382" t="s">
        <v>1361</v>
      </c>
      <c r="G8" s="1467" t="s">
        <v>2076</v>
      </c>
      <c r="H8" s="1468" t="s">
        <v>1373</v>
      </c>
      <c r="I8" s="1467"/>
      <c r="J8" s="1469" t="s">
        <v>1372</v>
      </c>
      <c r="L8" s="322"/>
    </row>
    <row r="9" spans="1:12" ht="13.5" customHeight="1" x14ac:dyDescent="0.2">
      <c r="D9" s="322"/>
      <c r="E9" s="322"/>
      <c r="F9" s="322"/>
      <c r="G9" s="1381"/>
      <c r="H9" s="322"/>
      <c r="I9" s="1470" t="s">
        <v>1358</v>
      </c>
      <c r="J9" s="322"/>
      <c r="K9" s="1471"/>
      <c r="L9" s="322"/>
    </row>
    <row r="10" spans="1:12" ht="4.5" customHeight="1" x14ac:dyDescent="0.2">
      <c r="B10" s="1472"/>
      <c r="C10" s="1472"/>
      <c r="D10" s="1425"/>
      <c r="E10" s="1425"/>
      <c r="F10" s="1425"/>
      <c r="G10" s="1426"/>
      <c r="H10" s="1425"/>
      <c r="I10" s="1426"/>
      <c r="J10" s="1425"/>
      <c r="K10" s="1425"/>
      <c r="L10" s="322"/>
    </row>
    <row r="11" spans="1:12" ht="5.25" customHeight="1" x14ac:dyDescent="0.2">
      <c r="B11" s="322"/>
      <c r="C11" s="322"/>
      <c r="D11" s="304"/>
      <c r="E11" s="322"/>
      <c r="F11" s="322"/>
      <c r="G11" s="1381"/>
      <c r="H11" s="322"/>
      <c r="I11" s="1381"/>
      <c r="J11" s="322"/>
      <c r="K11" s="1430"/>
      <c r="L11" s="322"/>
    </row>
    <row r="12" spans="1:12" ht="13.5" customHeight="1" x14ac:dyDescent="0.2">
      <c r="B12" s="1382" t="s">
        <v>1371</v>
      </c>
      <c r="C12" s="1382"/>
      <c r="D12" s="304"/>
      <c r="E12" s="322"/>
      <c r="F12" s="2493" t="s">
        <v>973</v>
      </c>
      <c r="G12" s="2493"/>
      <c r="H12" s="2493"/>
      <c r="I12" s="2493"/>
      <c r="J12" s="2493"/>
      <c r="K12" s="2493"/>
      <c r="L12" s="322"/>
    </row>
    <row r="13" spans="1:12" ht="9.6" customHeight="1" x14ac:dyDescent="0.2">
      <c r="B13" s="1256"/>
      <c r="C13" s="1256"/>
      <c r="D13" s="304"/>
      <c r="E13" s="322"/>
      <c r="F13" s="322"/>
      <c r="G13" s="1381"/>
      <c r="H13" s="322"/>
      <c r="I13" s="1381"/>
      <c r="J13" s="322"/>
      <c r="K13" s="1430"/>
      <c r="L13" s="322"/>
    </row>
    <row r="14" spans="1:12" ht="13.5" customHeight="1" x14ac:dyDescent="0.2">
      <c r="B14" s="1385" t="s">
        <v>1370</v>
      </c>
      <c r="C14" s="1385"/>
      <c r="D14" s="2508" t="s">
        <v>2118</v>
      </c>
      <c r="E14" s="2508"/>
      <c r="F14" s="2508"/>
      <c r="H14" s="1473" t="s">
        <v>1369</v>
      </c>
      <c r="I14" s="2509" t="s">
        <v>2222</v>
      </c>
      <c r="J14" s="2510"/>
      <c r="K14" s="2510"/>
      <c r="L14" s="322"/>
    </row>
    <row r="15" spans="1:12" ht="9.4" customHeight="1" x14ac:dyDescent="0.2">
      <c r="B15" s="1385"/>
      <c r="C15" s="1385"/>
      <c r="D15" s="1371"/>
      <c r="E15" s="1259"/>
      <c r="F15" s="1259"/>
      <c r="G15" s="1285"/>
      <c r="H15" s="1259"/>
      <c r="I15" s="1474"/>
      <c r="J15" s="1292"/>
      <c r="K15" s="1289"/>
      <c r="L15" s="322"/>
    </row>
    <row r="16" spans="1:12" ht="13.5" customHeight="1" x14ac:dyDescent="0.2">
      <c r="B16" s="1385" t="s">
        <v>1368</v>
      </c>
      <c r="C16" s="1385"/>
      <c r="D16" s="2510" t="s">
        <v>424</v>
      </c>
      <c r="E16" s="2510"/>
      <c r="F16" s="2510"/>
      <c r="G16" s="2510"/>
      <c r="H16" s="2510"/>
      <c r="I16" s="2510"/>
      <c r="J16" s="2510"/>
      <c r="K16" s="2510"/>
      <c r="L16" s="322"/>
    </row>
    <row r="17" spans="2:12" ht="13.5" customHeight="1" x14ac:dyDescent="0.2">
      <c r="B17" s="1385" t="s">
        <v>1367</v>
      </c>
      <c r="C17" s="1385"/>
      <c r="D17" s="2511" t="s">
        <v>2220</v>
      </c>
      <c r="E17" s="2511"/>
      <c r="F17" s="2511"/>
      <c r="G17" s="2511"/>
      <c r="H17" s="2511"/>
      <c r="I17" s="2511"/>
      <c r="J17" s="2511"/>
      <c r="K17" s="2511"/>
      <c r="L17" s="322"/>
    </row>
    <row r="18" spans="2:12" ht="9.4" customHeight="1" x14ac:dyDescent="0.2">
      <c r="B18" s="1425"/>
      <c r="C18" s="1425"/>
      <c r="D18" s="1425"/>
      <c r="E18" s="1425"/>
      <c r="F18" s="1425"/>
      <c r="G18" s="1426"/>
      <c r="H18" s="1425"/>
      <c r="I18" s="1426"/>
      <c r="J18" s="1425"/>
      <c r="K18" s="1425"/>
      <c r="L18" s="322"/>
    </row>
    <row r="19" spans="2:12" ht="13.5" customHeight="1" x14ac:dyDescent="0.2">
      <c r="B19" s="1475" t="s">
        <v>1366</v>
      </c>
      <c r="C19" s="1475"/>
      <c r="D19" s="328"/>
      <c r="E19" s="328"/>
      <c r="F19" s="328"/>
      <c r="G19" s="1476"/>
      <c r="H19" s="328"/>
      <c r="I19" s="1476"/>
      <c r="J19" s="322"/>
      <c r="K19" s="322"/>
      <c r="L19" s="322"/>
    </row>
    <row r="20" spans="2:12" ht="35.25" customHeight="1" x14ac:dyDescent="0.2">
      <c r="B20" s="2500" t="s">
        <v>2214</v>
      </c>
      <c r="C20" s="2500"/>
      <c r="D20" s="2501"/>
      <c r="E20" s="2501"/>
      <c r="F20" s="2501"/>
      <c r="G20" s="2501"/>
      <c r="H20" s="2501"/>
      <c r="I20" s="2501"/>
      <c r="J20" s="2501"/>
      <c r="K20" s="2501"/>
      <c r="L20" s="1430"/>
    </row>
    <row r="21" spans="2:12" ht="4.5" customHeight="1" x14ac:dyDescent="0.2">
      <c r="B21" s="1477"/>
      <c r="C21" s="1477"/>
      <c r="D21" s="1478"/>
      <c r="E21" s="1478"/>
      <c r="F21" s="1478"/>
      <c r="G21" s="1426"/>
      <c r="H21" s="1478"/>
      <c r="I21" s="1426"/>
      <c r="J21" s="1478"/>
      <c r="K21" s="1478"/>
      <c r="L21" s="1430"/>
    </row>
    <row r="22" spans="2:12" ht="13.35" customHeight="1" x14ac:dyDescent="0.2">
      <c r="B22" s="1475" t="s">
        <v>1856</v>
      </c>
      <c r="C22" s="1475"/>
      <c r="D22" s="322"/>
      <c r="E22" s="322"/>
      <c r="F22" s="322"/>
      <c r="G22" s="1381"/>
      <c r="H22" s="322"/>
      <c r="I22" s="1381"/>
      <c r="J22" s="322"/>
      <c r="K22" s="322"/>
      <c r="L22" s="322"/>
    </row>
    <row r="23" spans="2:12" ht="37.5" customHeight="1" x14ac:dyDescent="0.2">
      <c r="B23" s="2500" t="s">
        <v>2215</v>
      </c>
      <c r="C23" s="2500"/>
      <c r="D23" s="2501"/>
      <c r="E23" s="2501"/>
      <c r="F23" s="2501"/>
      <c r="G23" s="2501"/>
      <c r="H23" s="2501"/>
      <c r="I23" s="2501"/>
      <c r="J23" s="2501"/>
      <c r="K23" s="2501"/>
      <c r="L23" s="322"/>
    </row>
    <row r="24" spans="2:12" ht="4.5" customHeight="1" x14ac:dyDescent="0.2">
      <c r="B24" s="1477"/>
      <c r="C24" s="1477"/>
      <c r="D24" s="1425"/>
      <c r="E24" s="1425"/>
      <c r="F24" s="1425"/>
      <c r="G24" s="1426"/>
      <c r="H24" s="1425"/>
      <c r="I24" s="1426"/>
      <c r="J24" s="1425"/>
      <c r="K24" s="1425"/>
      <c r="L24" s="322"/>
    </row>
    <row r="25" spans="2:12" ht="13.5" customHeight="1" x14ac:dyDescent="0.2">
      <c r="B25" s="1475" t="s">
        <v>1857</v>
      </c>
      <c r="C25" s="1475"/>
      <c r="D25" s="322"/>
      <c r="E25" s="322"/>
      <c r="F25" s="322"/>
      <c r="G25" s="1381"/>
      <c r="H25" s="322"/>
      <c r="I25" s="1381"/>
      <c r="J25" s="322"/>
      <c r="K25" s="322"/>
      <c r="L25" s="322"/>
    </row>
    <row r="26" spans="2:12" ht="37.5" customHeight="1" x14ac:dyDescent="0.2">
      <c r="B26" s="2512">
        <v>4005</v>
      </c>
      <c r="C26" s="2512"/>
      <c r="D26" s="2512"/>
      <c r="E26" s="2512"/>
      <c r="F26" s="2512"/>
      <c r="G26" s="2512"/>
      <c r="H26" s="2512"/>
      <c r="I26" s="2512"/>
      <c r="J26" s="2512"/>
      <c r="K26" s="2512"/>
      <c r="L26" s="322"/>
    </row>
    <row r="27" spans="2:12" ht="4.5" customHeight="1" x14ac:dyDescent="0.2">
      <c r="B27" s="1479"/>
      <c r="C27" s="1479"/>
      <c r="D27" s="1479"/>
      <c r="E27" s="1425"/>
      <c r="F27" s="1425"/>
      <c r="G27" s="1426"/>
      <c r="H27" s="1425"/>
      <c r="I27" s="1426"/>
      <c r="J27" s="1425"/>
      <c r="K27" s="1425"/>
      <c r="L27" s="322"/>
    </row>
    <row r="28" spans="2:12" ht="13.5" customHeight="1" x14ac:dyDescent="0.2">
      <c r="B28" s="1475" t="s">
        <v>1858</v>
      </c>
      <c r="C28" s="1475"/>
      <c r="D28" s="322"/>
      <c r="E28" s="322"/>
      <c r="F28" s="322"/>
      <c r="G28" s="1381"/>
      <c r="H28" s="322"/>
      <c r="I28" s="1381"/>
      <c r="J28" s="322"/>
      <c r="K28" s="322"/>
      <c r="L28" s="322"/>
    </row>
    <row r="29" spans="2:12" ht="67.5" customHeight="1" x14ac:dyDescent="0.2">
      <c r="B29" s="2500" t="s">
        <v>2274</v>
      </c>
      <c r="C29" s="2500"/>
      <c r="D29" s="2501"/>
      <c r="E29" s="2501"/>
      <c r="F29" s="2501"/>
      <c r="G29" s="2501"/>
      <c r="H29" s="2501"/>
      <c r="I29" s="2501"/>
      <c r="J29" s="2501"/>
      <c r="K29" s="2501"/>
      <c r="L29" s="322"/>
    </row>
    <row r="30" spans="2:12" ht="4.5" customHeight="1" x14ac:dyDescent="0.2">
      <c r="B30" s="1477"/>
      <c r="C30" s="1477"/>
      <c r="D30" s="1425"/>
      <c r="E30" s="1425"/>
      <c r="F30" s="1425"/>
      <c r="G30" s="1426"/>
      <c r="H30" s="1425"/>
      <c r="I30" s="1426"/>
      <c r="J30" s="1425"/>
      <c r="K30" s="1425"/>
      <c r="L30" s="322"/>
    </row>
    <row r="31" spans="2:12" ht="13.5" customHeight="1" x14ac:dyDescent="0.2">
      <c r="B31" s="1475" t="s">
        <v>1365</v>
      </c>
      <c r="C31" s="1475"/>
      <c r="D31" s="322"/>
      <c r="E31" s="322"/>
      <c r="F31" s="322"/>
      <c r="G31" s="1381"/>
      <c r="H31" s="322"/>
      <c r="I31" s="1381"/>
      <c r="J31" s="322"/>
      <c r="K31" s="322"/>
      <c r="L31" s="322"/>
    </row>
    <row r="32" spans="2:12" ht="37.5" customHeight="1" x14ac:dyDescent="0.2">
      <c r="B32" s="2500" t="s">
        <v>2217</v>
      </c>
      <c r="C32" s="2500"/>
      <c r="D32" s="2501"/>
      <c r="E32" s="2501"/>
      <c r="F32" s="2501"/>
      <c r="G32" s="2501"/>
      <c r="H32" s="2501"/>
      <c r="I32" s="2501"/>
      <c r="J32" s="2501"/>
      <c r="K32" s="2501"/>
      <c r="L32" s="322"/>
    </row>
    <row r="33" spans="2:12" ht="4.5" customHeight="1" x14ac:dyDescent="0.2">
      <c r="B33" s="1477"/>
      <c r="C33" s="1477"/>
      <c r="D33" s="1425"/>
      <c r="E33" s="1425"/>
      <c r="F33" s="1425"/>
      <c r="G33" s="1426"/>
      <c r="H33" s="1425"/>
      <c r="I33" s="1426"/>
      <c r="J33" s="1425"/>
      <c r="K33" s="1425"/>
      <c r="L33" s="322"/>
    </row>
    <row r="34" spans="2:12" ht="13.5" customHeight="1" x14ac:dyDescent="0.2">
      <c r="B34" s="1382" t="s">
        <v>1364</v>
      </c>
      <c r="C34" s="1382"/>
      <c r="D34" s="322"/>
      <c r="E34" s="322"/>
      <c r="F34" s="322"/>
      <c r="G34" s="1381"/>
      <c r="H34" s="322"/>
      <c r="I34" s="1381"/>
      <c r="J34" s="322"/>
      <c r="K34" s="322"/>
      <c r="L34" s="322"/>
    </row>
    <row r="35" spans="2:12" ht="37.5" customHeight="1" x14ac:dyDescent="0.2">
      <c r="B35" s="2500" t="s">
        <v>2269</v>
      </c>
      <c r="C35" s="2500"/>
      <c r="D35" s="2501"/>
      <c r="E35" s="2501"/>
      <c r="F35" s="2501"/>
      <c r="G35" s="2501"/>
      <c r="H35" s="2501"/>
      <c r="I35" s="2501"/>
      <c r="J35" s="2501"/>
      <c r="K35" s="2501"/>
      <c r="L35" s="322"/>
    </row>
    <row r="36" spans="2:12" ht="4.5" customHeight="1" x14ac:dyDescent="0.2">
      <c r="B36" s="1477"/>
      <c r="C36" s="1477"/>
      <c r="D36" s="1425"/>
      <c r="E36" s="1425"/>
      <c r="F36" s="1425"/>
      <c r="G36" s="1426"/>
      <c r="H36" s="1425"/>
      <c r="I36" s="1426"/>
      <c r="J36" s="1425"/>
      <c r="K36" s="1425"/>
      <c r="L36" s="322"/>
    </row>
    <row r="37" spans="2:12" ht="13.5" customHeight="1" x14ac:dyDescent="0.2">
      <c r="B37" s="1382" t="s">
        <v>1363</v>
      </c>
      <c r="C37" s="1382"/>
      <c r="D37" s="322"/>
      <c r="E37" s="322"/>
      <c r="F37" s="322"/>
      <c r="G37" s="1381"/>
      <c r="H37" s="322"/>
      <c r="I37" s="1381"/>
      <c r="J37" s="322"/>
      <c r="K37" s="322"/>
      <c r="L37" s="322"/>
    </row>
    <row r="38" spans="2:12" ht="35.25" customHeight="1" x14ac:dyDescent="0.2">
      <c r="B38" s="2500" t="s">
        <v>2276</v>
      </c>
      <c r="C38" s="2500"/>
      <c r="D38" s="2501"/>
      <c r="E38" s="2501"/>
      <c r="F38" s="2501"/>
      <c r="G38" s="2501"/>
      <c r="H38" s="2501"/>
      <c r="I38" s="2501"/>
      <c r="J38" s="2501"/>
      <c r="K38" s="2501"/>
      <c r="L38" s="322"/>
    </row>
    <row r="39" spans="2:12" ht="4.5" customHeight="1" x14ac:dyDescent="0.2">
      <c r="B39" s="1400"/>
      <c r="C39" s="1400"/>
      <c r="D39" s="322"/>
      <c r="E39" s="322"/>
      <c r="F39" s="322"/>
      <c r="G39" s="1381"/>
      <c r="H39" s="322"/>
      <c r="I39" s="1381"/>
      <c r="J39" s="322"/>
      <c r="K39" s="322"/>
      <c r="L39" s="322"/>
    </row>
    <row r="40" spans="2:12" s="322" customFormat="1" ht="13.5" customHeight="1" x14ac:dyDescent="0.2">
      <c r="B40" s="1401" t="s">
        <v>1859</v>
      </c>
      <c r="C40" s="1401"/>
      <c r="D40" s="1376"/>
      <c r="E40" s="1377"/>
      <c r="F40" s="1377"/>
      <c r="G40" s="1378"/>
      <c r="H40" s="1377"/>
      <c r="I40" s="1378"/>
      <c r="J40" s="1377"/>
      <c r="K40" s="1377"/>
    </row>
    <row r="41" spans="2:12" s="322" customFormat="1" ht="33.75" customHeight="1" x14ac:dyDescent="0.2">
      <c r="B41" s="2500" t="s">
        <v>2229</v>
      </c>
      <c r="C41" s="2500"/>
      <c r="D41" s="2501"/>
      <c r="E41" s="2501"/>
      <c r="F41" s="2501"/>
      <c r="G41" s="2501"/>
      <c r="H41" s="2501"/>
      <c r="I41" s="2501"/>
      <c r="J41" s="2501"/>
      <c r="K41" s="2501"/>
    </row>
    <row r="42" spans="2:12" s="322" customFormat="1" ht="4.5" customHeight="1" x14ac:dyDescent="0.2">
      <c r="B42" s="1400"/>
      <c r="C42" s="1400"/>
      <c r="G42" s="1381"/>
      <c r="I42" s="1381"/>
    </row>
    <row r="43" spans="2:12" s="322" customFormat="1" ht="13.5" customHeight="1" x14ac:dyDescent="0.2">
      <c r="B43" s="1480" t="s">
        <v>1352</v>
      </c>
      <c r="C43" s="1481"/>
      <c r="D43" s="1402"/>
      <c r="E43" s="1402"/>
      <c r="F43" s="1402"/>
      <c r="G43" s="1403"/>
      <c r="H43" s="1402"/>
      <c r="I43" s="1403"/>
      <c r="J43" s="1402"/>
      <c r="K43" s="1404"/>
      <c r="L43" s="1482"/>
    </row>
    <row r="44" spans="2:12" s="322" customFormat="1" ht="13.5" customHeight="1" x14ac:dyDescent="0.2">
      <c r="B44" s="1405" t="s">
        <v>1351</v>
      </c>
      <c r="C44" s="1406"/>
      <c r="D44" s="1483"/>
      <c r="E44" s="1407"/>
      <c r="F44" s="1411" t="s">
        <v>1350</v>
      </c>
      <c r="G44" s="1409"/>
      <c r="H44" s="1408"/>
      <c r="I44" s="1409"/>
      <c r="J44" s="1484"/>
      <c r="K44" s="1485"/>
      <c r="L44" s="1482"/>
    </row>
    <row r="45" spans="2:12" s="322" customFormat="1" ht="13.5" customHeight="1" x14ac:dyDescent="0.2">
      <c r="B45" s="1405" t="s">
        <v>1349</v>
      </c>
      <c r="C45" s="1406"/>
      <c r="D45" s="1484"/>
      <c r="E45" s="1408"/>
      <c r="F45" s="1411" t="s">
        <v>1348</v>
      </c>
      <c r="G45" s="1409"/>
      <c r="H45" s="1408"/>
      <c r="I45" s="1409"/>
      <c r="J45" s="1484"/>
      <c r="K45" s="1485"/>
      <c r="L45" s="1482"/>
    </row>
    <row r="46" spans="2:12" s="322" customFormat="1" ht="13.5" customHeight="1" x14ac:dyDescent="0.2">
      <c r="B46" s="1412"/>
      <c r="C46" s="1410"/>
      <c r="D46" s="1410"/>
      <c r="E46" s="1410"/>
      <c r="F46" s="1410"/>
      <c r="G46" s="1413"/>
      <c r="H46" s="1410"/>
      <c r="I46" s="1413"/>
      <c r="J46" s="1410"/>
      <c r="K46" s="1414"/>
      <c r="L46" s="1482"/>
    </row>
    <row r="47" spans="2:12" ht="7.5" customHeight="1" x14ac:dyDescent="0.25">
      <c r="B47" s="1486"/>
      <c r="C47" s="1486"/>
      <c r="D47" s="1487"/>
      <c r="E47" s="1487"/>
      <c r="F47" s="1487"/>
      <c r="G47" s="1488"/>
      <c r="H47" s="1487"/>
      <c r="I47" s="1488"/>
      <c r="J47" s="1487"/>
      <c r="K47" s="1487"/>
    </row>
    <row r="48" spans="2:12" ht="13.5" customHeight="1" x14ac:dyDescent="0.2">
      <c r="B48" s="1417" t="s">
        <v>1860</v>
      </c>
      <c r="C48" s="1417"/>
      <c r="D48" s="322"/>
      <c r="E48" s="322"/>
      <c r="F48" s="322"/>
    </row>
    <row r="49" spans="2:3" s="317" customFormat="1" ht="10.5" customHeight="1" x14ac:dyDescent="0.2">
      <c r="B49" s="1418" t="s">
        <v>1861</v>
      </c>
      <c r="C49" s="1418"/>
    </row>
    <row r="50" spans="2:3" s="317" customFormat="1" ht="11.1" customHeight="1" x14ac:dyDescent="0.2">
      <c r="B50" s="1418" t="s">
        <v>1862</v>
      </c>
      <c r="C50" s="1418"/>
    </row>
    <row r="51" spans="2:3" s="317" customFormat="1" ht="11.1" customHeight="1" x14ac:dyDescent="0.2">
      <c r="B51" s="1418" t="s">
        <v>1863</v>
      </c>
      <c r="C51" s="1418"/>
    </row>
    <row r="52" spans="2:3" s="317" customFormat="1" ht="11.1" customHeight="1" x14ac:dyDescent="0.2">
      <c r="B52" s="1418" t="s">
        <v>1864</v>
      </c>
      <c r="C52" s="1418"/>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scale="96" firstPageNumber="42" orientation="portrait" useFirstPageNumber="1" r:id="rId1"/>
  <headerFooter>
    <oddHeader>&amp;L&amp;8Page 44&amp;R&amp;8Page 44</oddHeader>
    <oddFooter>&amp;LSee Notes to Financial Statements</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showGridLines="0" topLeftCell="A28" zoomScale="110" zoomScaleNormal="110" workbookViewId="0">
      <selection activeCell="K36" sqref="K36"/>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5" t="str">
        <f>'Single Audit Cover'!A7</f>
        <v>Jersey CUSD 100</v>
      </c>
      <c r="C1" s="2505"/>
      <c r="D1" s="2505"/>
      <c r="E1" s="2505"/>
      <c r="F1" s="2505"/>
      <c r="G1" s="2505"/>
      <c r="H1" s="2505"/>
      <c r="I1" s="2505"/>
      <c r="J1" s="2505"/>
      <c r="K1" s="2505"/>
      <c r="L1" s="1463"/>
    </row>
    <row r="2" spans="1:12" ht="12.75" customHeight="1" x14ac:dyDescent="0.2">
      <c r="B2" s="2506">
        <f>'Single Audit Cover'!E7</f>
        <v>40042100026</v>
      </c>
      <c r="C2" s="2506"/>
      <c r="D2" s="2506"/>
      <c r="E2" s="2506"/>
      <c r="F2" s="2506"/>
      <c r="G2" s="2506"/>
      <c r="H2" s="2506"/>
      <c r="I2" s="2506"/>
      <c r="J2" s="2506"/>
      <c r="K2" s="2506"/>
      <c r="L2" s="1464"/>
    </row>
    <row r="3" spans="1:12" ht="12.75" customHeight="1" x14ac:dyDescent="0.2">
      <c r="B3" s="2502" t="s">
        <v>1346</v>
      </c>
      <c r="C3" s="2502"/>
      <c r="D3" s="2502"/>
      <c r="E3" s="2502"/>
      <c r="F3" s="2502"/>
      <c r="G3" s="2502"/>
      <c r="H3" s="2502"/>
      <c r="I3" s="2502"/>
      <c r="J3" s="2502"/>
      <c r="K3" s="2502"/>
      <c r="L3" s="1946"/>
    </row>
    <row r="4" spans="1:12" ht="12.75" customHeight="1" x14ac:dyDescent="0.2">
      <c r="B4" s="2502" t="str">
        <f>'Single Audit Cover'!A4</f>
        <v>Year Ending June 30, 2018</v>
      </c>
      <c r="C4" s="2502"/>
      <c r="D4" s="2502"/>
      <c r="E4" s="2502"/>
      <c r="F4" s="2502"/>
      <c r="G4" s="2502"/>
      <c r="H4" s="2502"/>
      <c r="I4" s="2502"/>
      <c r="J4" s="2502"/>
      <c r="K4" s="2502"/>
      <c r="L4" s="1946"/>
    </row>
    <row r="5" spans="1:12" ht="5.25" customHeight="1" x14ac:dyDescent="0.2">
      <c r="B5" s="1259" t="s">
        <v>1230</v>
      </c>
      <c r="C5" s="1259"/>
      <c r="L5" s="322"/>
    </row>
    <row r="6" spans="1:12" ht="30.75" customHeight="1" x14ac:dyDescent="0.2">
      <c r="A6" s="322"/>
      <c r="B6" s="2507" t="s">
        <v>1374</v>
      </c>
      <c r="C6" s="2507"/>
      <c r="D6" s="2507"/>
      <c r="E6" s="2507"/>
      <c r="F6" s="2507"/>
      <c r="G6" s="2507"/>
      <c r="H6" s="2507"/>
      <c r="I6" s="2507"/>
      <c r="J6" s="2507"/>
      <c r="K6" s="2507"/>
      <c r="L6" s="322"/>
    </row>
    <row r="7" spans="1:12" ht="4.5" customHeight="1" x14ac:dyDescent="0.2">
      <c r="B7" s="1377"/>
      <c r="C7" s="1377"/>
      <c r="D7" s="1377"/>
      <c r="E7" s="1377"/>
      <c r="F7" s="1377"/>
      <c r="G7" s="1378"/>
      <c r="H7" s="1377"/>
      <c r="I7" s="1378"/>
      <c r="J7" s="1377"/>
      <c r="K7" s="1377"/>
      <c r="L7" s="322"/>
    </row>
    <row r="8" spans="1:12" ht="13.5" customHeight="1" x14ac:dyDescent="0.2">
      <c r="B8" s="1385" t="s">
        <v>1855</v>
      </c>
      <c r="C8" s="1465" t="s">
        <v>1949</v>
      </c>
      <c r="D8" s="1466">
        <v>16</v>
      </c>
      <c r="E8" s="322"/>
      <c r="F8" s="1382" t="s">
        <v>1361</v>
      </c>
      <c r="G8" s="1467" t="s">
        <v>2076</v>
      </c>
      <c r="H8" s="1468" t="s">
        <v>1373</v>
      </c>
      <c r="I8" s="1467"/>
      <c r="J8" s="1469" t="s">
        <v>1372</v>
      </c>
      <c r="L8" s="322"/>
    </row>
    <row r="9" spans="1:12" ht="13.5" customHeight="1" x14ac:dyDescent="0.2">
      <c r="D9" s="322"/>
      <c r="E9" s="322"/>
      <c r="F9" s="322"/>
      <c r="G9" s="1381"/>
      <c r="H9" s="322"/>
      <c r="I9" s="1470" t="s">
        <v>1358</v>
      </c>
      <c r="J9" s="322"/>
      <c r="K9" s="1471"/>
      <c r="L9" s="322"/>
    </row>
    <row r="10" spans="1:12" ht="4.5" customHeight="1" x14ac:dyDescent="0.2">
      <c r="B10" s="1472"/>
      <c r="C10" s="1472"/>
      <c r="D10" s="1425"/>
      <c r="E10" s="1425"/>
      <c r="F10" s="1425"/>
      <c r="G10" s="1426"/>
      <c r="H10" s="1425"/>
      <c r="I10" s="1426"/>
      <c r="J10" s="1425"/>
      <c r="K10" s="1425"/>
      <c r="L10" s="322"/>
    </row>
    <row r="11" spans="1:12" ht="5.25" customHeight="1" x14ac:dyDescent="0.2">
      <c r="B11" s="322"/>
      <c r="C11" s="322"/>
      <c r="D11" s="304"/>
      <c r="E11" s="322"/>
      <c r="F11" s="322"/>
      <c r="G11" s="1381"/>
      <c r="H11" s="322"/>
      <c r="I11" s="1381"/>
      <c r="J11" s="322"/>
      <c r="K11" s="1430"/>
      <c r="L11" s="322"/>
    </row>
    <row r="12" spans="1:12" ht="13.5" customHeight="1" x14ac:dyDescent="0.2">
      <c r="B12" s="1382" t="s">
        <v>1371</v>
      </c>
      <c r="C12" s="1382"/>
      <c r="D12" s="304"/>
      <c r="E12" s="322"/>
      <c r="F12" s="2493" t="s">
        <v>973</v>
      </c>
      <c r="G12" s="2493"/>
      <c r="H12" s="2493"/>
      <c r="I12" s="2493"/>
      <c r="J12" s="2493"/>
      <c r="K12" s="2493"/>
      <c r="L12" s="322"/>
    </row>
    <row r="13" spans="1:12" ht="9.6" customHeight="1" x14ac:dyDescent="0.2">
      <c r="B13" s="1256"/>
      <c r="C13" s="1256"/>
      <c r="D13" s="304"/>
      <c r="E13" s="322"/>
      <c r="F13" s="322"/>
      <c r="G13" s="1381"/>
      <c r="H13" s="322"/>
      <c r="I13" s="1381"/>
      <c r="J13" s="322"/>
      <c r="K13" s="1430"/>
      <c r="L13" s="322"/>
    </row>
    <row r="14" spans="1:12" ht="13.5" customHeight="1" x14ac:dyDescent="0.2">
      <c r="B14" s="1385" t="s">
        <v>1370</v>
      </c>
      <c r="C14" s="1385"/>
      <c r="D14" s="2508" t="s">
        <v>2118</v>
      </c>
      <c r="E14" s="2508"/>
      <c r="F14" s="2508"/>
      <c r="H14" s="1473" t="s">
        <v>1369</v>
      </c>
      <c r="I14" s="2509" t="s">
        <v>2222</v>
      </c>
      <c r="J14" s="2510"/>
      <c r="K14" s="2510"/>
      <c r="L14" s="322"/>
    </row>
    <row r="15" spans="1:12" ht="9.4" customHeight="1" x14ac:dyDescent="0.2">
      <c r="B15" s="1385"/>
      <c r="C15" s="1385"/>
      <c r="D15" s="1371"/>
      <c r="E15" s="1259"/>
      <c r="F15" s="1259"/>
      <c r="G15" s="1285"/>
      <c r="H15" s="1259"/>
      <c r="I15" s="1474"/>
      <c r="J15" s="1292"/>
      <c r="K15" s="1289"/>
      <c r="L15" s="322"/>
    </row>
    <row r="16" spans="1:12" ht="13.5" customHeight="1" x14ac:dyDescent="0.2">
      <c r="B16" s="1385" t="s">
        <v>1368</v>
      </c>
      <c r="C16" s="1385"/>
      <c r="D16" s="2510" t="s">
        <v>424</v>
      </c>
      <c r="E16" s="2510"/>
      <c r="F16" s="2510"/>
      <c r="G16" s="2510"/>
      <c r="H16" s="2510"/>
      <c r="I16" s="2510"/>
      <c r="J16" s="2510"/>
      <c r="K16" s="2510"/>
      <c r="L16" s="322"/>
    </row>
    <row r="17" spans="2:12" ht="13.5" customHeight="1" x14ac:dyDescent="0.2">
      <c r="B17" s="1385" t="s">
        <v>1367</v>
      </c>
      <c r="C17" s="1385"/>
      <c r="D17" s="2511" t="s">
        <v>2220</v>
      </c>
      <c r="E17" s="2511"/>
      <c r="F17" s="2511"/>
      <c r="G17" s="2511"/>
      <c r="H17" s="2511"/>
      <c r="I17" s="2511"/>
      <c r="J17" s="2511"/>
      <c r="K17" s="2511"/>
      <c r="L17" s="322"/>
    </row>
    <row r="18" spans="2:12" ht="9.4" customHeight="1" x14ac:dyDescent="0.2">
      <c r="B18" s="1425"/>
      <c r="C18" s="1425"/>
      <c r="D18" s="1425"/>
      <c r="E18" s="1425"/>
      <c r="F18" s="1425"/>
      <c r="G18" s="1426"/>
      <c r="H18" s="1425"/>
      <c r="I18" s="1426"/>
      <c r="J18" s="1425"/>
      <c r="K18" s="1425"/>
      <c r="L18" s="322"/>
    </row>
    <row r="19" spans="2:12" ht="13.5" customHeight="1" x14ac:dyDescent="0.2">
      <c r="B19" s="1475" t="s">
        <v>1366</v>
      </c>
      <c r="C19" s="1475"/>
      <c r="D19" s="328"/>
      <c r="E19" s="328"/>
      <c r="F19" s="328"/>
      <c r="G19" s="1476"/>
      <c r="H19" s="328"/>
      <c r="I19" s="1476"/>
      <c r="J19" s="322"/>
      <c r="K19" s="322"/>
      <c r="L19" s="322"/>
    </row>
    <row r="20" spans="2:12" ht="35.25" customHeight="1" x14ac:dyDescent="0.2">
      <c r="B20" s="2500" t="s">
        <v>2214</v>
      </c>
      <c r="C20" s="2500"/>
      <c r="D20" s="2501"/>
      <c r="E20" s="2501"/>
      <c r="F20" s="2501"/>
      <c r="G20" s="2501"/>
      <c r="H20" s="2501"/>
      <c r="I20" s="2501"/>
      <c r="J20" s="2501"/>
      <c r="K20" s="2501"/>
      <c r="L20" s="1430"/>
    </row>
    <row r="21" spans="2:12" ht="4.5" customHeight="1" x14ac:dyDescent="0.2">
      <c r="B21" s="1477"/>
      <c r="C21" s="1477"/>
      <c r="D21" s="1478"/>
      <c r="E21" s="1478"/>
      <c r="F21" s="1478"/>
      <c r="G21" s="1426"/>
      <c r="H21" s="1478"/>
      <c r="I21" s="1426"/>
      <c r="J21" s="1478"/>
      <c r="K21" s="1478"/>
      <c r="L21" s="1430"/>
    </row>
    <row r="22" spans="2:12" ht="13.35" customHeight="1" x14ac:dyDescent="0.2">
      <c r="B22" s="1475" t="s">
        <v>1856</v>
      </c>
      <c r="C22" s="1475"/>
      <c r="D22" s="322"/>
      <c r="E22" s="322"/>
      <c r="F22" s="322"/>
      <c r="G22" s="1381"/>
      <c r="H22" s="322"/>
      <c r="I22" s="1381"/>
      <c r="J22" s="322"/>
      <c r="K22" s="322"/>
      <c r="L22" s="322"/>
    </row>
    <row r="23" spans="2:12" ht="37.5" customHeight="1" x14ac:dyDescent="0.2">
      <c r="B23" s="2500" t="s">
        <v>2345</v>
      </c>
      <c r="C23" s="2500"/>
      <c r="D23" s="2501"/>
      <c r="E23" s="2501"/>
      <c r="F23" s="2501"/>
      <c r="G23" s="2501"/>
      <c r="H23" s="2501"/>
      <c r="I23" s="2501"/>
      <c r="J23" s="2501"/>
      <c r="K23" s="2501"/>
      <c r="L23" s="322"/>
    </row>
    <row r="24" spans="2:12" ht="4.5" customHeight="1" x14ac:dyDescent="0.2">
      <c r="B24" s="1477"/>
      <c r="C24" s="1477"/>
      <c r="D24" s="1425"/>
      <c r="E24" s="1425"/>
      <c r="F24" s="1425"/>
      <c r="G24" s="1426"/>
      <c r="H24" s="1425"/>
      <c r="I24" s="1426"/>
      <c r="J24" s="1425"/>
      <c r="K24" s="1425"/>
      <c r="L24" s="322"/>
    </row>
    <row r="25" spans="2:12" ht="13.5" customHeight="1" x14ac:dyDescent="0.2">
      <c r="B25" s="1475" t="s">
        <v>1857</v>
      </c>
      <c r="C25" s="1475"/>
      <c r="D25" s="322"/>
      <c r="E25" s="322"/>
      <c r="F25" s="322"/>
      <c r="G25" s="1381"/>
      <c r="H25" s="322"/>
      <c r="I25" s="1381"/>
      <c r="J25" s="322"/>
      <c r="K25" s="322"/>
      <c r="L25" s="322"/>
    </row>
    <row r="26" spans="2:12" ht="37.5" customHeight="1" x14ac:dyDescent="0.2">
      <c r="B26" s="2500" t="s">
        <v>2216</v>
      </c>
      <c r="C26" s="2500"/>
      <c r="D26" s="2501"/>
      <c r="E26" s="2501"/>
      <c r="F26" s="2501"/>
      <c r="G26" s="2501"/>
      <c r="H26" s="2501"/>
      <c r="I26" s="2501"/>
      <c r="J26" s="2501"/>
      <c r="K26" s="2501"/>
      <c r="L26" s="322"/>
    </row>
    <row r="27" spans="2:12" ht="4.5" customHeight="1" x14ac:dyDescent="0.2">
      <c r="B27" s="1479"/>
      <c r="C27" s="1479"/>
      <c r="D27" s="1479"/>
      <c r="E27" s="1425"/>
      <c r="F27" s="1425"/>
      <c r="G27" s="1426"/>
      <c r="H27" s="1425"/>
      <c r="I27" s="1426"/>
      <c r="J27" s="1425"/>
      <c r="K27" s="1425"/>
      <c r="L27" s="322"/>
    </row>
    <row r="28" spans="2:12" ht="13.5" customHeight="1" x14ac:dyDescent="0.2">
      <c r="B28" s="1475" t="s">
        <v>1858</v>
      </c>
      <c r="C28" s="1475"/>
      <c r="D28" s="322"/>
      <c r="E28" s="322"/>
      <c r="F28" s="322"/>
      <c r="G28" s="1381"/>
      <c r="H28" s="322"/>
      <c r="I28" s="1381"/>
      <c r="J28" s="322"/>
      <c r="K28" s="322"/>
      <c r="L28" s="322"/>
    </row>
    <row r="29" spans="2:12" ht="37.5" customHeight="1" x14ac:dyDescent="0.2">
      <c r="B29" s="2500" t="s">
        <v>2270</v>
      </c>
      <c r="C29" s="2500"/>
      <c r="D29" s="2501"/>
      <c r="E29" s="2501"/>
      <c r="F29" s="2501"/>
      <c r="G29" s="2501"/>
      <c r="H29" s="2501"/>
      <c r="I29" s="2501"/>
      <c r="J29" s="2501"/>
      <c r="K29" s="2501"/>
      <c r="L29" s="322"/>
    </row>
    <row r="30" spans="2:12" ht="4.5" customHeight="1" x14ac:dyDescent="0.2">
      <c r="B30" s="1477"/>
      <c r="C30" s="1477"/>
      <c r="D30" s="1425"/>
      <c r="E30" s="1425"/>
      <c r="F30" s="1425"/>
      <c r="G30" s="1426"/>
      <c r="H30" s="1425"/>
      <c r="I30" s="1426"/>
      <c r="J30" s="1425"/>
      <c r="K30" s="1425"/>
      <c r="L30" s="322"/>
    </row>
    <row r="31" spans="2:12" ht="13.5" customHeight="1" x14ac:dyDescent="0.2">
      <c r="B31" s="1475" t="s">
        <v>1365</v>
      </c>
      <c r="C31" s="1475"/>
      <c r="D31" s="322"/>
      <c r="E31" s="322"/>
      <c r="F31" s="322"/>
      <c r="G31" s="1381"/>
      <c r="H31" s="322"/>
      <c r="I31" s="1381"/>
      <c r="J31" s="322"/>
      <c r="K31" s="322"/>
      <c r="L31" s="322"/>
    </row>
    <row r="32" spans="2:12" ht="37.5" customHeight="1" x14ac:dyDescent="0.2">
      <c r="B32" s="2500" t="s">
        <v>2271</v>
      </c>
      <c r="C32" s="2500"/>
      <c r="D32" s="2501"/>
      <c r="E32" s="2501"/>
      <c r="F32" s="2501"/>
      <c r="G32" s="2501"/>
      <c r="H32" s="2501"/>
      <c r="I32" s="2501"/>
      <c r="J32" s="2501"/>
      <c r="K32" s="2501"/>
      <c r="L32" s="322"/>
    </row>
    <row r="33" spans="2:12" ht="4.5" customHeight="1" x14ac:dyDescent="0.2">
      <c r="B33" s="1477"/>
      <c r="C33" s="1477"/>
      <c r="D33" s="1425"/>
      <c r="E33" s="1425"/>
      <c r="F33" s="1425"/>
      <c r="G33" s="1426"/>
      <c r="H33" s="1425"/>
      <c r="I33" s="1426"/>
      <c r="J33" s="1425"/>
      <c r="K33" s="1425"/>
      <c r="L33" s="322"/>
    </row>
    <row r="34" spans="2:12" ht="13.5" customHeight="1" x14ac:dyDescent="0.2">
      <c r="B34" s="1382" t="s">
        <v>1364</v>
      </c>
      <c r="C34" s="1382"/>
      <c r="D34" s="322"/>
      <c r="E34" s="322"/>
      <c r="F34" s="322"/>
      <c r="G34" s="1381"/>
      <c r="H34" s="322"/>
      <c r="I34" s="1381"/>
      <c r="J34" s="322"/>
      <c r="K34" s="322"/>
      <c r="L34" s="322"/>
    </row>
    <row r="35" spans="2:12" ht="37.5" customHeight="1" x14ac:dyDescent="0.2">
      <c r="B35" s="2500" t="s">
        <v>2278</v>
      </c>
      <c r="C35" s="2500"/>
      <c r="D35" s="2501"/>
      <c r="E35" s="2501"/>
      <c r="F35" s="2501"/>
      <c r="G35" s="2501"/>
      <c r="H35" s="2501"/>
      <c r="I35" s="2501"/>
      <c r="J35" s="2501"/>
      <c r="K35" s="2501"/>
      <c r="L35" s="322"/>
    </row>
    <row r="36" spans="2:12" ht="4.5" customHeight="1" x14ac:dyDescent="0.2">
      <c r="B36" s="1477"/>
      <c r="C36" s="1477"/>
      <c r="D36" s="1425"/>
      <c r="E36" s="1425"/>
      <c r="F36" s="1425"/>
      <c r="G36" s="1426"/>
      <c r="H36" s="1425"/>
      <c r="I36" s="1426"/>
      <c r="J36" s="1425"/>
      <c r="K36" s="1425"/>
      <c r="L36" s="322"/>
    </row>
    <row r="37" spans="2:12" ht="13.5" customHeight="1" x14ac:dyDescent="0.2">
      <c r="B37" s="1382" t="s">
        <v>1363</v>
      </c>
      <c r="C37" s="1382"/>
      <c r="D37" s="322"/>
      <c r="E37" s="322"/>
      <c r="F37" s="322"/>
      <c r="G37" s="1381"/>
      <c r="H37" s="322"/>
      <c r="I37" s="1381"/>
      <c r="J37" s="322"/>
      <c r="K37" s="322"/>
      <c r="L37" s="322"/>
    </row>
    <row r="38" spans="2:12" ht="35.25" customHeight="1" x14ac:dyDescent="0.2">
      <c r="B38" s="2500" t="s">
        <v>2273</v>
      </c>
      <c r="C38" s="2500"/>
      <c r="D38" s="2501"/>
      <c r="E38" s="2501"/>
      <c r="F38" s="2501"/>
      <c r="G38" s="2501"/>
      <c r="H38" s="2501"/>
      <c r="I38" s="2501"/>
      <c r="J38" s="2501"/>
      <c r="K38" s="2501"/>
      <c r="L38" s="322"/>
    </row>
    <row r="39" spans="2:12" ht="4.5" customHeight="1" x14ac:dyDescent="0.2">
      <c r="B39" s="1400"/>
      <c r="C39" s="1400"/>
      <c r="D39" s="322"/>
      <c r="E39" s="322"/>
      <c r="F39" s="322"/>
      <c r="G39" s="1381"/>
      <c r="H39" s="322"/>
      <c r="I39" s="1381"/>
      <c r="J39" s="322"/>
      <c r="K39" s="322"/>
      <c r="L39" s="322"/>
    </row>
    <row r="40" spans="2:12" s="322" customFormat="1" ht="13.5" customHeight="1" x14ac:dyDescent="0.2">
      <c r="B40" s="1401" t="s">
        <v>1859</v>
      </c>
      <c r="C40" s="1401"/>
      <c r="D40" s="1376"/>
      <c r="E40" s="1377"/>
      <c r="F40" s="1377"/>
      <c r="G40" s="1378"/>
      <c r="H40" s="1377"/>
      <c r="I40" s="1378"/>
      <c r="J40" s="1377"/>
      <c r="K40" s="1377"/>
    </row>
    <row r="41" spans="2:12" s="322" customFormat="1" ht="33.75" customHeight="1" x14ac:dyDescent="0.2">
      <c r="B41" s="2500" t="s">
        <v>2275</v>
      </c>
      <c r="C41" s="2500"/>
      <c r="D41" s="2501"/>
      <c r="E41" s="2501"/>
      <c r="F41" s="2501"/>
      <c r="G41" s="2501"/>
      <c r="H41" s="2501"/>
      <c r="I41" s="2501"/>
      <c r="J41" s="2501"/>
      <c r="K41" s="2501"/>
    </row>
    <row r="42" spans="2:12" s="322" customFormat="1" ht="4.5" customHeight="1" x14ac:dyDescent="0.2">
      <c r="B42" s="1400"/>
      <c r="C42" s="1400"/>
      <c r="G42" s="1381"/>
      <c r="I42" s="1381"/>
    </row>
    <row r="43" spans="2:12" s="322" customFormat="1" ht="13.5" customHeight="1" x14ac:dyDescent="0.2">
      <c r="B43" s="1480" t="s">
        <v>1352</v>
      </c>
      <c r="C43" s="1481"/>
      <c r="D43" s="1402"/>
      <c r="E43" s="1402"/>
      <c r="F43" s="1402"/>
      <c r="G43" s="1403"/>
      <c r="H43" s="1402"/>
      <c r="I43" s="1403"/>
      <c r="J43" s="1402"/>
      <c r="K43" s="1404"/>
      <c r="L43" s="1482"/>
    </row>
    <row r="44" spans="2:12" s="322" customFormat="1" ht="13.5" customHeight="1" x14ac:dyDescent="0.2">
      <c r="B44" s="1405" t="s">
        <v>1351</v>
      </c>
      <c r="C44" s="1406"/>
      <c r="D44" s="1483"/>
      <c r="E44" s="1407"/>
      <c r="F44" s="1411" t="s">
        <v>1350</v>
      </c>
      <c r="G44" s="1409"/>
      <c r="H44" s="1408"/>
      <c r="I44" s="1409"/>
      <c r="J44" s="1484"/>
      <c r="K44" s="1485"/>
      <c r="L44" s="1482"/>
    </row>
    <row r="45" spans="2:12" s="322" customFormat="1" ht="13.5" customHeight="1" x14ac:dyDescent="0.2">
      <c r="B45" s="1405" t="s">
        <v>1349</v>
      </c>
      <c r="C45" s="1406"/>
      <c r="D45" s="1484"/>
      <c r="E45" s="1408"/>
      <c r="F45" s="1411" t="s">
        <v>1348</v>
      </c>
      <c r="G45" s="1409"/>
      <c r="H45" s="1408"/>
      <c r="I45" s="1409"/>
      <c r="J45" s="1484"/>
      <c r="K45" s="1485"/>
      <c r="L45" s="1482"/>
    </row>
    <row r="46" spans="2:12" s="322" customFormat="1" ht="13.5" customHeight="1" x14ac:dyDescent="0.2">
      <c r="B46" s="1412"/>
      <c r="C46" s="1410"/>
      <c r="D46" s="1410"/>
      <c r="E46" s="1410"/>
      <c r="F46" s="1410"/>
      <c r="G46" s="1413"/>
      <c r="H46" s="1410"/>
      <c r="I46" s="1413"/>
      <c r="J46" s="1410"/>
      <c r="K46" s="1414"/>
      <c r="L46" s="1482"/>
    </row>
    <row r="47" spans="2:12" ht="7.5" customHeight="1" x14ac:dyDescent="0.25">
      <c r="B47" s="1486"/>
      <c r="C47" s="1486"/>
      <c r="D47" s="1487"/>
      <c r="E47" s="1487"/>
      <c r="F47" s="1487"/>
      <c r="G47" s="1488"/>
      <c r="H47" s="1487"/>
      <c r="I47" s="1488"/>
      <c r="J47" s="1487"/>
      <c r="K47" s="1487"/>
    </row>
    <row r="48" spans="2:12" ht="13.5" customHeight="1" x14ac:dyDescent="0.2">
      <c r="B48" s="1417" t="s">
        <v>1860</v>
      </c>
      <c r="C48" s="1417"/>
      <c r="D48" s="322"/>
      <c r="E48" s="322"/>
      <c r="F48" s="322"/>
    </row>
    <row r="49" spans="2:3" s="317" customFormat="1" ht="10.5" customHeight="1" x14ac:dyDescent="0.2">
      <c r="B49" s="1418" t="s">
        <v>1861</v>
      </c>
      <c r="C49" s="1418"/>
    </row>
    <row r="50" spans="2:3" s="317" customFormat="1" ht="11.1" customHeight="1" x14ac:dyDescent="0.2">
      <c r="B50" s="1418" t="s">
        <v>1862</v>
      </c>
      <c r="C50" s="1418"/>
    </row>
    <row r="51" spans="2:3" s="317" customFormat="1" ht="11.1" customHeight="1" x14ac:dyDescent="0.2">
      <c r="B51" s="1418" t="s">
        <v>1863</v>
      </c>
      <c r="C51" s="1418"/>
    </row>
    <row r="52" spans="2:3" s="317" customFormat="1" ht="11.1" customHeight="1" x14ac:dyDescent="0.2">
      <c r="B52" s="1418" t="s">
        <v>1864</v>
      </c>
      <c r="C52" s="1418"/>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scale="99" firstPageNumber="42" orientation="portrait" useFirstPageNumber="1" r:id="rId1"/>
  <headerFooter>
    <oddHeader>&amp;L&amp;8Page 44&amp;R&amp;8Page 44</oddHeader>
    <oddFooter>&amp;LSee Notes to Financial Statements</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showGridLines="0" topLeftCell="A34" zoomScale="110" zoomScaleNormal="110" workbookViewId="0">
      <selection activeCell="K36" sqref="K36"/>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5" t="str">
        <f>'Single Audit Cover'!A7</f>
        <v>Jersey CUSD 100</v>
      </c>
      <c r="C1" s="2505"/>
      <c r="D1" s="2505"/>
      <c r="E1" s="2505"/>
      <c r="F1" s="2505"/>
      <c r="G1" s="2505"/>
      <c r="H1" s="2505"/>
      <c r="I1" s="2505"/>
      <c r="J1" s="2505"/>
      <c r="K1" s="2505"/>
      <c r="L1" s="1463"/>
    </row>
    <row r="2" spans="1:12" ht="12.75" customHeight="1" x14ac:dyDescent="0.2">
      <c r="B2" s="2506">
        <f>'Single Audit Cover'!E7</f>
        <v>40042100026</v>
      </c>
      <c r="C2" s="2506"/>
      <c r="D2" s="2506"/>
      <c r="E2" s="2506"/>
      <c r="F2" s="2506"/>
      <c r="G2" s="2506"/>
      <c r="H2" s="2506"/>
      <c r="I2" s="2506"/>
      <c r="J2" s="2506"/>
      <c r="K2" s="2506"/>
      <c r="L2" s="1464"/>
    </row>
    <row r="3" spans="1:12" ht="12.75" customHeight="1" x14ac:dyDescent="0.2">
      <c r="B3" s="2502" t="s">
        <v>1346</v>
      </c>
      <c r="C3" s="2502"/>
      <c r="D3" s="2502"/>
      <c r="E3" s="2502"/>
      <c r="F3" s="2502"/>
      <c r="G3" s="2502"/>
      <c r="H3" s="2502"/>
      <c r="I3" s="2502"/>
      <c r="J3" s="2502"/>
      <c r="K3" s="2502"/>
      <c r="L3" s="1946"/>
    </row>
    <row r="4" spans="1:12" ht="12.75" customHeight="1" x14ac:dyDescent="0.2">
      <c r="B4" s="2502" t="str">
        <f>'Single Audit Cover'!A4</f>
        <v>Year Ending June 30, 2018</v>
      </c>
      <c r="C4" s="2502"/>
      <c r="D4" s="2502"/>
      <c r="E4" s="2502"/>
      <c r="F4" s="2502"/>
      <c r="G4" s="2502"/>
      <c r="H4" s="2502"/>
      <c r="I4" s="2502"/>
      <c r="J4" s="2502"/>
      <c r="K4" s="2502"/>
      <c r="L4" s="1946"/>
    </row>
    <row r="5" spans="1:12" ht="5.25" customHeight="1" x14ac:dyDescent="0.2">
      <c r="B5" s="1259" t="s">
        <v>1230</v>
      </c>
      <c r="C5" s="1259"/>
      <c r="L5" s="322"/>
    </row>
    <row r="6" spans="1:12" ht="30.75" customHeight="1" x14ac:dyDescent="0.2">
      <c r="A6" s="322"/>
      <c r="B6" s="2507" t="s">
        <v>1374</v>
      </c>
      <c r="C6" s="2507"/>
      <c r="D6" s="2507"/>
      <c r="E6" s="2507"/>
      <c r="F6" s="2507"/>
      <c r="G6" s="2507"/>
      <c r="H6" s="2507"/>
      <c r="I6" s="2507"/>
      <c r="J6" s="2507"/>
      <c r="K6" s="2507"/>
      <c r="L6" s="322"/>
    </row>
    <row r="7" spans="1:12" ht="4.5" customHeight="1" x14ac:dyDescent="0.2">
      <c r="B7" s="1377"/>
      <c r="C7" s="1377"/>
      <c r="D7" s="1377"/>
      <c r="E7" s="1377"/>
      <c r="F7" s="1377"/>
      <c r="G7" s="1378"/>
      <c r="H7" s="1377"/>
      <c r="I7" s="1378"/>
      <c r="J7" s="1377"/>
      <c r="K7" s="1377"/>
      <c r="L7" s="322"/>
    </row>
    <row r="8" spans="1:12" ht="13.5" customHeight="1" x14ac:dyDescent="0.2">
      <c r="B8" s="1385" t="s">
        <v>1855</v>
      </c>
      <c r="C8" s="1465" t="s">
        <v>1949</v>
      </c>
      <c r="D8" s="1466">
        <v>17</v>
      </c>
      <c r="E8" s="322"/>
      <c r="F8" s="1382" t="s">
        <v>1361</v>
      </c>
      <c r="G8" s="1467" t="s">
        <v>2076</v>
      </c>
      <c r="H8" s="1468" t="s">
        <v>1373</v>
      </c>
      <c r="I8" s="1467"/>
      <c r="J8" s="1469" t="s">
        <v>1372</v>
      </c>
      <c r="L8" s="322"/>
    </row>
    <row r="9" spans="1:12" ht="13.5" customHeight="1" x14ac:dyDescent="0.2">
      <c r="D9" s="322"/>
      <c r="E9" s="322"/>
      <c r="F9" s="322"/>
      <c r="G9" s="1381"/>
      <c r="H9" s="322"/>
      <c r="I9" s="1470" t="s">
        <v>1358</v>
      </c>
      <c r="J9" s="322"/>
      <c r="K9" s="1471"/>
      <c r="L9" s="322"/>
    </row>
    <row r="10" spans="1:12" ht="4.5" customHeight="1" x14ac:dyDescent="0.2">
      <c r="B10" s="1472"/>
      <c r="C10" s="1472"/>
      <c r="D10" s="1425"/>
      <c r="E10" s="1425"/>
      <c r="F10" s="1425"/>
      <c r="G10" s="1426"/>
      <c r="H10" s="1425"/>
      <c r="I10" s="1426"/>
      <c r="J10" s="1425"/>
      <c r="K10" s="1425"/>
      <c r="L10" s="322"/>
    </row>
    <row r="11" spans="1:12" ht="5.25" customHeight="1" x14ac:dyDescent="0.2">
      <c r="B11" s="322"/>
      <c r="C11" s="322"/>
      <c r="D11" s="304"/>
      <c r="E11" s="322"/>
      <c r="F11" s="322"/>
      <c r="G11" s="1381"/>
      <c r="H11" s="322"/>
      <c r="I11" s="1381"/>
      <c r="J11" s="322"/>
      <c r="K11" s="1430"/>
      <c r="L11" s="322"/>
    </row>
    <row r="12" spans="1:12" ht="13.5" customHeight="1" x14ac:dyDescent="0.2">
      <c r="B12" s="1382" t="s">
        <v>1371</v>
      </c>
      <c r="C12" s="1382"/>
      <c r="D12" s="304"/>
      <c r="E12" s="322"/>
      <c r="F12" s="2493" t="s">
        <v>781</v>
      </c>
      <c r="G12" s="2493"/>
      <c r="H12" s="2493"/>
      <c r="I12" s="2493"/>
      <c r="J12" s="2493"/>
      <c r="K12" s="2493"/>
      <c r="L12" s="322"/>
    </row>
    <row r="13" spans="1:12" ht="9.6" customHeight="1" x14ac:dyDescent="0.2">
      <c r="B13" s="1256"/>
      <c r="C13" s="1256"/>
      <c r="D13" s="304"/>
      <c r="E13" s="322"/>
      <c r="F13" s="322"/>
      <c r="G13" s="1381"/>
      <c r="H13" s="322"/>
      <c r="I13" s="1381"/>
      <c r="J13" s="322"/>
      <c r="K13" s="1430"/>
      <c r="L13" s="322"/>
    </row>
    <row r="14" spans="1:12" ht="13.5" customHeight="1" x14ac:dyDescent="0.2">
      <c r="B14" s="1385" t="s">
        <v>1370</v>
      </c>
      <c r="C14" s="1385"/>
      <c r="D14" s="2508" t="s">
        <v>2121</v>
      </c>
      <c r="E14" s="2508"/>
      <c r="F14" s="2508"/>
      <c r="H14" s="1473" t="s">
        <v>1369</v>
      </c>
      <c r="I14" s="2510">
        <v>84.367000000000004</v>
      </c>
      <c r="J14" s="2510"/>
      <c r="K14" s="2510"/>
      <c r="L14" s="322"/>
    </row>
    <row r="15" spans="1:12" ht="9.4" customHeight="1" x14ac:dyDescent="0.2">
      <c r="B15" s="1385"/>
      <c r="C15" s="1385"/>
      <c r="D15" s="1371"/>
      <c r="E15" s="1259"/>
      <c r="F15" s="1259"/>
      <c r="G15" s="1285"/>
      <c r="H15" s="1259"/>
      <c r="I15" s="1474"/>
      <c r="J15" s="1292"/>
      <c r="K15" s="1289"/>
      <c r="L15" s="322"/>
    </row>
    <row r="16" spans="1:12" ht="13.5" customHeight="1" x14ac:dyDescent="0.2">
      <c r="B16" s="1385" t="s">
        <v>1368</v>
      </c>
      <c r="C16" s="1385"/>
      <c r="D16" s="2510" t="s">
        <v>424</v>
      </c>
      <c r="E16" s="2510"/>
      <c r="F16" s="2510"/>
      <c r="G16" s="2510"/>
      <c r="H16" s="2510"/>
      <c r="I16" s="2510"/>
      <c r="J16" s="2510"/>
      <c r="K16" s="2510"/>
      <c r="L16" s="322"/>
    </row>
    <row r="17" spans="2:12" ht="13.5" customHeight="1" x14ac:dyDescent="0.2">
      <c r="B17" s="1385" t="s">
        <v>1367</v>
      </c>
      <c r="C17" s="1385"/>
      <c r="D17" s="2511" t="s">
        <v>2220</v>
      </c>
      <c r="E17" s="2511"/>
      <c r="F17" s="2511"/>
      <c r="G17" s="2511"/>
      <c r="H17" s="2511"/>
      <c r="I17" s="2511"/>
      <c r="J17" s="2511"/>
      <c r="K17" s="2511"/>
      <c r="L17" s="322"/>
    </row>
    <row r="18" spans="2:12" ht="9.4" customHeight="1" x14ac:dyDescent="0.2">
      <c r="B18" s="1425"/>
      <c r="C18" s="1425"/>
      <c r="D18" s="1425"/>
      <c r="E18" s="1425"/>
      <c r="F18" s="1425"/>
      <c r="G18" s="1426"/>
      <c r="H18" s="1425"/>
      <c r="I18" s="1426"/>
      <c r="J18" s="1425"/>
      <c r="K18" s="1425"/>
      <c r="L18" s="322"/>
    </row>
    <row r="19" spans="2:12" ht="13.5" customHeight="1" x14ac:dyDescent="0.2">
      <c r="B19" s="1475" t="s">
        <v>1366</v>
      </c>
      <c r="C19" s="1475"/>
      <c r="D19" s="328"/>
      <c r="E19" s="328"/>
      <c r="F19" s="328"/>
      <c r="G19" s="1476"/>
      <c r="H19" s="328"/>
      <c r="I19" s="1476"/>
      <c r="J19" s="322"/>
      <c r="K19" s="322"/>
      <c r="L19" s="322"/>
    </row>
    <row r="20" spans="2:12" ht="35.25" customHeight="1" x14ac:dyDescent="0.2">
      <c r="B20" s="2500" t="s">
        <v>2214</v>
      </c>
      <c r="C20" s="2500"/>
      <c r="D20" s="2501"/>
      <c r="E20" s="2501"/>
      <c r="F20" s="2501"/>
      <c r="G20" s="2501"/>
      <c r="H20" s="2501"/>
      <c r="I20" s="2501"/>
      <c r="J20" s="2501"/>
      <c r="K20" s="2501"/>
      <c r="L20" s="1430"/>
    </row>
    <row r="21" spans="2:12" ht="4.5" customHeight="1" x14ac:dyDescent="0.2">
      <c r="B21" s="1477"/>
      <c r="C21" s="1477"/>
      <c r="D21" s="1478"/>
      <c r="E21" s="1478"/>
      <c r="F21" s="1478"/>
      <c r="G21" s="1426"/>
      <c r="H21" s="1478"/>
      <c r="I21" s="1426"/>
      <c r="J21" s="1478"/>
      <c r="K21" s="1478"/>
      <c r="L21" s="1430"/>
    </row>
    <row r="22" spans="2:12" ht="13.35" customHeight="1" x14ac:dyDescent="0.2">
      <c r="B22" s="1475" t="s">
        <v>1856</v>
      </c>
      <c r="C22" s="1475"/>
      <c r="D22" s="322"/>
      <c r="E22" s="322"/>
      <c r="F22" s="322"/>
      <c r="G22" s="1381"/>
      <c r="H22" s="322"/>
      <c r="I22" s="1381"/>
      <c r="J22" s="322"/>
      <c r="K22" s="322"/>
      <c r="L22" s="322"/>
    </row>
    <row r="23" spans="2:12" ht="37.5" customHeight="1" x14ac:dyDescent="0.2">
      <c r="B23" s="2500" t="s">
        <v>2215</v>
      </c>
      <c r="C23" s="2500"/>
      <c r="D23" s="2501"/>
      <c r="E23" s="2501"/>
      <c r="F23" s="2501"/>
      <c r="G23" s="2501"/>
      <c r="H23" s="2501"/>
      <c r="I23" s="2501"/>
      <c r="J23" s="2501"/>
      <c r="K23" s="2501"/>
      <c r="L23" s="322"/>
    </row>
    <row r="24" spans="2:12" ht="4.5" customHeight="1" x14ac:dyDescent="0.2">
      <c r="B24" s="1477"/>
      <c r="C24" s="1477"/>
      <c r="D24" s="1425"/>
      <c r="E24" s="1425"/>
      <c r="F24" s="1425"/>
      <c r="G24" s="1426"/>
      <c r="H24" s="1425"/>
      <c r="I24" s="1426"/>
      <c r="J24" s="1425"/>
      <c r="K24" s="1425"/>
      <c r="L24" s="322"/>
    </row>
    <row r="25" spans="2:12" ht="13.5" customHeight="1" x14ac:dyDescent="0.2">
      <c r="B25" s="1475" t="s">
        <v>1857</v>
      </c>
      <c r="C25" s="1475"/>
      <c r="D25" s="322"/>
      <c r="E25" s="322"/>
      <c r="F25" s="322"/>
      <c r="G25" s="1381"/>
      <c r="H25" s="322"/>
      <c r="I25" s="1381"/>
      <c r="J25" s="322"/>
      <c r="K25" s="322"/>
      <c r="L25" s="322"/>
    </row>
    <row r="26" spans="2:12" ht="37.5" customHeight="1" x14ac:dyDescent="0.2">
      <c r="B26" s="2512">
        <v>251</v>
      </c>
      <c r="C26" s="2512"/>
      <c r="D26" s="2512"/>
      <c r="E26" s="2512"/>
      <c r="F26" s="2512"/>
      <c r="G26" s="2512"/>
      <c r="H26" s="2512"/>
      <c r="I26" s="2512"/>
      <c r="J26" s="2512"/>
      <c r="K26" s="2512"/>
      <c r="L26" s="322"/>
    </row>
    <row r="27" spans="2:12" ht="4.5" customHeight="1" x14ac:dyDescent="0.2">
      <c r="B27" s="1479"/>
      <c r="C27" s="1479"/>
      <c r="D27" s="1479"/>
      <c r="E27" s="1425"/>
      <c r="F27" s="1425"/>
      <c r="G27" s="1426"/>
      <c r="H27" s="1425"/>
      <c r="I27" s="1426"/>
      <c r="J27" s="1425"/>
      <c r="K27" s="1425"/>
      <c r="L27" s="322"/>
    </row>
    <row r="28" spans="2:12" ht="13.5" customHeight="1" x14ac:dyDescent="0.2">
      <c r="B28" s="1475" t="s">
        <v>1858</v>
      </c>
      <c r="C28" s="1475"/>
      <c r="D28" s="322"/>
      <c r="E28" s="322"/>
      <c r="F28" s="322"/>
      <c r="G28" s="1381"/>
      <c r="H28" s="322"/>
      <c r="I28" s="1381"/>
      <c r="J28" s="322"/>
      <c r="K28" s="322"/>
      <c r="L28" s="322"/>
    </row>
    <row r="29" spans="2:12" ht="37.5" customHeight="1" x14ac:dyDescent="0.2">
      <c r="B29" s="2500" t="s">
        <v>2318</v>
      </c>
      <c r="C29" s="2500"/>
      <c r="D29" s="2501"/>
      <c r="E29" s="2501"/>
      <c r="F29" s="2501"/>
      <c r="G29" s="2501"/>
      <c r="H29" s="2501"/>
      <c r="I29" s="2501"/>
      <c r="J29" s="2501"/>
      <c r="K29" s="2501"/>
      <c r="L29" s="322"/>
    </row>
    <row r="30" spans="2:12" ht="4.5" customHeight="1" x14ac:dyDescent="0.2">
      <c r="B30" s="1477"/>
      <c r="C30" s="1477"/>
      <c r="D30" s="1425"/>
      <c r="E30" s="1425"/>
      <c r="F30" s="1425"/>
      <c r="G30" s="1426"/>
      <c r="H30" s="1425"/>
      <c r="I30" s="1426"/>
      <c r="J30" s="1425"/>
      <c r="K30" s="1425"/>
      <c r="L30" s="322"/>
    </row>
    <row r="31" spans="2:12" ht="13.5" customHeight="1" x14ac:dyDescent="0.2">
      <c r="B31" s="1475" t="s">
        <v>1365</v>
      </c>
      <c r="C31" s="1475"/>
      <c r="D31" s="322"/>
      <c r="E31" s="322"/>
      <c r="F31" s="322"/>
      <c r="G31" s="1381"/>
      <c r="H31" s="322"/>
      <c r="I31" s="1381"/>
      <c r="J31" s="322"/>
      <c r="K31" s="322"/>
      <c r="L31" s="322"/>
    </row>
    <row r="32" spans="2:12" ht="37.5" customHeight="1" x14ac:dyDescent="0.2">
      <c r="B32" s="2500" t="s">
        <v>2217</v>
      </c>
      <c r="C32" s="2500"/>
      <c r="D32" s="2501"/>
      <c r="E32" s="2501"/>
      <c r="F32" s="2501"/>
      <c r="G32" s="2501"/>
      <c r="H32" s="2501"/>
      <c r="I32" s="2501"/>
      <c r="J32" s="2501"/>
      <c r="K32" s="2501"/>
      <c r="L32" s="322"/>
    </row>
    <row r="33" spans="2:12" ht="4.5" customHeight="1" x14ac:dyDescent="0.2">
      <c r="B33" s="1477"/>
      <c r="C33" s="1477"/>
      <c r="D33" s="1425"/>
      <c r="E33" s="1425"/>
      <c r="F33" s="1425"/>
      <c r="G33" s="1426"/>
      <c r="H33" s="1425"/>
      <c r="I33" s="1426"/>
      <c r="J33" s="1425"/>
      <c r="K33" s="1425"/>
      <c r="L33" s="322"/>
    </row>
    <row r="34" spans="2:12" ht="13.5" customHeight="1" x14ac:dyDescent="0.2">
      <c r="B34" s="1382" t="s">
        <v>1364</v>
      </c>
      <c r="C34" s="1382"/>
      <c r="D34" s="322"/>
      <c r="E34" s="322"/>
      <c r="F34" s="322"/>
      <c r="G34" s="1381"/>
      <c r="H34" s="322"/>
      <c r="I34" s="1381"/>
      <c r="J34" s="322"/>
      <c r="K34" s="322"/>
      <c r="L34" s="322"/>
    </row>
    <row r="35" spans="2:12" ht="37.5" customHeight="1" x14ac:dyDescent="0.2">
      <c r="B35" s="2500" t="s">
        <v>2269</v>
      </c>
      <c r="C35" s="2500"/>
      <c r="D35" s="2501"/>
      <c r="E35" s="2501"/>
      <c r="F35" s="2501"/>
      <c r="G35" s="2501"/>
      <c r="H35" s="2501"/>
      <c r="I35" s="2501"/>
      <c r="J35" s="2501"/>
      <c r="K35" s="2501"/>
      <c r="L35" s="322"/>
    </row>
    <row r="36" spans="2:12" ht="4.5" customHeight="1" x14ac:dyDescent="0.2">
      <c r="B36" s="1477"/>
      <c r="C36" s="1477"/>
      <c r="D36" s="1425"/>
      <c r="E36" s="1425"/>
      <c r="F36" s="1425"/>
      <c r="G36" s="1426"/>
      <c r="H36" s="1425"/>
      <c r="I36" s="1426"/>
      <c r="J36" s="1425"/>
      <c r="K36" s="1425"/>
      <c r="L36" s="322"/>
    </row>
    <row r="37" spans="2:12" ht="13.5" customHeight="1" x14ac:dyDescent="0.2">
      <c r="B37" s="1382" t="s">
        <v>1363</v>
      </c>
      <c r="C37" s="1382"/>
      <c r="D37" s="322"/>
      <c r="E37" s="322"/>
      <c r="F37" s="322"/>
      <c r="G37" s="1381"/>
      <c r="H37" s="322"/>
      <c r="I37" s="1381"/>
      <c r="J37" s="322"/>
      <c r="K37" s="322"/>
      <c r="L37" s="322"/>
    </row>
    <row r="38" spans="2:12" ht="35.25" customHeight="1" x14ac:dyDescent="0.2">
      <c r="B38" s="2500" t="s">
        <v>2276</v>
      </c>
      <c r="C38" s="2500"/>
      <c r="D38" s="2501"/>
      <c r="E38" s="2501"/>
      <c r="F38" s="2501"/>
      <c r="G38" s="2501"/>
      <c r="H38" s="2501"/>
      <c r="I38" s="2501"/>
      <c r="J38" s="2501"/>
      <c r="K38" s="2501"/>
      <c r="L38" s="322"/>
    </row>
    <row r="39" spans="2:12" ht="4.5" customHeight="1" x14ac:dyDescent="0.2">
      <c r="B39" s="1400"/>
      <c r="C39" s="1400"/>
      <c r="D39" s="322"/>
      <c r="E39" s="322"/>
      <c r="F39" s="322"/>
      <c r="G39" s="1381"/>
      <c r="H39" s="322"/>
      <c r="I39" s="1381"/>
      <c r="J39" s="322"/>
      <c r="K39" s="322"/>
      <c r="L39" s="322"/>
    </row>
    <row r="40" spans="2:12" s="322" customFormat="1" ht="13.5" customHeight="1" x14ac:dyDescent="0.2">
      <c r="B40" s="1401" t="s">
        <v>1859</v>
      </c>
      <c r="C40" s="1401"/>
      <c r="D40" s="1376"/>
      <c r="E40" s="1377"/>
      <c r="F40" s="1377"/>
      <c r="G40" s="1378"/>
      <c r="H40" s="1377"/>
      <c r="I40" s="1378"/>
      <c r="J40" s="1377"/>
      <c r="K40" s="1377"/>
    </row>
    <row r="41" spans="2:12" s="322" customFormat="1" ht="33.75" customHeight="1" x14ac:dyDescent="0.2">
      <c r="B41" s="2500" t="s">
        <v>2229</v>
      </c>
      <c r="C41" s="2500"/>
      <c r="D41" s="2501"/>
      <c r="E41" s="2501"/>
      <c r="F41" s="2501"/>
      <c r="G41" s="2501"/>
      <c r="H41" s="2501"/>
      <c r="I41" s="2501"/>
      <c r="J41" s="2501"/>
      <c r="K41" s="2501"/>
    </row>
    <row r="42" spans="2:12" s="322" customFormat="1" ht="4.5" customHeight="1" x14ac:dyDescent="0.2">
      <c r="B42" s="1400"/>
      <c r="C42" s="1400"/>
      <c r="G42" s="1381"/>
      <c r="I42" s="1381"/>
    </row>
    <row r="43" spans="2:12" s="322" customFormat="1" ht="13.5" customHeight="1" x14ac:dyDescent="0.2">
      <c r="B43" s="1480" t="s">
        <v>1352</v>
      </c>
      <c r="C43" s="1481"/>
      <c r="D43" s="1402"/>
      <c r="E43" s="1402"/>
      <c r="F43" s="1402"/>
      <c r="G43" s="1403"/>
      <c r="H43" s="1402"/>
      <c r="I43" s="1403"/>
      <c r="J43" s="1402"/>
      <c r="K43" s="1404"/>
      <c r="L43" s="1482"/>
    </row>
    <row r="44" spans="2:12" s="322" customFormat="1" ht="13.5" customHeight="1" x14ac:dyDescent="0.2">
      <c r="B44" s="1405" t="s">
        <v>1351</v>
      </c>
      <c r="C44" s="1406"/>
      <c r="D44" s="1483"/>
      <c r="E44" s="1407"/>
      <c r="F44" s="1411" t="s">
        <v>1350</v>
      </c>
      <c r="G44" s="1409"/>
      <c r="H44" s="1408"/>
      <c r="I44" s="1409"/>
      <c r="J44" s="1484"/>
      <c r="K44" s="1485"/>
      <c r="L44" s="1482"/>
    </row>
    <row r="45" spans="2:12" s="322" customFormat="1" ht="13.5" customHeight="1" x14ac:dyDescent="0.2">
      <c r="B45" s="1405" t="s">
        <v>1349</v>
      </c>
      <c r="C45" s="1406"/>
      <c r="D45" s="1484"/>
      <c r="E45" s="1408"/>
      <c r="F45" s="1411" t="s">
        <v>1348</v>
      </c>
      <c r="G45" s="1409"/>
      <c r="H45" s="1408"/>
      <c r="I45" s="1409"/>
      <c r="J45" s="1484"/>
      <c r="K45" s="1485"/>
      <c r="L45" s="1482"/>
    </row>
    <row r="46" spans="2:12" s="322" customFormat="1" ht="13.5" customHeight="1" x14ac:dyDescent="0.2">
      <c r="B46" s="1412"/>
      <c r="C46" s="1410"/>
      <c r="D46" s="1410"/>
      <c r="E46" s="1410"/>
      <c r="F46" s="1410"/>
      <c r="G46" s="1413"/>
      <c r="H46" s="1410"/>
      <c r="I46" s="1413"/>
      <c r="J46" s="1410"/>
      <c r="K46" s="1414"/>
      <c r="L46" s="1482"/>
    </row>
    <row r="47" spans="2:12" ht="7.5" customHeight="1" x14ac:dyDescent="0.25">
      <c r="B47" s="1486"/>
      <c r="C47" s="1486"/>
      <c r="D47" s="1487"/>
      <c r="E47" s="1487"/>
      <c r="F47" s="1487"/>
      <c r="G47" s="1488"/>
      <c r="H47" s="1487"/>
      <c r="I47" s="1488"/>
      <c r="J47" s="1487"/>
      <c r="K47" s="1487"/>
    </row>
    <row r="48" spans="2:12" ht="13.5" customHeight="1" x14ac:dyDescent="0.2">
      <c r="B48" s="1417" t="s">
        <v>1860</v>
      </c>
      <c r="C48" s="1417"/>
      <c r="D48" s="322"/>
      <c r="E48" s="322"/>
      <c r="F48" s="322"/>
    </row>
    <row r="49" spans="2:3" s="317" customFormat="1" ht="10.5" customHeight="1" x14ac:dyDescent="0.2">
      <c r="B49" s="1418" t="s">
        <v>1861</v>
      </c>
      <c r="C49" s="1418"/>
    </row>
    <row r="50" spans="2:3" s="317" customFormat="1" ht="11.1" customHeight="1" x14ac:dyDescent="0.2">
      <c r="B50" s="1418" t="s">
        <v>1862</v>
      </c>
      <c r="C50" s="1418"/>
    </row>
    <row r="51" spans="2:3" s="317" customFormat="1" ht="11.1" customHeight="1" x14ac:dyDescent="0.2">
      <c r="B51" s="1418" t="s">
        <v>1863</v>
      </c>
      <c r="C51" s="1418"/>
    </row>
    <row r="52" spans="2:3" s="317" customFormat="1" ht="11.1" customHeight="1" x14ac:dyDescent="0.2">
      <c r="B52" s="1418" t="s">
        <v>1864</v>
      </c>
      <c r="C52" s="1418"/>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scale="99" firstPageNumber="42" orientation="portrait" useFirstPageNumber="1" r:id="rId1"/>
  <headerFooter>
    <oddHeader>&amp;L&amp;8Page 44&amp;R&amp;8Page 44</oddHeader>
    <oddFooter>&amp;LSee Notes to Financial Statements</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showGridLines="0" zoomScale="110" zoomScaleNormal="110" workbookViewId="0">
      <selection activeCell="K36" sqref="K36"/>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5" t="str">
        <f>'Single Audit Cover'!A7</f>
        <v>Jersey CUSD 100</v>
      </c>
      <c r="C1" s="2505"/>
      <c r="D1" s="2505"/>
      <c r="E1" s="2505"/>
      <c r="F1" s="2505"/>
      <c r="G1" s="2505"/>
      <c r="H1" s="2505"/>
      <c r="I1" s="2505"/>
      <c r="J1" s="2505"/>
      <c r="K1" s="2505"/>
      <c r="L1" s="1463"/>
    </row>
    <row r="2" spans="1:12" ht="12.75" customHeight="1" x14ac:dyDescent="0.2">
      <c r="B2" s="2506">
        <f>'Single Audit Cover'!E7</f>
        <v>40042100026</v>
      </c>
      <c r="C2" s="2506"/>
      <c r="D2" s="2506"/>
      <c r="E2" s="2506"/>
      <c r="F2" s="2506"/>
      <c r="G2" s="2506"/>
      <c r="H2" s="2506"/>
      <c r="I2" s="2506"/>
      <c r="J2" s="2506"/>
      <c r="K2" s="2506"/>
      <c r="L2" s="1464"/>
    </row>
    <row r="3" spans="1:12" ht="12.75" customHeight="1" x14ac:dyDescent="0.2">
      <c r="B3" s="2502" t="s">
        <v>1346</v>
      </c>
      <c r="C3" s="2502"/>
      <c r="D3" s="2502"/>
      <c r="E3" s="2502"/>
      <c r="F3" s="2502"/>
      <c r="G3" s="2502"/>
      <c r="H3" s="2502"/>
      <c r="I3" s="2502"/>
      <c r="J3" s="2502"/>
      <c r="K3" s="2502"/>
      <c r="L3" s="1947"/>
    </row>
    <row r="4" spans="1:12" ht="12.75" customHeight="1" x14ac:dyDescent="0.2">
      <c r="B4" s="2502" t="str">
        <f>'Single Audit Cover'!A4</f>
        <v>Year Ending June 30, 2018</v>
      </c>
      <c r="C4" s="2502"/>
      <c r="D4" s="2502"/>
      <c r="E4" s="2502"/>
      <c r="F4" s="2502"/>
      <c r="G4" s="2502"/>
      <c r="H4" s="2502"/>
      <c r="I4" s="2502"/>
      <c r="J4" s="2502"/>
      <c r="K4" s="2502"/>
      <c r="L4" s="1947"/>
    </row>
    <row r="5" spans="1:12" ht="5.25" customHeight="1" x14ac:dyDescent="0.2">
      <c r="B5" s="1259" t="s">
        <v>1230</v>
      </c>
      <c r="C5" s="1259"/>
      <c r="L5" s="322"/>
    </row>
    <row r="6" spans="1:12" ht="30.75" customHeight="1" x14ac:dyDescent="0.2">
      <c r="A6" s="322"/>
      <c r="B6" s="2507" t="s">
        <v>1374</v>
      </c>
      <c r="C6" s="2507"/>
      <c r="D6" s="2507"/>
      <c r="E6" s="2507"/>
      <c r="F6" s="2507"/>
      <c r="G6" s="2507"/>
      <c r="H6" s="2507"/>
      <c r="I6" s="2507"/>
      <c r="J6" s="2507"/>
      <c r="K6" s="2507"/>
      <c r="L6" s="322"/>
    </row>
    <row r="7" spans="1:12" ht="4.5" customHeight="1" x14ac:dyDescent="0.2">
      <c r="B7" s="1377"/>
      <c r="C7" s="1377"/>
      <c r="D7" s="1377"/>
      <c r="E7" s="1377"/>
      <c r="F7" s="1377"/>
      <c r="G7" s="1378"/>
      <c r="H7" s="1377"/>
      <c r="I7" s="1378"/>
      <c r="J7" s="1377"/>
      <c r="K7" s="1377"/>
      <c r="L7" s="322"/>
    </row>
    <row r="8" spans="1:12" ht="13.5" customHeight="1" x14ac:dyDescent="0.2">
      <c r="B8" s="1385" t="s">
        <v>1855</v>
      </c>
      <c r="C8" s="1465" t="s">
        <v>1949</v>
      </c>
      <c r="D8" s="1466">
        <v>18</v>
      </c>
      <c r="E8" s="322"/>
      <c r="F8" s="1382" t="s">
        <v>1361</v>
      </c>
      <c r="G8" s="1467" t="s">
        <v>2076</v>
      </c>
      <c r="H8" s="1468" t="s">
        <v>1373</v>
      </c>
      <c r="I8" s="1467"/>
      <c r="J8" s="1469" t="s">
        <v>1372</v>
      </c>
      <c r="L8" s="322"/>
    </row>
    <row r="9" spans="1:12" ht="13.5" customHeight="1" x14ac:dyDescent="0.2">
      <c r="D9" s="322"/>
      <c r="E9" s="322"/>
      <c r="F9" s="322"/>
      <c r="G9" s="1381"/>
      <c r="H9" s="322"/>
      <c r="I9" s="1470" t="s">
        <v>1358</v>
      </c>
      <c r="J9" s="322"/>
      <c r="K9" s="1471"/>
      <c r="L9" s="322"/>
    </row>
    <row r="10" spans="1:12" ht="4.5" customHeight="1" x14ac:dyDescent="0.2">
      <c r="B10" s="1472"/>
      <c r="C10" s="1472"/>
      <c r="D10" s="1425"/>
      <c r="E10" s="1425"/>
      <c r="F10" s="1425"/>
      <c r="G10" s="1426"/>
      <c r="H10" s="1425"/>
      <c r="I10" s="1426"/>
      <c r="J10" s="1425"/>
      <c r="K10" s="1425"/>
      <c r="L10" s="322"/>
    </row>
    <row r="11" spans="1:12" ht="5.25" customHeight="1" x14ac:dyDescent="0.2">
      <c r="B11" s="322"/>
      <c r="C11" s="322"/>
      <c r="D11" s="304"/>
      <c r="E11" s="322"/>
      <c r="F11" s="322"/>
      <c r="G11" s="1381"/>
      <c r="H11" s="322"/>
      <c r="I11" s="1381"/>
      <c r="J11" s="322"/>
      <c r="K11" s="1430"/>
      <c r="L11" s="322"/>
    </row>
    <row r="12" spans="1:12" ht="13.5" customHeight="1" x14ac:dyDescent="0.2">
      <c r="B12" s="1382" t="s">
        <v>1371</v>
      </c>
      <c r="C12" s="1382"/>
      <c r="D12" s="304"/>
      <c r="E12" s="322"/>
      <c r="F12" s="2493" t="s">
        <v>781</v>
      </c>
      <c r="G12" s="2493"/>
      <c r="H12" s="2493"/>
      <c r="I12" s="2493"/>
      <c r="J12" s="2493"/>
      <c r="K12" s="2493"/>
      <c r="L12" s="322"/>
    </row>
    <row r="13" spans="1:12" ht="9.6" customHeight="1" x14ac:dyDescent="0.2">
      <c r="B13" s="1256"/>
      <c r="C13" s="1256"/>
      <c r="D13" s="304"/>
      <c r="E13" s="322"/>
      <c r="F13" s="322"/>
      <c r="G13" s="1381"/>
      <c r="H13" s="322"/>
      <c r="I13" s="1381"/>
      <c r="J13" s="322"/>
      <c r="K13" s="1430"/>
      <c r="L13" s="322"/>
    </row>
    <row r="14" spans="1:12" ht="13.5" customHeight="1" x14ac:dyDescent="0.2">
      <c r="B14" s="1385" t="s">
        <v>1370</v>
      </c>
      <c r="C14" s="1385"/>
      <c r="D14" s="2508" t="s">
        <v>2121</v>
      </c>
      <c r="E14" s="2508"/>
      <c r="F14" s="2508"/>
      <c r="H14" s="1473" t="s">
        <v>1369</v>
      </c>
      <c r="I14" s="2510">
        <v>84.367000000000004</v>
      </c>
      <c r="J14" s="2510"/>
      <c r="K14" s="2510"/>
      <c r="L14" s="322"/>
    </row>
    <row r="15" spans="1:12" ht="9.4" customHeight="1" x14ac:dyDescent="0.2">
      <c r="B15" s="1385"/>
      <c r="C15" s="1385"/>
      <c r="D15" s="1371"/>
      <c r="E15" s="1259"/>
      <c r="F15" s="1259"/>
      <c r="G15" s="1285"/>
      <c r="H15" s="1259"/>
      <c r="I15" s="1474"/>
      <c r="J15" s="1292"/>
      <c r="K15" s="1289"/>
      <c r="L15" s="322"/>
    </row>
    <row r="16" spans="1:12" ht="13.5" customHeight="1" x14ac:dyDescent="0.2">
      <c r="B16" s="1385" t="s">
        <v>1368</v>
      </c>
      <c r="C16" s="1385"/>
      <c r="D16" s="2510" t="s">
        <v>424</v>
      </c>
      <c r="E16" s="2510"/>
      <c r="F16" s="2510"/>
      <c r="G16" s="2510"/>
      <c r="H16" s="2510"/>
      <c r="I16" s="2510"/>
      <c r="J16" s="2510"/>
      <c r="K16" s="2510"/>
      <c r="L16" s="322"/>
    </row>
    <row r="17" spans="2:12" ht="13.5" customHeight="1" x14ac:dyDescent="0.2">
      <c r="B17" s="1385" t="s">
        <v>1367</v>
      </c>
      <c r="C17" s="1385"/>
      <c r="D17" s="2511" t="s">
        <v>2220</v>
      </c>
      <c r="E17" s="2511"/>
      <c r="F17" s="2511"/>
      <c r="G17" s="2511"/>
      <c r="H17" s="2511"/>
      <c r="I17" s="2511"/>
      <c r="J17" s="2511"/>
      <c r="K17" s="2511"/>
      <c r="L17" s="322"/>
    </row>
    <row r="18" spans="2:12" ht="9.4" customHeight="1" x14ac:dyDescent="0.2">
      <c r="B18" s="1425"/>
      <c r="C18" s="1425"/>
      <c r="D18" s="1425"/>
      <c r="E18" s="1425"/>
      <c r="F18" s="1425"/>
      <c r="G18" s="1426"/>
      <c r="H18" s="1425"/>
      <c r="I18" s="1426"/>
      <c r="J18" s="1425"/>
      <c r="K18" s="1425"/>
      <c r="L18" s="322"/>
    </row>
    <row r="19" spans="2:12" ht="13.5" customHeight="1" x14ac:dyDescent="0.2">
      <c r="B19" s="1475" t="s">
        <v>1366</v>
      </c>
      <c r="C19" s="1475"/>
      <c r="D19" s="328"/>
      <c r="E19" s="328"/>
      <c r="F19" s="328"/>
      <c r="G19" s="1476"/>
      <c r="H19" s="328"/>
      <c r="I19" s="1476"/>
      <c r="J19" s="322"/>
      <c r="K19" s="322"/>
      <c r="L19" s="322"/>
    </row>
    <row r="20" spans="2:12" ht="35.25" customHeight="1" x14ac:dyDescent="0.2">
      <c r="B20" s="2500" t="s">
        <v>2214</v>
      </c>
      <c r="C20" s="2500"/>
      <c r="D20" s="2501"/>
      <c r="E20" s="2501"/>
      <c r="F20" s="2501"/>
      <c r="G20" s="2501"/>
      <c r="H20" s="2501"/>
      <c r="I20" s="2501"/>
      <c r="J20" s="2501"/>
      <c r="K20" s="2501"/>
      <c r="L20" s="1430"/>
    </row>
    <row r="21" spans="2:12" ht="4.5" customHeight="1" x14ac:dyDescent="0.2">
      <c r="B21" s="1477"/>
      <c r="C21" s="1477"/>
      <c r="D21" s="1478"/>
      <c r="E21" s="1478"/>
      <c r="F21" s="1478"/>
      <c r="G21" s="1426"/>
      <c r="H21" s="1478"/>
      <c r="I21" s="1426"/>
      <c r="J21" s="1478"/>
      <c r="K21" s="1478"/>
      <c r="L21" s="1430"/>
    </row>
    <row r="22" spans="2:12" ht="13.35" customHeight="1" x14ac:dyDescent="0.2">
      <c r="B22" s="1475" t="s">
        <v>1856</v>
      </c>
      <c r="C22" s="1475"/>
      <c r="D22" s="322"/>
      <c r="E22" s="322"/>
      <c r="F22" s="322"/>
      <c r="G22" s="1381"/>
      <c r="H22" s="322"/>
      <c r="I22" s="1381"/>
      <c r="J22" s="322"/>
      <c r="K22" s="322"/>
      <c r="L22" s="322"/>
    </row>
    <row r="23" spans="2:12" ht="37.5" customHeight="1" x14ac:dyDescent="0.2">
      <c r="B23" s="2500" t="s">
        <v>2272</v>
      </c>
      <c r="C23" s="2500"/>
      <c r="D23" s="2501"/>
      <c r="E23" s="2501"/>
      <c r="F23" s="2501"/>
      <c r="G23" s="2501"/>
      <c r="H23" s="2501"/>
      <c r="I23" s="2501"/>
      <c r="J23" s="2501"/>
      <c r="K23" s="2501"/>
      <c r="L23" s="322"/>
    </row>
    <row r="24" spans="2:12" ht="4.5" customHeight="1" x14ac:dyDescent="0.2">
      <c r="B24" s="1477"/>
      <c r="C24" s="1477"/>
      <c r="D24" s="1425"/>
      <c r="E24" s="1425"/>
      <c r="F24" s="1425"/>
      <c r="G24" s="1426"/>
      <c r="H24" s="1425"/>
      <c r="I24" s="1426"/>
      <c r="J24" s="1425"/>
      <c r="K24" s="1425"/>
      <c r="L24" s="322"/>
    </row>
    <row r="25" spans="2:12" ht="13.5" customHeight="1" x14ac:dyDescent="0.2">
      <c r="B25" s="1475" t="s">
        <v>1857</v>
      </c>
      <c r="C25" s="1475"/>
      <c r="D25" s="322"/>
      <c r="E25" s="322"/>
      <c r="F25" s="322"/>
      <c r="G25" s="1381"/>
      <c r="H25" s="322"/>
      <c r="I25" s="1381"/>
      <c r="J25" s="322"/>
      <c r="K25" s="322"/>
      <c r="L25" s="322"/>
    </row>
    <row r="26" spans="2:12" ht="37.5" customHeight="1" x14ac:dyDescent="0.2">
      <c r="B26" s="2500" t="s">
        <v>2216</v>
      </c>
      <c r="C26" s="2500"/>
      <c r="D26" s="2501"/>
      <c r="E26" s="2501"/>
      <c r="F26" s="2501"/>
      <c r="G26" s="2501"/>
      <c r="H26" s="2501"/>
      <c r="I26" s="2501"/>
      <c r="J26" s="2501"/>
      <c r="K26" s="2501"/>
      <c r="L26" s="322"/>
    </row>
    <row r="27" spans="2:12" ht="4.5" customHeight="1" x14ac:dyDescent="0.2">
      <c r="B27" s="1479"/>
      <c r="C27" s="1479"/>
      <c r="D27" s="1479"/>
      <c r="E27" s="1425"/>
      <c r="F27" s="1425"/>
      <c r="G27" s="1426"/>
      <c r="H27" s="1425"/>
      <c r="I27" s="1426"/>
      <c r="J27" s="1425"/>
      <c r="K27" s="1425"/>
      <c r="L27" s="322"/>
    </row>
    <row r="28" spans="2:12" ht="13.5" customHeight="1" x14ac:dyDescent="0.2">
      <c r="B28" s="1475" t="s">
        <v>1858</v>
      </c>
      <c r="C28" s="1475"/>
      <c r="D28" s="322"/>
      <c r="E28" s="322"/>
      <c r="F28" s="322"/>
      <c r="G28" s="1381"/>
      <c r="H28" s="322"/>
      <c r="I28" s="1381"/>
      <c r="J28" s="322"/>
      <c r="K28" s="322"/>
      <c r="L28" s="322"/>
    </row>
    <row r="29" spans="2:12" ht="37.5" customHeight="1" x14ac:dyDescent="0.2">
      <c r="B29" s="2500" t="s">
        <v>2270</v>
      </c>
      <c r="C29" s="2500"/>
      <c r="D29" s="2501"/>
      <c r="E29" s="2501"/>
      <c r="F29" s="2501"/>
      <c r="G29" s="2501"/>
      <c r="H29" s="2501"/>
      <c r="I29" s="2501"/>
      <c r="J29" s="2501"/>
      <c r="K29" s="2501"/>
      <c r="L29" s="322"/>
    </row>
    <row r="30" spans="2:12" ht="4.5" customHeight="1" x14ac:dyDescent="0.2">
      <c r="B30" s="1477"/>
      <c r="C30" s="1477"/>
      <c r="D30" s="1425"/>
      <c r="E30" s="1425"/>
      <c r="F30" s="1425"/>
      <c r="G30" s="1426"/>
      <c r="H30" s="1425"/>
      <c r="I30" s="1426"/>
      <c r="J30" s="1425"/>
      <c r="K30" s="1425"/>
      <c r="L30" s="322"/>
    </row>
    <row r="31" spans="2:12" ht="13.5" customHeight="1" x14ac:dyDescent="0.2">
      <c r="B31" s="1475" t="s">
        <v>1365</v>
      </c>
      <c r="C31" s="1475"/>
      <c r="D31" s="322"/>
      <c r="E31" s="322"/>
      <c r="F31" s="322"/>
      <c r="G31" s="1381"/>
      <c r="H31" s="322"/>
      <c r="I31" s="1381"/>
      <c r="J31" s="322"/>
      <c r="K31" s="322"/>
      <c r="L31" s="322"/>
    </row>
    <row r="32" spans="2:12" ht="37.5" customHeight="1" x14ac:dyDescent="0.2">
      <c r="B32" s="2500" t="s">
        <v>2277</v>
      </c>
      <c r="C32" s="2500"/>
      <c r="D32" s="2501"/>
      <c r="E32" s="2501"/>
      <c r="F32" s="2501"/>
      <c r="G32" s="2501"/>
      <c r="H32" s="2501"/>
      <c r="I32" s="2501"/>
      <c r="J32" s="2501"/>
      <c r="K32" s="2501"/>
      <c r="L32" s="322"/>
    </row>
    <row r="33" spans="2:12" ht="4.5" customHeight="1" x14ac:dyDescent="0.2">
      <c r="B33" s="1477"/>
      <c r="C33" s="1477"/>
      <c r="D33" s="1425"/>
      <c r="E33" s="1425"/>
      <c r="F33" s="1425"/>
      <c r="G33" s="1426"/>
      <c r="H33" s="1425"/>
      <c r="I33" s="1426"/>
      <c r="J33" s="1425"/>
      <c r="K33" s="1425"/>
      <c r="L33" s="322"/>
    </row>
    <row r="34" spans="2:12" ht="13.5" customHeight="1" x14ac:dyDescent="0.2">
      <c r="B34" s="1382" t="s">
        <v>1364</v>
      </c>
      <c r="C34" s="1382"/>
      <c r="D34" s="322"/>
      <c r="E34" s="322"/>
      <c r="F34" s="322"/>
      <c r="G34" s="1381"/>
      <c r="H34" s="322"/>
      <c r="I34" s="1381"/>
      <c r="J34" s="322"/>
      <c r="K34" s="322"/>
      <c r="L34" s="322"/>
    </row>
    <row r="35" spans="2:12" ht="37.5" customHeight="1" x14ac:dyDescent="0.2">
      <c r="B35" s="2500" t="s">
        <v>2278</v>
      </c>
      <c r="C35" s="2500"/>
      <c r="D35" s="2501"/>
      <c r="E35" s="2501"/>
      <c r="F35" s="2501"/>
      <c r="G35" s="2501"/>
      <c r="H35" s="2501"/>
      <c r="I35" s="2501"/>
      <c r="J35" s="2501"/>
      <c r="K35" s="2501"/>
      <c r="L35" s="322"/>
    </row>
    <row r="36" spans="2:12" ht="4.5" customHeight="1" x14ac:dyDescent="0.2">
      <c r="B36" s="1477"/>
      <c r="C36" s="1477"/>
      <c r="D36" s="1425"/>
      <c r="E36" s="1425"/>
      <c r="F36" s="1425"/>
      <c r="G36" s="1426"/>
      <c r="H36" s="1425"/>
      <c r="I36" s="1426"/>
      <c r="J36" s="1425"/>
      <c r="K36" s="1425"/>
      <c r="L36" s="322"/>
    </row>
    <row r="37" spans="2:12" ht="13.5" customHeight="1" x14ac:dyDescent="0.2">
      <c r="B37" s="1382" t="s">
        <v>1363</v>
      </c>
      <c r="C37" s="1382"/>
      <c r="D37" s="322"/>
      <c r="E37" s="322"/>
      <c r="F37" s="322"/>
      <c r="G37" s="1381"/>
      <c r="H37" s="322"/>
      <c r="I37" s="1381"/>
      <c r="J37" s="322"/>
      <c r="K37" s="322"/>
      <c r="L37" s="322"/>
    </row>
    <row r="38" spans="2:12" ht="35.25" customHeight="1" x14ac:dyDescent="0.2">
      <c r="B38" s="2500" t="s">
        <v>2273</v>
      </c>
      <c r="C38" s="2500"/>
      <c r="D38" s="2501"/>
      <c r="E38" s="2501"/>
      <c r="F38" s="2501"/>
      <c r="G38" s="2501"/>
      <c r="H38" s="2501"/>
      <c r="I38" s="2501"/>
      <c r="J38" s="2501"/>
      <c r="K38" s="2501"/>
      <c r="L38" s="322"/>
    </row>
    <row r="39" spans="2:12" ht="4.5" customHeight="1" x14ac:dyDescent="0.2">
      <c r="B39" s="1400"/>
      <c r="C39" s="1400"/>
      <c r="D39" s="322"/>
      <c r="E39" s="322"/>
      <c r="F39" s="322"/>
      <c r="G39" s="1381"/>
      <c r="H39" s="322"/>
      <c r="I39" s="1381"/>
      <c r="J39" s="322"/>
      <c r="K39" s="322"/>
      <c r="L39" s="322"/>
    </row>
    <row r="40" spans="2:12" s="322" customFormat="1" ht="13.5" customHeight="1" x14ac:dyDescent="0.2">
      <c r="B40" s="1401" t="s">
        <v>1859</v>
      </c>
      <c r="C40" s="1401"/>
      <c r="D40" s="1376"/>
      <c r="E40" s="1377"/>
      <c r="F40" s="1377"/>
      <c r="G40" s="1378"/>
      <c r="H40" s="1377"/>
      <c r="I40" s="1378"/>
      <c r="J40" s="1377"/>
      <c r="K40" s="1377"/>
    </row>
    <row r="41" spans="2:12" s="322" customFormat="1" ht="33.75" customHeight="1" x14ac:dyDescent="0.2">
      <c r="B41" s="2500" t="s">
        <v>2275</v>
      </c>
      <c r="C41" s="2500"/>
      <c r="D41" s="2501"/>
      <c r="E41" s="2501"/>
      <c r="F41" s="2501"/>
      <c r="G41" s="2501"/>
      <c r="H41" s="2501"/>
      <c r="I41" s="2501"/>
      <c r="J41" s="2501"/>
      <c r="K41" s="2501"/>
    </row>
    <row r="42" spans="2:12" s="322" customFormat="1" ht="4.5" customHeight="1" x14ac:dyDescent="0.2">
      <c r="B42" s="1400"/>
      <c r="C42" s="1400"/>
      <c r="G42" s="1381"/>
      <c r="I42" s="1381"/>
    </row>
    <row r="43" spans="2:12" s="322" customFormat="1" ht="13.5" customHeight="1" x14ac:dyDescent="0.2">
      <c r="B43" s="1480" t="s">
        <v>1352</v>
      </c>
      <c r="C43" s="1481"/>
      <c r="D43" s="1402"/>
      <c r="E43" s="1402"/>
      <c r="F43" s="1402"/>
      <c r="G43" s="1403"/>
      <c r="H43" s="1402"/>
      <c r="I43" s="1403"/>
      <c r="J43" s="1402"/>
      <c r="K43" s="1404"/>
      <c r="L43" s="1482"/>
    </row>
    <row r="44" spans="2:12" s="322" customFormat="1" ht="13.5" customHeight="1" x14ac:dyDescent="0.2">
      <c r="B44" s="1405" t="s">
        <v>1351</v>
      </c>
      <c r="C44" s="1406"/>
      <c r="D44" s="1483"/>
      <c r="E44" s="1407"/>
      <c r="F44" s="1411" t="s">
        <v>1350</v>
      </c>
      <c r="G44" s="1409"/>
      <c r="H44" s="1408"/>
      <c r="I44" s="1409"/>
      <c r="J44" s="1484"/>
      <c r="K44" s="1485"/>
      <c r="L44" s="1482"/>
    </row>
    <row r="45" spans="2:12" s="322" customFormat="1" ht="13.5" customHeight="1" x14ac:dyDescent="0.2">
      <c r="B45" s="1405" t="s">
        <v>1349</v>
      </c>
      <c r="C45" s="1406"/>
      <c r="D45" s="1484"/>
      <c r="E45" s="1408"/>
      <c r="F45" s="1411" t="s">
        <v>1348</v>
      </c>
      <c r="G45" s="1409"/>
      <c r="H45" s="1408"/>
      <c r="I45" s="1409"/>
      <c r="J45" s="1484"/>
      <c r="K45" s="1485"/>
      <c r="L45" s="1482"/>
    </row>
    <row r="46" spans="2:12" s="322" customFormat="1" ht="13.5" customHeight="1" x14ac:dyDescent="0.2">
      <c r="B46" s="1412"/>
      <c r="C46" s="1410"/>
      <c r="D46" s="1410"/>
      <c r="E46" s="1410"/>
      <c r="F46" s="1410"/>
      <c r="G46" s="1413"/>
      <c r="H46" s="1410"/>
      <c r="I46" s="1413"/>
      <c r="J46" s="1410"/>
      <c r="K46" s="1414"/>
      <c r="L46" s="1482"/>
    </row>
    <row r="47" spans="2:12" ht="7.5" customHeight="1" x14ac:dyDescent="0.25">
      <c r="B47" s="1486"/>
      <c r="C47" s="1486"/>
      <c r="D47" s="1487"/>
      <c r="E47" s="1487"/>
      <c r="F47" s="1487"/>
      <c r="G47" s="1488"/>
      <c r="H47" s="1487"/>
      <c r="I47" s="1488"/>
      <c r="J47" s="1487"/>
      <c r="K47" s="1487"/>
    </row>
    <row r="48" spans="2:12" ht="13.5" customHeight="1" x14ac:dyDescent="0.2">
      <c r="B48" s="1417" t="s">
        <v>1860</v>
      </c>
      <c r="C48" s="1417"/>
      <c r="D48" s="322"/>
      <c r="E48" s="322"/>
      <c r="F48" s="322"/>
    </row>
    <row r="49" spans="2:3" s="317" customFormat="1" ht="10.5" customHeight="1" x14ac:dyDescent="0.2">
      <c r="B49" s="1418" t="s">
        <v>1861</v>
      </c>
      <c r="C49" s="1418"/>
    </row>
    <row r="50" spans="2:3" s="317" customFormat="1" ht="11.1" customHeight="1" x14ac:dyDescent="0.2">
      <c r="B50" s="1418" t="s">
        <v>1862</v>
      </c>
      <c r="C50" s="1418"/>
    </row>
    <row r="51" spans="2:3" s="317" customFormat="1" ht="11.1" customHeight="1" x14ac:dyDescent="0.2">
      <c r="B51" s="1418" t="s">
        <v>1863</v>
      </c>
      <c r="C51" s="1418"/>
    </row>
    <row r="52" spans="2:3" s="317" customFormat="1" ht="11.1" customHeight="1" x14ac:dyDescent="0.2">
      <c r="B52" s="1418" t="s">
        <v>1864</v>
      </c>
      <c r="C52" s="1418"/>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scale="99" firstPageNumber="42" orientation="portrait" useFirstPageNumber="1" r:id="rId1"/>
  <headerFooter>
    <oddHeader>&amp;L&amp;8Page 44&amp;R&amp;8Page 44</oddHeader>
    <oddFooter>&amp;LSee Notes to Financial Statements</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showGridLines="0" topLeftCell="A16" zoomScale="110" zoomScaleNormal="110" workbookViewId="0">
      <selection activeCell="K36" sqref="K36"/>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5" t="str">
        <f>'Single Audit Cover'!A7</f>
        <v>Jersey CUSD 100</v>
      </c>
      <c r="C1" s="2505"/>
      <c r="D1" s="2505"/>
      <c r="E1" s="2505"/>
      <c r="F1" s="2505"/>
      <c r="G1" s="2505"/>
      <c r="H1" s="2505"/>
      <c r="I1" s="2505"/>
      <c r="J1" s="2505"/>
      <c r="K1" s="2505"/>
      <c r="L1" s="1463"/>
    </row>
    <row r="2" spans="1:12" ht="12.75" customHeight="1" x14ac:dyDescent="0.2">
      <c r="B2" s="2506">
        <f>'Single Audit Cover'!E7</f>
        <v>40042100026</v>
      </c>
      <c r="C2" s="2506"/>
      <c r="D2" s="2506"/>
      <c r="E2" s="2506"/>
      <c r="F2" s="2506"/>
      <c r="G2" s="2506"/>
      <c r="H2" s="2506"/>
      <c r="I2" s="2506"/>
      <c r="J2" s="2506"/>
      <c r="K2" s="2506"/>
      <c r="L2" s="1464"/>
    </row>
    <row r="3" spans="1:12" ht="12.75" customHeight="1" x14ac:dyDescent="0.2">
      <c r="B3" s="2502" t="s">
        <v>1346</v>
      </c>
      <c r="C3" s="2502"/>
      <c r="D3" s="2502"/>
      <c r="E3" s="2502"/>
      <c r="F3" s="2502"/>
      <c r="G3" s="2502"/>
      <c r="H3" s="2502"/>
      <c r="I3" s="2502"/>
      <c r="J3" s="2502"/>
      <c r="K3" s="2502"/>
      <c r="L3" s="1960"/>
    </row>
    <row r="4" spans="1:12" ht="12.75" customHeight="1" x14ac:dyDescent="0.2">
      <c r="B4" s="2502" t="str">
        <f>'Single Audit Cover'!A4</f>
        <v>Year Ending June 30, 2018</v>
      </c>
      <c r="C4" s="2502"/>
      <c r="D4" s="2502"/>
      <c r="E4" s="2502"/>
      <c r="F4" s="2502"/>
      <c r="G4" s="2502"/>
      <c r="H4" s="2502"/>
      <c r="I4" s="2502"/>
      <c r="J4" s="2502"/>
      <c r="K4" s="2502"/>
      <c r="L4" s="1960"/>
    </row>
    <row r="5" spans="1:12" ht="5.25" customHeight="1" x14ac:dyDescent="0.2">
      <c r="B5" s="1259" t="s">
        <v>1230</v>
      </c>
      <c r="C5" s="1259"/>
      <c r="L5" s="322"/>
    </row>
    <row r="6" spans="1:12" ht="30.75" customHeight="1" x14ac:dyDescent="0.2">
      <c r="A6" s="322"/>
      <c r="B6" s="2507" t="s">
        <v>1374</v>
      </c>
      <c r="C6" s="2507"/>
      <c r="D6" s="2507"/>
      <c r="E6" s="2507"/>
      <c r="F6" s="2507"/>
      <c r="G6" s="2507"/>
      <c r="H6" s="2507"/>
      <c r="I6" s="2507"/>
      <c r="J6" s="2507"/>
      <c r="K6" s="2507"/>
      <c r="L6" s="322"/>
    </row>
    <row r="7" spans="1:12" ht="4.5" customHeight="1" x14ac:dyDescent="0.2">
      <c r="B7" s="1377"/>
      <c r="C7" s="1377"/>
      <c r="D7" s="1377"/>
      <c r="E7" s="1377"/>
      <c r="F7" s="1377"/>
      <c r="G7" s="1378"/>
      <c r="H7" s="1377"/>
      <c r="I7" s="1378"/>
      <c r="J7" s="1377"/>
      <c r="K7" s="1377"/>
      <c r="L7" s="322"/>
    </row>
    <row r="8" spans="1:12" ht="13.5" customHeight="1" x14ac:dyDescent="0.2">
      <c r="B8" s="1385" t="s">
        <v>1855</v>
      </c>
      <c r="C8" s="1465" t="s">
        <v>1949</v>
      </c>
      <c r="D8" s="1466">
        <v>19</v>
      </c>
      <c r="E8" s="322"/>
      <c r="F8" s="1382" t="s">
        <v>1361</v>
      </c>
      <c r="G8" s="1467" t="s">
        <v>2076</v>
      </c>
      <c r="H8" s="1468" t="s">
        <v>1373</v>
      </c>
      <c r="I8" s="1467"/>
      <c r="J8" s="1469" t="s">
        <v>1372</v>
      </c>
      <c r="L8" s="322"/>
    </row>
    <row r="9" spans="1:12" ht="13.5" customHeight="1" x14ac:dyDescent="0.2">
      <c r="D9" s="322"/>
      <c r="E9" s="322"/>
      <c r="F9" s="322"/>
      <c r="G9" s="1381"/>
      <c r="H9" s="322"/>
      <c r="I9" s="1470" t="s">
        <v>1358</v>
      </c>
      <c r="J9" s="322"/>
      <c r="K9" s="1471"/>
      <c r="L9" s="322"/>
    </row>
    <row r="10" spans="1:12" ht="4.5" customHeight="1" x14ac:dyDescent="0.2">
      <c r="B10" s="1472"/>
      <c r="C10" s="1472"/>
      <c r="D10" s="1425"/>
      <c r="E10" s="1425"/>
      <c r="F10" s="1425"/>
      <c r="G10" s="1426"/>
      <c r="H10" s="1425"/>
      <c r="I10" s="1426"/>
      <c r="J10" s="1425"/>
      <c r="K10" s="1425"/>
      <c r="L10" s="322"/>
    </row>
    <row r="11" spans="1:12" ht="5.25" customHeight="1" x14ac:dyDescent="0.2">
      <c r="B11" s="322"/>
      <c r="C11" s="322"/>
      <c r="D11" s="304"/>
      <c r="E11" s="322"/>
      <c r="F11" s="322"/>
      <c r="G11" s="1381"/>
      <c r="H11" s="322"/>
      <c r="I11" s="1381"/>
      <c r="J11" s="322"/>
      <c r="K11" s="1430"/>
      <c r="L11" s="322"/>
    </row>
    <row r="12" spans="1:12" ht="13.5" customHeight="1" x14ac:dyDescent="0.2">
      <c r="B12" s="1382" t="s">
        <v>1371</v>
      </c>
      <c r="C12" s="1382"/>
      <c r="D12" s="304"/>
      <c r="E12" s="322"/>
      <c r="F12" s="2493" t="s">
        <v>2238</v>
      </c>
      <c r="G12" s="2493"/>
      <c r="H12" s="2493"/>
      <c r="I12" s="2493"/>
      <c r="J12" s="2493"/>
      <c r="K12" s="2493"/>
      <c r="L12" s="322"/>
    </row>
    <row r="13" spans="1:12" ht="9.6" customHeight="1" x14ac:dyDescent="0.2">
      <c r="B13" s="1256"/>
      <c r="C13" s="1256"/>
      <c r="D13" s="304"/>
      <c r="E13" s="322"/>
      <c r="F13" s="322"/>
      <c r="G13" s="1381"/>
      <c r="H13" s="322"/>
      <c r="I13" s="1381"/>
      <c r="J13" s="322"/>
      <c r="K13" s="1430"/>
      <c r="L13" s="322"/>
    </row>
    <row r="14" spans="1:12" ht="13.5" customHeight="1" x14ac:dyDescent="0.2">
      <c r="B14" s="1385" t="s">
        <v>1370</v>
      </c>
      <c r="C14" s="1385"/>
      <c r="D14" s="2508" t="s">
        <v>2155</v>
      </c>
      <c r="E14" s="2508"/>
      <c r="F14" s="2508"/>
      <c r="H14" s="1473" t="s">
        <v>1369</v>
      </c>
      <c r="I14" s="2510">
        <v>84.027000000000001</v>
      </c>
      <c r="J14" s="2510"/>
      <c r="K14" s="2510"/>
      <c r="L14" s="322"/>
    </row>
    <row r="15" spans="1:12" ht="9.4" customHeight="1" x14ac:dyDescent="0.2">
      <c r="B15" s="1385"/>
      <c r="C15" s="1385"/>
      <c r="D15" s="1371"/>
      <c r="E15" s="1259"/>
      <c r="F15" s="1259"/>
      <c r="G15" s="1285"/>
      <c r="H15" s="1259"/>
      <c r="I15" s="1474"/>
      <c r="J15" s="1292"/>
      <c r="K15" s="1289"/>
      <c r="L15" s="322"/>
    </row>
    <row r="16" spans="1:12" ht="13.5" customHeight="1" x14ac:dyDescent="0.2">
      <c r="B16" s="1385" t="s">
        <v>1368</v>
      </c>
      <c r="C16" s="1385"/>
      <c r="D16" s="2510" t="s">
        <v>2231</v>
      </c>
      <c r="E16" s="2510"/>
      <c r="F16" s="2510"/>
      <c r="G16" s="2510"/>
      <c r="H16" s="2510"/>
      <c r="I16" s="2510"/>
      <c r="J16" s="2510"/>
      <c r="K16" s="2510"/>
      <c r="L16" s="322"/>
    </row>
    <row r="17" spans="2:12" ht="13.5" customHeight="1" x14ac:dyDescent="0.2">
      <c r="B17" s="1385" t="s">
        <v>1367</v>
      </c>
      <c r="C17" s="1385"/>
      <c r="D17" s="2511" t="s">
        <v>2220</v>
      </c>
      <c r="E17" s="2511"/>
      <c r="F17" s="2511"/>
      <c r="G17" s="2511"/>
      <c r="H17" s="2511"/>
      <c r="I17" s="2511"/>
      <c r="J17" s="2511"/>
      <c r="K17" s="2511"/>
      <c r="L17" s="322"/>
    </row>
    <row r="18" spans="2:12" ht="9.4" customHeight="1" x14ac:dyDescent="0.2">
      <c r="B18" s="1425"/>
      <c r="C18" s="1425"/>
      <c r="D18" s="1425"/>
      <c r="E18" s="1425"/>
      <c r="F18" s="1425"/>
      <c r="G18" s="1426"/>
      <c r="H18" s="1425"/>
      <c r="I18" s="1426"/>
      <c r="J18" s="1425"/>
      <c r="K18" s="1425"/>
      <c r="L18" s="322"/>
    </row>
    <row r="19" spans="2:12" ht="13.5" customHeight="1" x14ac:dyDescent="0.2">
      <c r="B19" s="1475" t="s">
        <v>1366</v>
      </c>
      <c r="C19" s="1475"/>
      <c r="D19" s="328"/>
      <c r="E19" s="328"/>
      <c r="F19" s="328"/>
      <c r="G19" s="1476"/>
      <c r="H19" s="328"/>
      <c r="I19" s="1476"/>
      <c r="J19" s="322"/>
      <c r="K19" s="322"/>
      <c r="L19" s="322"/>
    </row>
    <row r="20" spans="2:12" ht="35.25" customHeight="1" x14ac:dyDescent="0.2">
      <c r="B20" s="2500" t="s">
        <v>2232</v>
      </c>
      <c r="C20" s="2500"/>
      <c r="D20" s="2501"/>
      <c r="E20" s="2501"/>
      <c r="F20" s="2501"/>
      <c r="G20" s="2501"/>
      <c r="H20" s="2501"/>
      <c r="I20" s="2501"/>
      <c r="J20" s="2501"/>
      <c r="K20" s="2501"/>
      <c r="L20" s="1430"/>
    </row>
    <row r="21" spans="2:12" ht="4.5" customHeight="1" x14ac:dyDescent="0.2">
      <c r="B21" s="1477"/>
      <c r="C21" s="1477"/>
      <c r="D21" s="1478"/>
      <c r="E21" s="1478"/>
      <c r="F21" s="1478"/>
      <c r="G21" s="1426"/>
      <c r="H21" s="1478"/>
      <c r="I21" s="1426"/>
      <c r="J21" s="1478"/>
      <c r="K21" s="1478"/>
      <c r="L21" s="1430"/>
    </row>
    <row r="22" spans="2:12" ht="13.35" customHeight="1" x14ac:dyDescent="0.2">
      <c r="B22" s="1475" t="s">
        <v>1856</v>
      </c>
      <c r="C22" s="1475"/>
      <c r="D22" s="322"/>
      <c r="E22" s="322"/>
      <c r="F22" s="322"/>
      <c r="G22" s="1381"/>
      <c r="H22" s="322"/>
      <c r="I22" s="1381"/>
      <c r="J22" s="322"/>
      <c r="K22" s="322"/>
      <c r="L22" s="322"/>
    </row>
    <row r="23" spans="2:12" ht="37.5" customHeight="1" x14ac:dyDescent="0.2">
      <c r="B23" s="2500" t="s">
        <v>2299</v>
      </c>
      <c r="C23" s="2500"/>
      <c r="D23" s="2501"/>
      <c r="E23" s="2501"/>
      <c r="F23" s="2501"/>
      <c r="G23" s="2501"/>
      <c r="H23" s="2501"/>
      <c r="I23" s="2501"/>
      <c r="J23" s="2501"/>
      <c r="K23" s="2501"/>
      <c r="L23" s="322"/>
    </row>
    <row r="24" spans="2:12" ht="4.5" customHeight="1" x14ac:dyDescent="0.2">
      <c r="B24" s="1477"/>
      <c r="C24" s="1477"/>
      <c r="D24" s="1425"/>
      <c r="E24" s="1425"/>
      <c r="F24" s="1425"/>
      <c r="G24" s="1426"/>
      <c r="H24" s="1425"/>
      <c r="I24" s="1426"/>
      <c r="J24" s="1425"/>
      <c r="K24" s="1425"/>
      <c r="L24" s="322"/>
    </row>
    <row r="25" spans="2:12" ht="13.5" customHeight="1" x14ac:dyDescent="0.2">
      <c r="B25" s="1475" t="s">
        <v>1857</v>
      </c>
      <c r="C25" s="1475"/>
      <c r="D25" s="322"/>
      <c r="E25" s="322"/>
      <c r="F25" s="322"/>
      <c r="G25" s="1381"/>
      <c r="H25" s="322"/>
      <c r="I25" s="1381"/>
      <c r="J25" s="322"/>
      <c r="K25" s="322"/>
      <c r="L25" s="322"/>
    </row>
    <row r="26" spans="2:12" ht="37.5" customHeight="1" x14ac:dyDescent="0.2">
      <c r="B26" s="2500" t="s">
        <v>2216</v>
      </c>
      <c r="C26" s="2500"/>
      <c r="D26" s="2501"/>
      <c r="E26" s="2501"/>
      <c r="F26" s="2501"/>
      <c r="G26" s="2501"/>
      <c r="H26" s="2501"/>
      <c r="I26" s="2501"/>
      <c r="J26" s="2501"/>
      <c r="K26" s="2501"/>
      <c r="L26" s="322"/>
    </row>
    <row r="27" spans="2:12" ht="4.5" customHeight="1" x14ac:dyDescent="0.2">
      <c r="B27" s="1479"/>
      <c r="C27" s="1479"/>
      <c r="D27" s="1479"/>
      <c r="E27" s="1425"/>
      <c r="F27" s="1425"/>
      <c r="G27" s="1426"/>
      <c r="H27" s="1425"/>
      <c r="I27" s="1426"/>
      <c r="J27" s="1425"/>
      <c r="K27" s="1425"/>
      <c r="L27" s="322"/>
    </row>
    <row r="28" spans="2:12" ht="13.5" customHeight="1" x14ac:dyDescent="0.2">
      <c r="B28" s="1475" t="s">
        <v>1858</v>
      </c>
      <c r="C28" s="1475"/>
      <c r="D28" s="322"/>
      <c r="E28" s="322"/>
      <c r="F28" s="322"/>
      <c r="G28" s="1381"/>
      <c r="H28" s="322"/>
      <c r="I28" s="1381"/>
      <c r="J28" s="322"/>
      <c r="K28" s="322"/>
      <c r="L28" s="322"/>
    </row>
    <row r="29" spans="2:12" ht="37.5" customHeight="1" x14ac:dyDescent="0.2">
      <c r="B29" s="2500" t="s">
        <v>2300</v>
      </c>
      <c r="C29" s="2500"/>
      <c r="D29" s="2501"/>
      <c r="E29" s="2501"/>
      <c r="F29" s="2501"/>
      <c r="G29" s="2501"/>
      <c r="H29" s="2501"/>
      <c r="I29" s="2501"/>
      <c r="J29" s="2501"/>
      <c r="K29" s="2501"/>
      <c r="L29" s="322"/>
    </row>
    <row r="30" spans="2:12" ht="4.5" customHeight="1" x14ac:dyDescent="0.2">
      <c r="B30" s="1477"/>
      <c r="C30" s="1477"/>
      <c r="D30" s="1425"/>
      <c r="E30" s="1425"/>
      <c r="F30" s="1425"/>
      <c r="G30" s="1426"/>
      <c r="H30" s="1425"/>
      <c r="I30" s="1426"/>
      <c r="J30" s="1425"/>
      <c r="K30" s="1425"/>
      <c r="L30" s="322"/>
    </row>
    <row r="31" spans="2:12" ht="13.5" customHeight="1" x14ac:dyDescent="0.2">
      <c r="B31" s="1475" t="s">
        <v>1365</v>
      </c>
      <c r="C31" s="1475"/>
      <c r="D31" s="322"/>
      <c r="E31" s="322"/>
      <c r="F31" s="322"/>
      <c r="G31" s="1381"/>
      <c r="H31" s="322"/>
      <c r="I31" s="1381"/>
      <c r="J31" s="322"/>
      <c r="K31" s="322"/>
      <c r="L31" s="322"/>
    </row>
    <row r="32" spans="2:12" ht="37.5" customHeight="1" x14ac:dyDescent="0.2">
      <c r="B32" s="2500" t="s">
        <v>2301</v>
      </c>
      <c r="C32" s="2500"/>
      <c r="D32" s="2501"/>
      <c r="E32" s="2501"/>
      <c r="F32" s="2501"/>
      <c r="G32" s="2501"/>
      <c r="H32" s="2501"/>
      <c r="I32" s="2501"/>
      <c r="J32" s="2501"/>
      <c r="K32" s="2501"/>
      <c r="L32" s="322"/>
    </row>
    <row r="33" spans="2:12" ht="4.5" customHeight="1" x14ac:dyDescent="0.2">
      <c r="B33" s="1477"/>
      <c r="C33" s="1477"/>
      <c r="D33" s="1425"/>
      <c r="E33" s="1425"/>
      <c r="F33" s="1425"/>
      <c r="G33" s="1426"/>
      <c r="H33" s="1425"/>
      <c r="I33" s="1426"/>
      <c r="J33" s="1425"/>
      <c r="K33" s="1425"/>
      <c r="L33" s="322"/>
    </row>
    <row r="34" spans="2:12" ht="13.5" customHeight="1" x14ac:dyDescent="0.2">
      <c r="B34" s="1382" t="s">
        <v>1364</v>
      </c>
      <c r="C34" s="1382"/>
      <c r="D34" s="322"/>
      <c r="E34" s="322"/>
      <c r="F34" s="322"/>
      <c r="G34" s="1381"/>
      <c r="H34" s="322"/>
      <c r="I34" s="1381"/>
      <c r="J34" s="322"/>
      <c r="K34" s="322"/>
      <c r="L34" s="322"/>
    </row>
    <row r="35" spans="2:12" ht="37.5" customHeight="1" x14ac:dyDescent="0.2">
      <c r="B35" s="2500" t="s">
        <v>2303</v>
      </c>
      <c r="C35" s="2500"/>
      <c r="D35" s="2501"/>
      <c r="E35" s="2501"/>
      <c r="F35" s="2501"/>
      <c r="G35" s="2501"/>
      <c r="H35" s="2501"/>
      <c r="I35" s="2501"/>
      <c r="J35" s="2501"/>
      <c r="K35" s="2501"/>
      <c r="L35" s="322"/>
    </row>
    <row r="36" spans="2:12" ht="4.5" customHeight="1" x14ac:dyDescent="0.2">
      <c r="B36" s="1477"/>
      <c r="C36" s="1477"/>
      <c r="D36" s="1425"/>
      <c r="E36" s="1425"/>
      <c r="F36" s="1425"/>
      <c r="G36" s="1426"/>
      <c r="H36" s="1425"/>
      <c r="I36" s="1426"/>
      <c r="J36" s="1425"/>
      <c r="K36" s="1425"/>
      <c r="L36" s="322"/>
    </row>
    <row r="37" spans="2:12" ht="13.5" customHeight="1" x14ac:dyDescent="0.2">
      <c r="B37" s="1382" t="s">
        <v>1363</v>
      </c>
      <c r="C37" s="1382"/>
      <c r="D37" s="322"/>
      <c r="E37" s="322"/>
      <c r="F37" s="322"/>
      <c r="G37" s="1381"/>
      <c r="H37" s="322"/>
      <c r="I37" s="1381"/>
      <c r="J37" s="322"/>
      <c r="K37" s="322"/>
      <c r="L37" s="322"/>
    </row>
    <row r="38" spans="2:12" ht="35.25" customHeight="1" x14ac:dyDescent="0.2">
      <c r="B38" s="2500" t="s">
        <v>2302</v>
      </c>
      <c r="C38" s="2500"/>
      <c r="D38" s="2501"/>
      <c r="E38" s="2501"/>
      <c r="F38" s="2501"/>
      <c r="G38" s="2501"/>
      <c r="H38" s="2501"/>
      <c r="I38" s="2501"/>
      <c r="J38" s="2501"/>
      <c r="K38" s="2501"/>
      <c r="L38" s="322"/>
    </row>
    <row r="39" spans="2:12" ht="4.5" customHeight="1" x14ac:dyDescent="0.2">
      <c r="B39" s="1400"/>
      <c r="C39" s="1400"/>
      <c r="D39" s="322"/>
      <c r="E39" s="322"/>
      <c r="F39" s="322"/>
      <c r="G39" s="1381"/>
      <c r="H39" s="322"/>
      <c r="I39" s="1381"/>
      <c r="J39" s="322"/>
      <c r="K39" s="322"/>
      <c r="L39" s="322"/>
    </row>
    <row r="40" spans="2:12" s="322" customFormat="1" ht="13.5" customHeight="1" x14ac:dyDescent="0.2">
      <c r="B40" s="1401" t="s">
        <v>1859</v>
      </c>
      <c r="C40" s="1401"/>
      <c r="D40" s="1376"/>
      <c r="E40" s="1377"/>
      <c r="F40" s="1377"/>
      <c r="G40" s="1378"/>
      <c r="H40" s="1377"/>
      <c r="I40" s="1378"/>
      <c r="J40" s="1377"/>
      <c r="K40" s="1377"/>
    </row>
    <row r="41" spans="2:12" s="322" customFormat="1" ht="33.75" customHeight="1" x14ac:dyDescent="0.2">
      <c r="B41" s="2500" t="s">
        <v>2304</v>
      </c>
      <c r="C41" s="2500"/>
      <c r="D41" s="2501"/>
      <c r="E41" s="2501"/>
      <c r="F41" s="2501"/>
      <c r="G41" s="2501"/>
      <c r="H41" s="2501"/>
      <c r="I41" s="2501"/>
      <c r="J41" s="2501"/>
      <c r="K41" s="2501"/>
    </row>
    <row r="42" spans="2:12" s="322" customFormat="1" ht="4.5" customHeight="1" x14ac:dyDescent="0.2">
      <c r="B42" s="1400"/>
      <c r="C42" s="1400"/>
      <c r="G42" s="1381"/>
      <c r="I42" s="1381"/>
    </row>
    <row r="43" spans="2:12" s="322" customFormat="1" ht="13.5" customHeight="1" x14ac:dyDescent="0.2">
      <c r="B43" s="1480" t="s">
        <v>1352</v>
      </c>
      <c r="C43" s="1481"/>
      <c r="D43" s="1402"/>
      <c r="E43" s="1402"/>
      <c r="F43" s="1402"/>
      <c r="G43" s="1403"/>
      <c r="H43" s="1402"/>
      <c r="I43" s="1403"/>
      <c r="J43" s="1402"/>
      <c r="K43" s="1404"/>
      <c r="L43" s="1482"/>
    </row>
    <row r="44" spans="2:12" s="322" customFormat="1" ht="13.5" customHeight="1" x14ac:dyDescent="0.2">
      <c r="B44" s="1405" t="s">
        <v>1351</v>
      </c>
      <c r="C44" s="1406"/>
      <c r="D44" s="1483"/>
      <c r="E44" s="1407"/>
      <c r="F44" s="1411" t="s">
        <v>1350</v>
      </c>
      <c r="G44" s="1409"/>
      <c r="H44" s="1408"/>
      <c r="I44" s="1409"/>
      <c r="J44" s="1484"/>
      <c r="K44" s="1485"/>
      <c r="L44" s="1482"/>
    </row>
    <row r="45" spans="2:12" s="322" customFormat="1" ht="13.5" customHeight="1" x14ac:dyDescent="0.2">
      <c r="B45" s="1405" t="s">
        <v>1349</v>
      </c>
      <c r="C45" s="1406"/>
      <c r="D45" s="1484"/>
      <c r="E45" s="1408"/>
      <c r="F45" s="1411" t="s">
        <v>1348</v>
      </c>
      <c r="G45" s="1409"/>
      <c r="H45" s="1408"/>
      <c r="I45" s="1409"/>
      <c r="J45" s="1484"/>
      <c r="K45" s="1485"/>
      <c r="L45" s="1482"/>
    </row>
    <row r="46" spans="2:12" s="322" customFormat="1" ht="13.5" customHeight="1" x14ac:dyDescent="0.2">
      <c r="B46" s="1412"/>
      <c r="C46" s="1410"/>
      <c r="D46" s="1410"/>
      <c r="E46" s="1410"/>
      <c r="F46" s="1410"/>
      <c r="G46" s="1413"/>
      <c r="H46" s="1410"/>
      <c r="I46" s="1413"/>
      <c r="J46" s="1410"/>
      <c r="K46" s="1414"/>
      <c r="L46" s="1482"/>
    </row>
    <row r="47" spans="2:12" ht="7.5" customHeight="1" x14ac:dyDescent="0.25">
      <c r="B47" s="1486"/>
      <c r="C47" s="1486"/>
      <c r="D47" s="1487"/>
      <c r="E47" s="1487"/>
      <c r="F47" s="1487"/>
      <c r="G47" s="1488"/>
      <c r="H47" s="1487"/>
      <c r="I47" s="1488"/>
      <c r="J47" s="1487"/>
      <c r="K47" s="1487"/>
    </row>
    <row r="48" spans="2:12" ht="13.5" customHeight="1" x14ac:dyDescent="0.2">
      <c r="B48" s="1417" t="s">
        <v>1860</v>
      </c>
      <c r="C48" s="1417"/>
      <c r="D48" s="322"/>
      <c r="E48" s="322"/>
      <c r="F48" s="322"/>
    </row>
    <row r="49" spans="2:3" s="317" customFormat="1" ht="10.5" customHeight="1" x14ac:dyDescent="0.2">
      <c r="B49" s="1418" t="s">
        <v>1861</v>
      </c>
      <c r="C49" s="1418"/>
    </row>
    <row r="50" spans="2:3" s="317" customFormat="1" ht="11.1" customHeight="1" x14ac:dyDescent="0.2">
      <c r="B50" s="1418" t="s">
        <v>1862</v>
      </c>
      <c r="C50" s="1418"/>
    </row>
    <row r="51" spans="2:3" s="317" customFormat="1" ht="11.1" customHeight="1" x14ac:dyDescent="0.2">
      <c r="B51" s="1418" t="s">
        <v>1863</v>
      </c>
      <c r="C51" s="1418"/>
    </row>
    <row r="52" spans="2:3" s="317" customFormat="1" ht="11.1" customHeight="1" x14ac:dyDescent="0.2">
      <c r="B52" s="1418" t="s">
        <v>1864</v>
      </c>
      <c r="C52" s="1418"/>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scale="99" firstPageNumber="42" orientation="portrait" useFirstPageNumber="1" r:id="rId1"/>
  <headerFooter>
    <oddHeader>&amp;L&amp;8Page 44&amp;R&amp;8Page 44</oddHeader>
    <oddFooter>&amp;LSee Notes to Financial Statements</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showGridLines="0" zoomScaleNormal="100" workbookViewId="0">
      <selection activeCell="K36" sqref="K36"/>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5" t="str">
        <f>'Single Audit Cover'!A7</f>
        <v>Jersey CUSD 100</v>
      </c>
      <c r="C1" s="2505"/>
      <c r="D1" s="2505"/>
      <c r="E1" s="2505"/>
      <c r="F1" s="2505"/>
      <c r="G1" s="2505"/>
      <c r="H1" s="2505"/>
      <c r="I1" s="2505"/>
      <c r="J1" s="2505"/>
      <c r="K1" s="2505"/>
      <c r="L1" s="1463"/>
    </row>
    <row r="2" spans="1:12" ht="12.75" customHeight="1" x14ac:dyDescent="0.2">
      <c r="B2" s="2506">
        <f>'Single Audit Cover'!E7</f>
        <v>40042100026</v>
      </c>
      <c r="C2" s="2506"/>
      <c r="D2" s="2506"/>
      <c r="E2" s="2506"/>
      <c r="F2" s="2506"/>
      <c r="G2" s="2506"/>
      <c r="H2" s="2506"/>
      <c r="I2" s="2506"/>
      <c r="J2" s="2506"/>
      <c r="K2" s="2506"/>
      <c r="L2" s="1464"/>
    </row>
    <row r="3" spans="1:12" ht="12.75" customHeight="1" x14ac:dyDescent="0.2">
      <c r="B3" s="2502" t="s">
        <v>1346</v>
      </c>
      <c r="C3" s="2502"/>
      <c r="D3" s="2502"/>
      <c r="E3" s="2502"/>
      <c r="F3" s="2502"/>
      <c r="G3" s="2502"/>
      <c r="H3" s="2502"/>
      <c r="I3" s="2502"/>
      <c r="J3" s="2502"/>
      <c r="K3" s="2502"/>
      <c r="L3" s="1961"/>
    </row>
    <row r="4" spans="1:12" ht="12.75" customHeight="1" x14ac:dyDescent="0.2">
      <c r="B4" s="2502" t="str">
        <f>'Single Audit Cover'!A4</f>
        <v>Year Ending June 30, 2018</v>
      </c>
      <c r="C4" s="2502"/>
      <c r="D4" s="2502"/>
      <c r="E4" s="2502"/>
      <c r="F4" s="2502"/>
      <c r="G4" s="2502"/>
      <c r="H4" s="2502"/>
      <c r="I4" s="2502"/>
      <c r="J4" s="2502"/>
      <c r="K4" s="2502"/>
      <c r="L4" s="1961"/>
    </row>
    <row r="5" spans="1:12" ht="5.25" customHeight="1" x14ac:dyDescent="0.2">
      <c r="B5" s="1259" t="s">
        <v>1230</v>
      </c>
      <c r="C5" s="1259"/>
      <c r="L5" s="322"/>
    </row>
    <row r="6" spans="1:12" ht="30.75" customHeight="1" x14ac:dyDescent="0.2">
      <c r="A6" s="322"/>
      <c r="B6" s="2507" t="s">
        <v>1374</v>
      </c>
      <c r="C6" s="2507"/>
      <c r="D6" s="2507"/>
      <c r="E6" s="2507"/>
      <c r="F6" s="2507"/>
      <c r="G6" s="2507"/>
      <c r="H6" s="2507"/>
      <c r="I6" s="2507"/>
      <c r="J6" s="2507"/>
      <c r="K6" s="2507"/>
      <c r="L6" s="322"/>
    </row>
    <row r="7" spans="1:12" ht="4.5" customHeight="1" x14ac:dyDescent="0.2">
      <c r="B7" s="1377"/>
      <c r="C7" s="1377"/>
      <c r="D7" s="1377"/>
      <c r="E7" s="1377"/>
      <c r="F7" s="1377"/>
      <c r="G7" s="1378"/>
      <c r="H7" s="1377"/>
      <c r="I7" s="1378"/>
      <c r="J7" s="1377"/>
      <c r="K7" s="1377"/>
      <c r="L7" s="322"/>
    </row>
    <row r="8" spans="1:12" ht="13.5" customHeight="1" x14ac:dyDescent="0.2">
      <c r="B8" s="1385" t="s">
        <v>1855</v>
      </c>
      <c r="C8" s="1465" t="s">
        <v>1949</v>
      </c>
      <c r="D8" s="1466">
        <v>20</v>
      </c>
      <c r="E8" s="322"/>
      <c r="F8" s="1382" t="s">
        <v>1361</v>
      </c>
      <c r="G8" s="1467" t="s">
        <v>2076</v>
      </c>
      <c r="H8" s="1468" t="s">
        <v>1373</v>
      </c>
      <c r="I8" s="1467"/>
      <c r="J8" s="1469" t="s">
        <v>1372</v>
      </c>
      <c r="L8" s="322"/>
    </row>
    <row r="9" spans="1:12" ht="13.5" customHeight="1" x14ac:dyDescent="0.2">
      <c r="D9" s="322"/>
      <c r="E9" s="322"/>
      <c r="F9" s="322"/>
      <c r="G9" s="1381"/>
      <c r="H9" s="322"/>
      <c r="I9" s="1470" t="s">
        <v>1358</v>
      </c>
      <c r="J9" s="322"/>
      <c r="K9" s="1471"/>
      <c r="L9" s="322"/>
    </row>
    <row r="10" spans="1:12" ht="4.5" customHeight="1" x14ac:dyDescent="0.2">
      <c r="B10" s="1472"/>
      <c r="C10" s="1472"/>
      <c r="D10" s="1425"/>
      <c r="E10" s="1425"/>
      <c r="F10" s="1425"/>
      <c r="G10" s="1426"/>
      <c r="H10" s="1425"/>
      <c r="I10" s="1426"/>
      <c r="J10" s="1425"/>
      <c r="K10" s="1425"/>
      <c r="L10" s="322"/>
    </row>
    <row r="11" spans="1:12" ht="5.25" customHeight="1" x14ac:dyDescent="0.2">
      <c r="B11" s="322"/>
      <c r="C11" s="322"/>
      <c r="D11" s="304"/>
      <c r="E11" s="322"/>
      <c r="F11" s="322"/>
      <c r="G11" s="1381"/>
      <c r="H11" s="322"/>
      <c r="I11" s="1381"/>
      <c r="J11" s="322"/>
      <c r="K11" s="1430"/>
      <c r="L11" s="322"/>
    </row>
    <row r="12" spans="1:12" ht="13.5" customHeight="1" x14ac:dyDescent="0.2">
      <c r="B12" s="1382" t="s">
        <v>1371</v>
      </c>
      <c r="C12" s="1382"/>
      <c r="D12" s="304"/>
      <c r="E12" s="322"/>
      <c r="F12" s="2493" t="s">
        <v>2238</v>
      </c>
      <c r="G12" s="2493"/>
      <c r="H12" s="2493"/>
      <c r="I12" s="2493"/>
      <c r="J12" s="2493"/>
      <c r="K12" s="2493"/>
      <c r="L12" s="322"/>
    </row>
    <row r="13" spans="1:12" ht="9.6" customHeight="1" x14ac:dyDescent="0.2">
      <c r="B13" s="1256"/>
      <c r="C13" s="1256"/>
      <c r="D13" s="304"/>
      <c r="E13" s="322"/>
      <c r="F13" s="322"/>
      <c r="G13" s="1381"/>
      <c r="H13" s="322"/>
      <c r="I13" s="1381"/>
      <c r="J13" s="322"/>
      <c r="K13" s="1430"/>
      <c r="L13" s="322"/>
    </row>
    <row r="14" spans="1:12" ht="13.5" customHeight="1" x14ac:dyDescent="0.2">
      <c r="B14" s="1385" t="s">
        <v>1370</v>
      </c>
      <c r="C14" s="1385"/>
      <c r="D14" s="2508" t="s">
        <v>2156</v>
      </c>
      <c r="E14" s="2508"/>
      <c r="F14" s="2508"/>
      <c r="H14" s="1473" t="s">
        <v>1369</v>
      </c>
      <c r="I14" s="2510">
        <v>84.027000000000001</v>
      </c>
      <c r="J14" s="2510"/>
      <c r="K14" s="2510"/>
      <c r="L14" s="322"/>
    </row>
    <row r="15" spans="1:12" ht="9.4" customHeight="1" x14ac:dyDescent="0.2">
      <c r="B15" s="1385"/>
      <c r="C15" s="1385"/>
      <c r="D15" s="1371"/>
      <c r="E15" s="1259"/>
      <c r="F15" s="1259"/>
      <c r="G15" s="1285"/>
      <c r="H15" s="1259"/>
      <c r="I15" s="1474"/>
      <c r="J15" s="1292"/>
      <c r="K15" s="1289"/>
      <c r="L15" s="322"/>
    </row>
    <row r="16" spans="1:12" ht="13.5" customHeight="1" x14ac:dyDescent="0.2">
      <c r="B16" s="1385" t="s">
        <v>1368</v>
      </c>
      <c r="C16" s="1385"/>
      <c r="D16" s="2510" t="s">
        <v>2231</v>
      </c>
      <c r="E16" s="2510"/>
      <c r="F16" s="2510"/>
      <c r="G16" s="2510"/>
      <c r="H16" s="2510"/>
      <c r="I16" s="2510"/>
      <c r="J16" s="2510"/>
      <c r="K16" s="2510"/>
      <c r="L16" s="322"/>
    </row>
    <row r="17" spans="2:12" ht="13.5" customHeight="1" x14ac:dyDescent="0.2">
      <c r="B17" s="1385" t="s">
        <v>1367</v>
      </c>
      <c r="C17" s="1385"/>
      <c r="D17" s="2511" t="s">
        <v>2220</v>
      </c>
      <c r="E17" s="2511"/>
      <c r="F17" s="2511"/>
      <c r="G17" s="2511"/>
      <c r="H17" s="2511"/>
      <c r="I17" s="2511"/>
      <c r="J17" s="2511"/>
      <c r="K17" s="2511"/>
      <c r="L17" s="322"/>
    </row>
    <row r="18" spans="2:12" ht="9.4" customHeight="1" x14ac:dyDescent="0.2">
      <c r="B18" s="1425"/>
      <c r="C18" s="1425"/>
      <c r="D18" s="1425"/>
      <c r="E18" s="1425"/>
      <c r="F18" s="1425"/>
      <c r="G18" s="1426"/>
      <c r="H18" s="1425"/>
      <c r="I18" s="1426"/>
      <c r="J18" s="1425"/>
      <c r="K18" s="1425"/>
      <c r="L18" s="322"/>
    </row>
    <row r="19" spans="2:12" ht="13.5" customHeight="1" x14ac:dyDescent="0.2">
      <c r="B19" s="1475" t="s">
        <v>1366</v>
      </c>
      <c r="C19" s="1475"/>
      <c r="D19" s="328"/>
      <c r="E19" s="328"/>
      <c r="F19" s="328"/>
      <c r="G19" s="1476"/>
      <c r="H19" s="328"/>
      <c r="I19" s="1476"/>
      <c r="J19" s="322"/>
      <c r="K19" s="322"/>
      <c r="L19" s="322"/>
    </row>
    <row r="20" spans="2:12" ht="35.25" customHeight="1" x14ac:dyDescent="0.2">
      <c r="B20" s="2500" t="s">
        <v>2232</v>
      </c>
      <c r="C20" s="2500"/>
      <c r="D20" s="2501"/>
      <c r="E20" s="2501"/>
      <c r="F20" s="2501"/>
      <c r="G20" s="2501"/>
      <c r="H20" s="2501"/>
      <c r="I20" s="2501"/>
      <c r="J20" s="2501"/>
      <c r="K20" s="2501"/>
      <c r="L20" s="1430"/>
    </row>
    <row r="21" spans="2:12" ht="4.5" customHeight="1" x14ac:dyDescent="0.2">
      <c r="B21" s="1477"/>
      <c r="C21" s="1477"/>
      <c r="D21" s="1478"/>
      <c r="E21" s="1478"/>
      <c r="F21" s="1478"/>
      <c r="G21" s="1426"/>
      <c r="H21" s="1478"/>
      <c r="I21" s="1426"/>
      <c r="J21" s="1478"/>
      <c r="K21" s="1478"/>
      <c r="L21" s="1430"/>
    </row>
    <row r="22" spans="2:12" ht="13.35" customHeight="1" x14ac:dyDescent="0.2">
      <c r="B22" s="1475" t="s">
        <v>1856</v>
      </c>
      <c r="C22" s="1475"/>
      <c r="D22" s="322"/>
      <c r="E22" s="322"/>
      <c r="F22" s="322"/>
      <c r="G22" s="1381"/>
      <c r="H22" s="322"/>
      <c r="I22" s="1381"/>
      <c r="J22" s="322"/>
      <c r="K22" s="322"/>
      <c r="L22" s="322"/>
    </row>
    <row r="23" spans="2:12" ht="37.5" customHeight="1" x14ac:dyDescent="0.2">
      <c r="B23" s="2500" t="s">
        <v>2299</v>
      </c>
      <c r="C23" s="2500"/>
      <c r="D23" s="2501"/>
      <c r="E23" s="2501"/>
      <c r="F23" s="2501"/>
      <c r="G23" s="2501"/>
      <c r="H23" s="2501"/>
      <c r="I23" s="2501"/>
      <c r="J23" s="2501"/>
      <c r="K23" s="2501"/>
      <c r="L23" s="322"/>
    </row>
    <row r="24" spans="2:12" ht="4.5" customHeight="1" x14ac:dyDescent="0.2">
      <c r="B24" s="1477"/>
      <c r="C24" s="1477"/>
      <c r="D24" s="1425"/>
      <c r="E24" s="1425"/>
      <c r="F24" s="1425"/>
      <c r="G24" s="1426"/>
      <c r="H24" s="1425"/>
      <c r="I24" s="1426"/>
      <c r="J24" s="1425"/>
      <c r="K24" s="1425"/>
      <c r="L24" s="322"/>
    </row>
    <row r="25" spans="2:12" ht="13.5" customHeight="1" x14ac:dyDescent="0.2">
      <c r="B25" s="1475" t="s">
        <v>1857</v>
      </c>
      <c r="C25" s="1475"/>
      <c r="D25" s="322"/>
      <c r="E25" s="322"/>
      <c r="F25" s="322"/>
      <c r="G25" s="1381"/>
      <c r="H25" s="322"/>
      <c r="I25" s="1381"/>
      <c r="J25" s="322"/>
      <c r="K25" s="322"/>
      <c r="L25" s="322"/>
    </row>
    <row r="26" spans="2:12" ht="37.5" customHeight="1" x14ac:dyDescent="0.2">
      <c r="B26" s="2500" t="s">
        <v>2216</v>
      </c>
      <c r="C26" s="2500"/>
      <c r="D26" s="2501"/>
      <c r="E26" s="2501"/>
      <c r="F26" s="2501"/>
      <c r="G26" s="2501"/>
      <c r="H26" s="2501"/>
      <c r="I26" s="2501"/>
      <c r="J26" s="2501"/>
      <c r="K26" s="2501"/>
      <c r="L26" s="322"/>
    </row>
    <row r="27" spans="2:12" ht="4.5" customHeight="1" x14ac:dyDescent="0.2">
      <c r="B27" s="1479"/>
      <c r="C27" s="1479"/>
      <c r="D27" s="1479"/>
      <c r="E27" s="1425"/>
      <c r="F27" s="1425"/>
      <c r="G27" s="1426"/>
      <c r="H27" s="1425"/>
      <c r="I27" s="1426"/>
      <c r="J27" s="1425"/>
      <c r="K27" s="1425"/>
      <c r="L27" s="322"/>
    </row>
    <row r="28" spans="2:12" ht="13.5" customHeight="1" x14ac:dyDescent="0.2">
      <c r="B28" s="1475" t="s">
        <v>1858</v>
      </c>
      <c r="C28" s="1475"/>
      <c r="D28" s="322"/>
      <c r="E28" s="322"/>
      <c r="F28" s="322"/>
      <c r="G28" s="1381"/>
      <c r="H28" s="322"/>
      <c r="I28" s="1381"/>
      <c r="J28" s="322"/>
      <c r="K28" s="322"/>
      <c r="L28" s="322"/>
    </row>
    <row r="29" spans="2:12" ht="37.5" customHeight="1" x14ac:dyDescent="0.2">
      <c r="B29" s="2500" t="s">
        <v>2300</v>
      </c>
      <c r="C29" s="2500"/>
      <c r="D29" s="2501"/>
      <c r="E29" s="2501"/>
      <c r="F29" s="2501"/>
      <c r="G29" s="2501"/>
      <c r="H29" s="2501"/>
      <c r="I29" s="2501"/>
      <c r="J29" s="2501"/>
      <c r="K29" s="2501"/>
      <c r="L29" s="322"/>
    </row>
    <row r="30" spans="2:12" ht="4.5" customHeight="1" x14ac:dyDescent="0.2">
      <c r="B30" s="1477"/>
      <c r="C30" s="1477"/>
      <c r="D30" s="1425"/>
      <c r="E30" s="1425"/>
      <c r="F30" s="1425"/>
      <c r="G30" s="1426"/>
      <c r="H30" s="1425"/>
      <c r="I30" s="1426"/>
      <c r="J30" s="1425"/>
      <c r="K30" s="1425"/>
      <c r="L30" s="322"/>
    </row>
    <row r="31" spans="2:12" ht="13.5" customHeight="1" x14ac:dyDescent="0.2">
      <c r="B31" s="1475" t="s">
        <v>1365</v>
      </c>
      <c r="C31" s="1475"/>
      <c r="D31" s="322"/>
      <c r="E31" s="322"/>
      <c r="F31" s="322"/>
      <c r="G31" s="1381"/>
      <c r="H31" s="322"/>
      <c r="I31" s="1381"/>
      <c r="J31" s="322"/>
      <c r="K31" s="322"/>
      <c r="L31" s="322"/>
    </row>
    <row r="32" spans="2:12" ht="37.5" customHeight="1" x14ac:dyDescent="0.2">
      <c r="B32" s="2500" t="s">
        <v>2301</v>
      </c>
      <c r="C32" s="2500"/>
      <c r="D32" s="2501"/>
      <c r="E32" s="2501"/>
      <c r="F32" s="2501"/>
      <c r="G32" s="2501"/>
      <c r="H32" s="2501"/>
      <c r="I32" s="2501"/>
      <c r="J32" s="2501"/>
      <c r="K32" s="2501"/>
      <c r="L32" s="322"/>
    </row>
    <row r="33" spans="2:12" ht="4.5" customHeight="1" x14ac:dyDescent="0.2">
      <c r="B33" s="1477"/>
      <c r="C33" s="1477"/>
      <c r="D33" s="1425"/>
      <c r="E33" s="1425"/>
      <c r="F33" s="1425"/>
      <c r="G33" s="1426"/>
      <c r="H33" s="1425"/>
      <c r="I33" s="1426"/>
      <c r="J33" s="1425"/>
      <c r="K33" s="1425"/>
      <c r="L33" s="322"/>
    </row>
    <row r="34" spans="2:12" ht="13.5" customHeight="1" x14ac:dyDescent="0.2">
      <c r="B34" s="1382" t="s">
        <v>1364</v>
      </c>
      <c r="C34" s="1382"/>
      <c r="D34" s="322"/>
      <c r="E34" s="322"/>
      <c r="F34" s="322"/>
      <c r="G34" s="1381"/>
      <c r="H34" s="322"/>
      <c r="I34" s="1381"/>
      <c r="J34" s="322"/>
      <c r="K34" s="322"/>
      <c r="L34" s="322"/>
    </row>
    <row r="35" spans="2:12" ht="37.5" customHeight="1" x14ac:dyDescent="0.2">
      <c r="B35" s="2500" t="s">
        <v>2303</v>
      </c>
      <c r="C35" s="2500"/>
      <c r="D35" s="2501"/>
      <c r="E35" s="2501"/>
      <c r="F35" s="2501"/>
      <c r="G35" s="2501"/>
      <c r="H35" s="2501"/>
      <c r="I35" s="2501"/>
      <c r="J35" s="2501"/>
      <c r="K35" s="2501"/>
      <c r="L35" s="322"/>
    </row>
    <row r="36" spans="2:12" ht="4.5" customHeight="1" x14ac:dyDescent="0.2">
      <c r="B36" s="1477"/>
      <c r="C36" s="1477"/>
      <c r="D36" s="1425"/>
      <c r="E36" s="1425"/>
      <c r="F36" s="1425"/>
      <c r="G36" s="1426"/>
      <c r="H36" s="1425"/>
      <c r="I36" s="1426"/>
      <c r="J36" s="1425"/>
      <c r="K36" s="1425"/>
      <c r="L36" s="322"/>
    </row>
    <row r="37" spans="2:12" ht="13.5" customHeight="1" x14ac:dyDescent="0.2">
      <c r="B37" s="1382" t="s">
        <v>1363</v>
      </c>
      <c r="C37" s="1382"/>
      <c r="D37" s="322"/>
      <c r="E37" s="322"/>
      <c r="F37" s="322"/>
      <c r="G37" s="1381"/>
      <c r="H37" s="322"/>
      <c r="I37" s="1381"/>
      <c r="J37" s="322"/>
      <c r="K37" s="322"/>
      <c r="L37" s="322"/>
    </row>
    <row r="38" spans="2:12" ht="35.25" customHeight="1" x14ac:dyDescent="0.2">
      <c r="B38" s="2500" t="s">
        <v>2302</v>
      </c>
      <c r="C38" s="2500"/>
      <c r="D38" s="2501"/>
      <c r="E38" s="2501"/>
      <c r="F38" s="2501"/>
      <c r="G38" s="2501"/>
      <c r="H38" s="2501"/>
      <c r="I38" s="2501"/>
      <c r="J38" s="2501"/>
      <c r="K38" s="2501"/>
      <c r="L38" s="322"/>
    </row>
    <row r="39" spans="2:12" ht="4.5" customHeight="1" x14ac:dyDescent="0.2">
      <c r="B39" s="1400"/>
      <c r="C39" s="1400"/>
      <c r="D39" s="322"/>
      <c r="E39" s="322"/>
      <c r="F39" s="322"/>
      <c r="G39" s="1381"/>
      <c r="H39" s="322"/>
      <c r="I39" s="1381"/>
      <c r="J39" s="322"/>
      <c r="K39" s="322"/>
      <c r="L39" s="322"/>
    </row>
    <row r="40" spans="2:12" s="322" customFormat="1" ht="13.5" customHeight="1" x14ac:dyDescent="0.2">
      <c r="B40" s="1401" t="s">
        <v>1859</v>
      </c>
      <c r="C40" s="1401"/>
      <c r="D40" s="1376"/>
      <c r="E40" s="1377"/>
      <c r="F40" s="1377"/>
      <c r="G40" s="1378"/>
      <c r="H40" s="1377"/>
      <c r="I40" s="1378"/>
      <c r="J40" s="1377"/>
      <c r="K40" s="1377"/>
    </row>
    <row r="41" spans="2:12" s="322" customFormat="1" ht="33.75" customHeight="1" x14ac:dyDescent="0.2">
      <c r="B41" s="2500" t="s">
        <v>2304</v>
      </c>
      <c r="C41" s="2500"/>
      <c r="D41" s="2501"/>
      <c r="E41" s="2501"/>
      <c r="F41" s="2501"/>
      <c r="G41" s="2501"/>
      <c r="H41" s="2501"/>
      <c r="I41" s="2501"/>
      <c r="J41" s="2501"/>
      <c r="K41" s="2501"/>
    </row>
    <row r="42" spans="2:12" s="322" customFormat="1" ht="4.5" customHeight="1" x14ac:dyDescent="0.2">
      <c r="B42" s="1400"/>
      <c r="C42" s="1400"/>
      <c r="G42" s="1381"/>
      <c r="I42" s="1381"/>
    </row>
    <row r="43" spans="2:12" s="322" customFormat="1" ht="13.5" customHeight="1" x14ac:dyDescent="0.2">
      <c r="B43" s="1480" t="s">
        <v>1352</v>
      </c>
      <c r="C43" s="1481"/>
      <c r="D43" s="1402"/>
      <c r="E43" s="1402"/>
      <c r="F43" s="1402"/>
      <c r="G43" s="1403"/>
      <c r="H43" s="1402"/>
      <c r="I43" s="1403"/>
      <c r="J43" s="1402"/>
      <c r="K43" s="1404"/>
      <c r="L43" s="1482"/>
    </row>
    <row r="44" spans="2:12" s="322" customFormat="1" ht="13.5" customHeight="1" x14ac:dyDescent="0.2">
      <c r="B44" s="1405" t="s">
        <v>1351</v>
      </c>
      <c r="C44" s="1406"/>
      <c r="D44" s="1483"/>
      <c r="E44" s="1407"/>
      <c r="F44" s="1411" t="s">
        <v>1350</v>
      </c>
      <c r="G44" s="1409"/>
      <c r="H44" s="1408"/>
      <c r="I44" s="1409"/>
      <c r="J44" s="1484"/>
      <c r="K44" s="1485"/>
      <c r="L44" s="1482"/>
    </row>
    <row r="45" spans="2:12" s="322" customFormat="1" ht="13.5" customHeight="1" x14ac:dyDescent="0.2">
      <c r="B45" s="1405" t="s">
        <v>1349</v>
      </c>
      <c r="C45" s="1406"/>
      <c r="D45" s="1484"/>
      <c r="E45" s="1408"/>
      <c r="F45" s="1411" t="s">
        <v>1348</v>
      </c>
      <c r="G45" s="1409"/>
      <c r="H45" s="1408"/>
      <c r="I45" s="1409"/>
      <c r="J45" s="1484"/>
      <c r="K45" s="1485"/>
      <c r="L45" s="1482"/>
    </row>
    <row r="46" spans="2:12" s="322" customFormat="1" ht="13.5" customHeight="1" x14ac:dyDescent="0.2">
      <c r="B46" s="1412"/>
      <c r="C46" s="1410"/>
      <c r="D46" s="1410"/>
      <c r="E46" s="1410"/>
      <c r="F46" s="1410"/>
      <c r="G46" s="1413"/>
      <c r="H46" s="1410"/>
      <c r="I46" s="1413"/>
      <c r="J46" s="1410"/>
      <c r="K46" s="1414"/>
      <c r="L46" s="1482"/>
    </row>
    <row r="47" spans="2:12" ht="7.5" customHeight="1" x14ac:dyDescent="0.25">
      <c r="B47" s="1486"/>
      <c r="C47" s="1486"/>
      <c r="D47" s="1487"/>
      <c r="E47" s="1487"/>
      <c r="F47" s="1487"/>
      <c r="G47" s="1488"/>
      <c r="H47" s="1487"/>
      <c r="I47" s="1488"/>
      <c r="J47" s="1487"/>
      <c r="K47" s="1487"/>
    </row>
    <row r="48" spans="2:12" ht="13.5" customHeight="1" x14ac:dyDescent="0.2">
      <c r="B48" s="1417" t="s">
        <v>1860</v>
      </c>
      <c r="C48" s="1417"/>
      <c r="D48" s="322"/>
      <c r="E48" s="322"/>
      <c r="F48" s="322"/>
    </row>
    <row r="49" spans="2:3" s="317" customFormat="1" ht="10.5" customHeight="1" x14ac:dyDescent="0.2">
      <c r="B49" s="1418" t="s">
        <v>1861</v>
      </c>
      <c r="C49" s="1418"/>
    </row>
    <row r="50" spans="2:3" s="317" customFormat="1" ht="11.1" customHeight="1" x14ac:dyDescent="0.2">
      <c r="B50" s="1418" t="s">
        <v>1862</v>
      </c>
      <c r="C50" s="1418"/>
    </row>
    <row r="51" spans="2:3" s="317" customFormat="1" ht="11.1" customHeight="1" x14ac:dyDescent="0.2">
      <c r="B51" s="1418" t="s">
        <v>1863</v>
      </c>
      <c r="C51" s="1418"/>
    </row>
    <row r="52" spans="2:3" s="317" customFormat="1" ht="11.1" customHeight="1" x14ac:dyDescent="0.2">
      <c r="B52" s="1418" t="s">
        <v>1864</v>
      </c>
      <c r="C52" s="1418"/>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scale="99" firstPageNumber="42" orientation="portrait" useFirstPageNumber="1" r:id="rId1"/>
  <headerFooter>
    <oddHeader>&amp;L&amp;8Page 44&amp;R&amp;8Page 44</oddHeader>
    <oddFooter>&amp;LSee Notes to Financial Statements</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showGridLines="0" topLeftCell="A10" zoomScale="110" zoomScaleNormal="110" workbookViewId="0">
      <selection activeCell="K36" sqref="K36"/>
    </sheetView>
  </sheetViews>
  <sheetFormatPr defaultColWidth="9.140625" defaultRowHeight="12.75" x14ac:dyDescent="0.2"/>
  <cols>
    <col min="1" max="1" width="1.5703125" style="317" customWidth="1"/>
    <col min="2" max="2" width="14.7109375" style="317" customWidth="1"/>
    <col min="3" max="3" width="40.7109375" style="317" customWidth="1"/>
    <col min="4" max="4" width="2.85546875" style="317" customWidth="1"/>
    <col min="5" max="5" width="42.28515625" style="317" customWidth="1"/>
    <col min="6" max="6" width="8.140625" style="317" customWidth="1"/>
    <col min="7" max="10" width="9.140625" style="317"/>
    <col min="11" max="11" width="6.7109375" style="317" customWidth="1"/>
    <col min="12" max="16384" width="9.140625" style="317"/>
  </cols>
  <sheetData>
    <row r="1" spans="1:6" s="1281" customFormat="1" ht="12.75" customHeight="1" x14ac:dyDescent="0.2">
      <c r="B1" s="2486" t="str">
        <f>'Single Audit Cover'!A7</f>
        <v>Jersey CUSD 100</v>
      </c>
      <c r="C1" s="2486"/>
      <c r="D1" s="2486"/>
      <c r="E1" s="2486"/>
      <c r="F1" s="1489"/>
    </row>
    <row r="2" spans="1:6" s="1281" customFormat="1" ht="12.75" customHeight="1" x14ac:dyDescent="0.2">
      <c r="B2" s="2488">
        <f>'Single Audit Cover'!E7</f>
        <v>40042100026</v>
      </c>
      <c r="C2" s="2488"/>
      <c r="D2" s="2488"/>
      <c r="E2" s="2488"/>
      <c r="F2" s="1490"/>
    </row>
    <row r="3" spans="1:6" ht="12.75" customHeight="1" x14ac:dyDescent="0.2">
      <c r="B3" s="2502" t="s">
        <v>1865</v>
      </c>
      <c r="C3" s="2502"/>
      <c r="D3" s="2502"/>
      <c r="E3" s="2502"/>
      <c r="F3" s="1273"/>
    </row>
    <row r="4" spans="1:6" s="1281" customFormat="1" ht="12.75" customHeight="1" x14ac:dyDescent="0.2">
      <c r="B4" s="2513" t="str">
        <f>'Single Audit Cover'!A4</f>
        <v>Year Ending June 30, 2018</v>
      </c>
      <c r="C4" s="2513"/>
      <c r="D4" s="2513"/>
      <c r="E4" s="2513"/>
      <c r="F4" s="1491"/>
    </row>
    <row r="5" spans="1:6" s="1281" customFormat="1" ht="40.15" customHeight="1" x14ac:dyDescent="0.2">
      <c r="B5" s="1492" t="s">
        <v>1866</v>
      </c>
      <c r="C5" s="328"/>
      <c r="D5" s="328"/>
      <c r="E5" s="328"/>
      <c r="F5" s="328"/>
    </row>
    <row r="6" spans="1:6" s="1281" customFormat="1" ht="13.5" customHeight="1" x14ac:dyDescent="0.2">
      <c r="B6" s="1493" t="s">
        <v>1381</v>
      </c>
      <c r="C6" s="1493" t="s">
        <v>1380</v>
      </c>
      <c r="D6" s="1493"/>
      <c r="E6" s="1493" t="s">
        <v>1867</v>
      </c>
    </row>
    <row r="7" spans="1:6" ht="80.25" customHeight="1" x14ac:dyDescent="0.2">
      <c r="B7" s="1952" t="s">
        <v>2281</v>
      </c>
      <c r="C7" s="1951" t="s">
        <v>2201</v>
      </c>
      <c r="D7" s="1951"/>
      <c r="E7" s="1951" t="s">
        <v>2282</v>
      </c>
      <c r="F7" s="324"/>
    </row>
    <row r="8" spans="1:6" x14ac:dyDescent="0.2">
      <c r="B8" s="1952"/>
      <c r="C8" s="1951"/>
      <c r="D8" s="1951"/>
      <c r="E8" s="1951"/>
      <c r="F8" s="324"/>
    </row>
    <row r="9" spans="1:6" ht="68.25" customHeight="1" x14ac:dyDescent="0.2">
      <c r="A9" s="1396"/>
      <c r="B9" s="1952" t="s">
        <v>2283</v>
      </c>
      <c r="C9" s="1951" t="s">
        <v>2205</v>
      </c>
      <c r="D9" s="324"/>
      <c r="E9" s="1951" t="s">
        <v>2284</v>
      </c>
      <c r="F9" s="324"/>
    </row>
    <row r="10" spans="1:6" x14ac:dyDescent="0.2">
      <c r="A10" s="1396"/>
      <c r="B10" s="1952"/>
      <c r="C10" s="1951"/>
      <c r="D10" s="324"/>
      <c r="E10" s="1951"/>
      <c r="F10" s="324"/>
    </row>
    <row r="11" spans="1:6" ht="36" customHeight="1" x14ac:dyDescent="0.2">
      <c r="B11" s="1953" t="s">
        <v>2285</v>
      </c>
      <c r="C11" s="1951" t="s">
        <v>2286</v>
      </c>
      <c r="D11" s="323"/>
      <c r="E11" s="1951" t="s">
        <v>2287</v>
      </c>
      <c r="F11" s="323"/>
    </row>
    <row r="12" spans="1:6" x14ac:dyDescent="0.2">
      <c r="B12" s="1953"/>
      <c r="C12" s="1951"/>
      <c r="D12" s="323"/>
      <c r="E12" s="1951"/>
      <c r="F12" s="323"/>
    </row>
    <row r="13" spans="1:6" ht="81" customHeight="1" x14ac:dyDescent="0.2">
      <c r="B13" s="1952" t="s">
        <v>2288</v>
      </c>
      <c r="C13" s="1951" t="s">
        <v>2291</v>
      </c>
      <c r="D13" s="323"/>
      <c r="E13" s="1951" t="s">
        <v>2292</v>
      </c>
      <c r="F13" s="323"/>
    </row>
    <row r="14" spans="1:6" x14ac:dyDescent="0.2">
      <c r="B14" s="1952"/>
      <c r="C14" s="1951"/>
      <c r="D14" s="323"/>
      <c r="E14" s="1951"/>
      <c r="F14" s="323"/>
    </row>
    <row r="15" spans="1:6" ht="84.75" customHeight="1" x14ac:dyDescent="0.2">
      <c r="B15" s="1952" t="s">
        <v>2289</v>
      </c>
      <c r="C15" s="1951" t="s">
        <v>2293</v>
      </c>
      <c r="D15" s="323"/>
      <c r="E15" s="1951" t="s">
        <v>2294</v>
      </c>
      <c r="F15" s="323"/>
    </row>
    <row r="16" spans="1:6" x14ac:dyDescent="0.2">
      <c r="B16" s="1952"/>
      <c r="C16" s="1951"/>
      <c r="D16" s="323"/>
      <c r="E16" s="1951"/>
      <c r="F16" s="323"/>
    </row>
    <row r="17" spans="2:6" ht="95.25" customHeight="1" x14ac:dyDescent="0.2">
      <c r="B17" s="1952" t="s">
        <v>2290</v>
      </c>
      <c r="C17" s="1951" t="s">
        <v>2295</v>
      </c>
      <c r="D17" s="323"/>
      <c r="E17" s="1951" t="s">
        <v>2294</v>
      </c>
      <c r="F17" s="323"/>
    </row>
    <row r="18" spans="2:6" ht="12.75" customHeight="1" x14ac:dyDescent="0.2">
      <c r="B18" s="1494"/>
      <c r="C18" s="1495"/>
      <c r="D18" s="1495"/>
      <c r="E18" s="1495"/>
      <c r="F18" s="323"/>
    </row>
    <row r="19" spans="2:6" ht="12.2" customHeight="1" x14ac:dyDescent="0.2">
      <c r="B19" s="1256" t="s">
        <v>1379</v>
      </c>
      <c r="C19" s="322"/>
      <c r="D19" s="322"/>
    </row>
    <row r="20" spans="2:6" ht="12.2" customHeight="1" x14ac:dyDescent="0.2">
      <c r="B20" s="1496" t="s">
        <v>1868</v>
      </c>
    </row>
    <row r="21" spans="2:6" ht="12.2" customHeight="1" x14ac:dyDescent="0.2">
      <c r="B21" s="1496" t="s">
        <v>1869</v>
      </c>
    </row>
    <row r="22" spans="2:6" ht="12.2" customHeight="1" x14ac:dyDescent="0.2">
      <c r="B22" s="1497" t="s">
        <v>1378</v>
      </c>
    </row>
    <row r="23" spans="2:6" ht="12.2" customHeight="1" x14ac:dyDescent="0.2">
      <c r="B23" s="1497" t="s">
        <v>1377</v>
      </c>
    </row>
    <row r="24" spans="2:6" ht="12.2" customHeight="1" x14ac:dyDescent="0.2">
      <c r="B24" s="1497" t="s">
        <v>1376</v>
      </c>
    </row>
    <row r="25" spans="2:6" ht="12.2" customHeight="1" x14ac:dyDescent="0.2">
      <c r="B25" s="1497" t="s">
        <v>1375</v>
      </c>
    </row>
    <row r="28" spans="2:6" ht="12.75" customHeight="1" x14ac:dyDescent="0.2"/>
    <row r="29" spans="2:6" ht="12.75" customHeight="1" x14ac:dyDescent="0.2">
      <c r="B29" s="1266"/>
    </row>
    <row r="30" spans="2:6" ht="12.75" customHeight="1" x14ac:dyDescent="0.2"/>
    <row r="31" spans="2:6" ht="12.75" customHeight="1" x14ac:dyDescent="0.2">
      <c r="B31" s="322"/>
      <c r="C31" s="322"/>
      <c r="D31" s="322"/>
      <c r="E31" s="322"/>
      <c r="F31" s="322"/>
    </row>
    <row r="32" spans="2:6" ht="12.75" customHeight="1" x14ac:dyDescent="0.2">
      <c r="B32" s="322"/>
      <c r="C32" s="322"/>
      <c r="D32" s="322"/>
      <c r="E32" s="322"/>
      <c r="F32" s="322"/>
    </row>
    <row r="33" spans="2:6" ht="12.75" customHeight="1" x14ac:dyDescent="0.2">
      <c r="B33" s="322"/>
      <c r="C33" s="322"/>
      <c r="D33" s="322"/>
      <c r="E33" s="322"/>
      <c r="F33" s="322"/>
    </row>
    <row r="34" spans="2:6" ht="12.75" customHeight="1" x14ac:dyDescent="0.2">
      <c r="B34" s="322"/>
      <c r="C34" s="322"/>
      <c r="D34" s="322"/>
      <c r="E34" s="322"/>
      <c r="F34" s="322"/>
    </row>
    <row r="35" spans="2:6" ht="12.75" customHeight="1" x14ac:dyDescent="0.2">
      <c r="B35" s="322"/>
      <c r="C35" s="322"/>
      <c r="D35" s="322"/>
      <c r="E35" s="322"/>
      <c r="F35" s="322"/>
    </row>
    <row r="36" spans="2:6" ht="12.75" customHeight="1" x14ac:dyDescent="0.2">
      <c r="B36" s="322"/>
      <c r="C36" s="322"/>
      <c r="D36" s="322"/>
      <c r="E36" s="322"/>
      <c r="F36" s="322"/>
    </row>
    <row r="37" spans="2:6" ht="12.75" customHeight="1" x14ac:dyDescent="0.2">
      <c r="B37" s="322"/>
      <c r="C37" s="322"/>
      <c r="D37" s="322"/>
      <c r="E37" s="322"/>
      <c r="F37" s="322"/>
    </row>
    <row r="38" spans="2:6" ht="12.75" customHeight="1" x14ac:dyDescent="0.2">
      <c r="B38" s="322"/>
      <c r="C38" s="322"/>
      <c r="D38" s="322"/>
      <c r="E38" s="322"/>
      <c r="F38" s="322"/>
    </row>
    <row r="42" spans="2:6" x14ac:dyDescent="0.2">
      <c r="B42" s="1417"/>
    </row>
    <row r="43" spans="2:6" x14ac:dyDescent="0.2">
      <c r="B43" s="1298"/>
    </row>
    <row r="44" spans="2:6" x14ac:dyDescent="0.2">
      <c r="B44" s="1298"/>
    </row>
    <row r="45" spans="2:6" x14ac:dyDescent="0.2">
      <c r="B45" s="1418"/>
    </row>
    <row r="46" spans="2:6" x14ac:dyDescent="0.2">
      <c r="B46" s="1418"/>
    </row>
    <row r="47" spans="2:6" x14ac:dyDescent="0.2">
      <c r="B47" s="1418"/>
    </row>
    <row r="48" spans="2:6" x14ac:dyDescent="0.2">
      <c r="B48" s="1298"/>
    </row>
  </sheetData>
  <mergeCells count="4">
    <mergeCell ref="B1:E1"/>
    <mergeCell ref="B2:E2"/>
    <mergeCell ref="B3:E3"/>
    <mergeCell ref="B4:E4"/>
  </mergeCells>
  <pageMargins left="0.32" right="0.27" top="0.52" bottom="0.57999999999999996" header="0.26" footer="0.26"/>
  <pageSetup firstPageNumber="43" orientation="portrait" useFirstPageNumber="1" r:id="rId1"/>
  <headerFooter>
    <oddHeader>&amp;L&amp;8Page 45&amp;R&amp;8Page 45</oddHeader>
    <oddFooter>&amp;LSee Notes to Financial Statements</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Normal="100" workbookViewId="0">
      <pane xSplit="1" topLeftCell="B1" activePane="topRight" state="frozen"/>
      <selection pane="topRight" activeCell="G46" sqref="G46"/>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31" t="s">
        <v>1573</v>
      </c>
      <c r="B1" s="452"/>
      <c r="C1" s="453" t="s">
        <v>444</v>
      </c>
      <c r="D1" s="453" t="s">
        <v>445</v>
      </c>
      <c r="E1" s="453" t="s">
        <v>446</v>
      </c>
      <c r="F1" s="453" t="s">
        <v>447</v>
      </c>
      <c r="G1" s="453" t="s">
        <v>448</v>
      </c>
      <c r="H1" s="453" t="s">
        <v>449</v>
      </c>
      <c r="I1" s="453" t="s">
        <v>450</v>
      </c>
      <c r="J1" s="453" t="s">
        <v>451</v>
      </c>
      <c r="K1" s="453" t="s">
        <v>779</v>
      </c>
      <c r="L1" s="454"/>
      <c r="M1" s="455" t="s">
        <v>591</v>
      </c>
      <c r="N1" s="456"/>
    </row>
    <row r="2" spans="1:14" s="347" customFormat="1" ht="33.75" x14ac:dyDescent="0.2">
      <c r="A2" s="2132"/>
      <c r="B2" s="458" t="s">
        <v>946</v>
      </c>
      <c r="C2" s="459" t="s">
        <v>1216</v>
      </c>
      <c r="D2" s="459" t="s">
        <v>924</v>
      </c>
      <c r="E2" s="459" t="s">
        <v>457</v>
      </c>
      <c r="F2" s="459" t="s">
        <v>157</v>
      </c>
      <c r="G2" s="459" t="s">
        <v>1006</v>
      </c>
      <c r="H2" s="459" t="s">
        <v>456</v>
      </c>
      <c r="I2" s="459" t="s">
        <v>426</v>
      </c>
      <c r="J2" s="459" t="s">
        <v>455</v>
      </c>
      <c r="K2" s="459" t="s">
        <v>159</v>
      </c>
      <c r="L2" s="460" t="s">
        <v>554</v>
      </c>
      <c r="M2" s="461" t="s">
        <v>605</v>
      </c>
      <c r="N2" s="462" t="s">
        <v>555</v>
      </c>
    </row>
    <row r="3" spans="1:14" s="347" customFormat="1" ht="18" customHeight="1" x14ac:dyDescent="0.2">
      <c r="A3" s="2133" t="s">
        <v>1029</v>
      </c>
      <c r="B3" s="2134"/>
      <c r="C3" s="1572"/>
      <c r="D3" s="1573"/>
      <c r="E3" s="1573"/>
      <c r="F3" s="1573"/>
      <c r="G3" s="1573"/>
      <c r="H3" s="1573"/>
      <c r="I3" s="1573"/>
      <c r="J3" s="1573"/>
      <c r="K3" s="1573"/>
      <c r="L3" s="1573"/>
      <c r="M3" s="1574"/>
      <c r="N3" s="1575"/>
    </row>
    <row r="4" spans="1:14" ht="13.5" customHeight="1" x14ac:dyDescent="0.2">
      <c r="A4" s="463" t="s">
        <v>1749</v>
      </c>
      <c r="B4" s="464"/>
      <c r="C4" s="465">
        <v>3904100</v>
      </c>
      <c r="D4" s="466">
        <v>303624</v>
      </c>
      <c r="E4" s="466">
        <v>261849</v>
      </c>
      <c r="F4" s="466">
        <v>1215649</v>
      </c>
      <c r="G4" s="466">
        <v>1650344</v>
      </c>
      <c r="H4" s="466">
        <v>6365950</v>
      </c>
      <c r="I4" s="466">
        <v>604438</v>
      </c>
      <c r="J4" s="467">
        <v>1135845</v>
      </c>
      <c r="K4" s="466">
        <v>6253921</v>
      </c>
      <c r="L4" s="466">
        <v>376254</v>
      </c>
      <c r="M4" s="468"/>
      <c r="N4" s="469"/>
    </row>
    <row r="5" spans="1:14" x14ac:dyDescent="0.2">
      <c r="A5" s="463" t="s">
        <v>1048</v>
      </c>
      <c r="B5" s="470">
        <v>120</v>
      </c>
      <c r="C5" s="465"/>
      <c r="D5" s="466"/>
      <c r="E5" s="466">
        <v>595099</v>
      </c>
      <c r="F5" s="466"/>
      <c r="G5" s="466"/>
      <c r="H5" s="466"/>
      <c r="I5" s="466"/>
      <c r="J5" s="467"/>
      <c r="K5" s="471"/>
      <c r="L5" s="472"/>
      <c r="M5" s="468"/>
      <c r="N5" s="469"/>
    </row>
    <row r="6" spans="1:14" ht="13.5" customHeight="1" x14ac:dyDescent="0.2">
      <c r="A6" s="473" t="s">
        <v>436</v>
      </c>
      <c r="B6" s="470">
        <v>130</v>
      </c>
      <c r="C6" s="465"/>
      <c r="D6" s="466"/>
      <c r="E6" s="466"/>
      <c r="F6" s="466"/>
      <c r="G6" s="471"/>
      <c r="H6" s="471"/>
      <c r="I6" s="466"/>
      <c r="J6" s="474"/>
      <c r="K6" s="471"/>
      <c r="L6" s="475"/>
      <c r="M6" s="468"/>
      <c r="N6" s="469"/>
    </row>
    <row r="7" spans="1:14" ht="13.5" customHeight="1" x14ac:dyDescent="0.2">
      <c r="A7" s="473" t="s">
        <v>437</v>
      </c>
      <c r="B7" s="470">
        <v>140</v>
      </c>
      <c r="C7" s="476"/>
      <c r="D7" s="467"/>
      <c r="E7" s="467"/>
      <c r="F7" s="467">
        <v>77782</v>
      </c>
      <c r="G7" s="467"/>
      <c r="H7" s="467"/>
      <c r="I7" s="467"/>
      <c r="J7" s="467"/>
      <c r="K7" s="467"/>
      <c r="L7" s="477"/>
      <c r="M7" s="468"/>
      <c r="N7" s="469"/>
    </row>
    <row r="8" spans="1:14" ht="13.5" customHeight="1" x14ac:dyDescent="0.2">
      <c r="A8" s="473" t="s">
        <v>286</v>
      </c>
      <c r="B8" s="470">
        <v>150</v>
      </c>
      <c r="C8" s="476"/>
      <c r="D8" s="467"/>
      <c r="E8" s="467"/>
      <c r="F8" s="467"/>
      <c r="G8" s="478"/>
      <c r="H8" s="467"/>
      <c r="I8" s="474"/>
      <c r="J8" s="474"/>
      <c r="K8" s="479"/>
      <c r="L8" s="480"/>
      <c r="M8" s="468"/>
      <c r="N8" s="469"/>
    </row>
    <row r="9" spans="1:14" ht="13.5" customHeight="1" x14ac:dyDescent="0.2">
      <c r="A9" s="473" t="s">
        <v>287</v>
      </c>
      <c r="B9" s="470">
        <v>160</v>
      </c>
      <c r="C9" s="476"/>
      <c r="D9" s="467"/>
      <c r="E9" s="467"/>
      <c r="F9" s="467"/>
      <c r="G9" s="467"/>
      <c r="H9" s="478"/>
      <c r="I9" s="467"/>
      <c r="J9" s="467"/>
      <c r="K9" s="467"/>
      <c r="L9" s="467"/>
      <c r="M9" s="468"/>
      <c r="N9" s="469"/>
    </row>
    <row r="10" spans="1:14" ht="13.5" customHeight="1" x14ac:dyDescent="0.2">
      <c r="A10" s="473" t="s">
        <v>1047</v>
      </c>
      <c r="B10" s="470">
        <v>170</v>
      </c>
      <c r="C10" s="465"/>
      <c r="D10" s="466"/>
      <c r="E10" s="467"/>
      <c r="F10" s="466"/>
      <c r="G10" s="478"/>
      <c r="H10" s="481"/>
      <c r="I10" s="467"/>
      <c r="J10" s="467"/>
      <c r="K10" s="481"/>
      <c r="L10" s="481"/>
      <c r="M10" s="469"/>
      <c r="N10" s="469"/>
    </row>
    <row r="11" spans="1:14" ht="13.5" customHeight="1" x14ac:dyDescent="0.2">
      <c r="A11" s="473" t="s">
        <v>288</v>
      </c>
      <c r="B11" s="470">
        <v>180</v>
      </c>
      <c r="C11" s="476"/>
      <c r="D11" s="467"/>
      <c r="E11" s="467"/>
      <c r="F11" s="467"/>
      <c r="G11" s="467"/>
      <c r="H11" s="467"/>
      <c r="I11" s="478"/>
      <c r="J11" s="478"/>
      <c r="K11" s="467"/>
      <c r="L11" s="467"/>
      <c r="M11" s="469"/>
      <c r="N11" s="469"/>
    </row>
    <row r="12" spans="1:14" ht="13.5" customHeight="1" x14ac:dyDescent="0.2">
      <c r="A12" s="473" t="s">
        <v>438</v>
      </c>
      <c r="B12" s="470">
        <v>190</v>
      </c>
      <c r="C12" s="465"/>
      <c r="D12" s="466"/>
      <c r="E12" s="466"/>
      <c r="F12" s="466"/>
      <c r="G12" s="466"/>
      <c r="H12" s="466"/>
      <c r="I12" s="466"/>
      <c r="J12" s="467"/>
      <c r="K12" s="466"/>
      <c r="L12" s="466"/>
      <c r="M12" s="469"/>
      <c r="N12" s="469"/>
    </row>
    <row r="13" spans="1:14" ht="13.5" customHeight="1" thickBot="1" x14ac:dyDescent="0.25">
      <c r="A13" s="1747" t="s">
        <v>664</v>
      </c>
      <c r="B13" s="1720"/>
      <c r="C13" s="1748">
        <f>SUM(C4:C12)</f>
        <v>3904100</v>
      </c>
      <c r="D13" s="1748">
        <f t="shared" ref="D13:L13" si="0">SUM(D4:D12)</f>
        <v>303624</v>
      </c>
      <c r="E13" s="1748">
        <f t="shared" si="0"/>
        <v>856948</v>
      </c>
      <c r="F13" s="1748">
        <f t="shared" si="0"/>
        <v>1293431</v>
      </c>
      <c r="G13" s="1748">
        <f t="shared" si="0"/>
        <v>1650344</v>
      </c>
      <c r="H13" s="1748">
        <f t="shared" si="0"/>
        <v>6365950</v>
      </c>
      <c r="I13" s="1748">
        <f t="shared" si="0"/>
        <v>604438</v>
      </c>
      <c r="J13" s="1748">
        <f t="shared" si="0"/>
        <v>1135845</v>
      </c>
      <c r="K13" s="1748">
        <f t="shared" si="0"/>
        <v>6253921</v>
      </c>
      <c r="L13" s="1748">
        <f t="shared" si="0"/>
        <v>376254</v>
      </c>
      <c r="M13" s="468"/>
      <c r="N13" s="469"/>
    </row>
    <row r="14" spans="1:14" ht="18" customHeight="1" thickTop="1" x14ac:dyDescent="0.2">
      <c r="A14" s="2135" t="s">
        <v>149</v>
      </c>
      <c r="B14" s="2136"/>
      <c r="C14" s="1576"/>
      <c r="D14" s="1577"/>
      <c r="E14" s="1577"/>
      <c r="F14" s="1577"/>
      <c r="G14" s="1577"/>
      <c r="H14" s="1577"/>
      <c r="I14" s="1577"/>
      <c r="J14" s="1577"/>
      <c r="K14" s="1577"/>
      <c r="L14" s="1577"/>
      <c r="M14" s="1578"/>
      <c r="N14" s="1579"/>
    </row>
    <row r="15" spans="1:14" s="485" customFormat="1" ht="12.75" customHeight="1" x14ac:dyDescent="0.2">
      <c r="A15" s="482" t="s">
        <v>1467</v>
      </c>
      <c r="B15" s="483">
        <v>210</v>
      </c>
      <c r="C15" s="477"/>
      <c r="D15" s="477"/>
      <c r="E15" s="477"/>
      <c r="F15" s="477"/>
      <c r="G15" s="477"/>
      <c r="H15" s="477"/>
      <c r="I15" s="477"/>
      <c r="J15" s="477"/>
      <c r="K15" s="477"/>
      <c r="L15" s="477"/>
      <c r="M15" s="478"/>
      <c r="N15" s="484"/>
    </row>
    <row r="16" spans="1:14" s="485" customFormat="1" ht="12.75" customHeight="1" x14ac:dyDescent="0.2">
      <c r="A16" s="482" t="s">
        <v>1468</v>
      </c>
      <c r="B16" s="483">
        <v>220</v>
      </c>
      <c r="C16" s="477"/>
      <c r="D16" s="477"/>
      <c r="E16" s="477"/>
      <c r="F16" s="477"/>
      <c r="G16" s="477"/>
      <c r="H16" s="477"/>
      <c r="I16" s="477"/>
      <c r="J16" s="477"/>
      <c r="K16" s="477"/>
      <c r="L16" s="477"/>
      <c r="M16" s="467">
        <v>409131</v>
      </c>
      <c r="N16" s="484"/>
    </row>
    <row r="17" spans="1:14" s="485" customFormat="1" ht="12.75" customHeight="1" x14ac:dyDescent="0.2">
      <c r="A17" s="482" t="s">
        <v>1469</v>
      </c>
      <c r="B17" s="483">
        <v>230</v>
      </c>
      <c r="C17" s="477"/>
      <c r="D17" s="477"/>
      <c r="E17" s="477"/>
      <c r="F17" s="477"/>
      <c r="G17" s="477"/>
      <c r="H17" s="477"/>
      <c r="I17" s="477"/>
      <c r="J17" s="477"/>
      <c r="K17" s="477"/>
      <c r="L17" s="477"/>
      <c r="M17" s="467">
        <v>47369146</v>
      </c>
      <c r="N17" s="484"/>
    </row>
    <row r="18" spans="1:14" s="485" customFormat="1" ht="12.75" customHeight="1" x14ac:dyDescent="0.2">
      <c r="A18" s="482" t="s">
        <v>1470</v>
      </c>
      <c r="B18" s="483">
        <v>240</v>
      </c>
      <c r="C18" s="477"/>
      <c r="D18" s="477"/>
      <c r="E18" s="477"/>
      <c r="F18" s="477"/>
      <c r="G18" s="477"/>
      <c r="H18" s="477"/>
      <c r="I18" s="477"/>
      <c r="J18" s="477"/>
      <c r="K18" s="477"/>
      <c r="L18" s="477"/>
      <c r="M18" s="467">
        <v>1362339</v>
      </c>
      <c r="N18" s="484"/>
    </row>
    <row r="19" spans="1:14" s="485" customFormat="1" ht="12.75" customHeight="1" x14ac:dyDescent="0.2">
      <c r="A19" s="482" t="s">
        <v>1471</v>
      </c>
      <c r="B19" s="483">
        <v>250</v>
      </c>
      <c r="C19" s="477"/>
      <c r="D19" s="477"/>
      <c r="E19" s="477"/>
      <c r="F19" s="477"/>
      <c r="G19" s="477"/>
      <c r="H19" s="477"/>
      <c r="I19" s="477"/>
      <c r="J19" s="477"/>
      <c r="K19" s="477"/>
      <c r="L19" s="477"/>
      <c r="M19" s="467">
        <v>9513119</v>
      </c>
      <c r="N19" s="484"/>
    </row>
    <row r="20" spans="1:14" s="485" customFormat="1" ht="12.75" customHeight="1" x14ac:dyDescent="0.2">
      <c r="A20" s="482" t="s">
        <v>1472</v>
      </c>
      <c r="B20" s="483">
        <v>260</v>
      </c>
      <c r="C20" s="477"/>
      <c r="D20" s="477"/>
      <c r="E20" s="477"/>
      <c r="F20" s="477"/>
      <c r="G20" s="477"/>
      <c r="H20" s="477"/>
      <c r="I20" s="477"/>
      <c r="J20" s="477"/>
      <c r="K20" s="477"/>
      <c r="L20" s="477"/>
      <c r="M20" s="467">
        <v>1960720</v>
      </c>
      <c r="N20" s="484"/>
    </row>
    <row r="21" spans="1:14" s="485" customFormat="1" ht="12.75" customHeight="1" x14ac:dyDescent="0.2">
      <c r="A21" s="482" t="s">
        <v>1473</v>
      </c>
      <c r="B21" s="483">
        <v>340</v>
      </c>
      <c r="C21" s="477"/>
      <c r="D21" s="477"/>
      <c r="E21" s="477"/>
      <c r="F21" s="477"/>
      <c r="G21" s="477"/>
      <c r="H21" s="477"/>
      <c r="I21" s="477"/>
      <c r="J21" s="477"/>
      <c r="K21" s="477"/>
      <c r="L21" s="477"/>
      <c r="M21" s="486"/>
      <c r="N21" s="467">
        <v>856948</v>
      </c>
    </row>
    <row r="22" spans="1:14" s="485" customFormat="1" ht="12.75" customHeight="1" x14ac:dyDescent="0.2">
      <c r="A22" s="482" t="s">
        <v>1474</v>
      </c>
      <c r="B22" s="483">
        <v>350</v>
      </c>
      <c r="C22" s="477"/>
      <c r="D22" s="477"/>
      <c r="E22" s="477"/>
      <c r="F22" s="477"/>
      <c r="G22" s="477"/>
      <c r="H22" s="477"/>
      <c r="I22" s="477"/>
      <c r="J22" s="477"/>
      <c r="K22" s="477"/>
      <c r="L22" s="477"/>
      <c r="M22" s="486"/>
      <c r="N22" s="487">
        <f>'Short-Term Long-Term Debt 24'!J49</f>
        <v>25421749</v>
      </c>
    </row>
    <row r="23" spans="1:14" ht="13.5" customHeight="1" thickBot="1" x14ac:dyDescent="0.25">
      <c r="A23" s="1747" t="s">
        <v>663</v>
      </c>
      <c r="B23" s="1752"/>
      <c r="C23" s="468"/>
      <c r="D23" s="468"/>
      <c r="E23" s="468"/>
      <c r="F23" s="468"/>
      <c r="G23" s="468"/>
      <c r="H23" s="468"/>
      <c r="I23" s="468"/>
      <c r="J23" s="468"/>
      <c r="K23" s="468"/>
      <c r="L23" s="468"/>
      <c r="M23" s="1699">
        <f>SUM(M15:M22)</f>
        <v>60614455</v>
      </c>
      <c r="N23" s="1699">
        <f>SUM(N21:N22)</f>
        <v>26278697</v>
      </c>
    </row>
    <row r="24" spans="1:14" ht="18" customHeight="1" thickTop="1" x14ac:dyDescent="0.2">
      <c r="A24" s="2137" t="s">
        <v>618</v>
      </c>
      <c r="B24" s="2138"/>
      <c r="C24" s="1581"/>
      <c r="D24" s="1578"/>
      <c r="E24" s="1578"/>
      <c r="F24" s="1578"/>
      <c r="G24" s="1578"/>
      <c r="H24" s="1578"/>
      <c r="I24" s="1578"/>
      <c r="J24" s="1578"/>
      <c r="K24" s="1578"/>
      <c r="L24" s="1578"/>
      <c r="M24" s="1577"/>
      <c r="N24" s="1582"/>
    </row>
    <row r="25" spans="1:14" x14ac:dyDescent="0.2">
      <c r="A25" s="473" t="s">
        <v>665</v>
      </c>
      <c r="B25" s="470">
        <v>410</v>
      </c>
      <c r="C25" s="478">
        <v>77782</v>
      </c>
      <c r="D25" s="478"/>
      <c r="E25" s="478"/>
      <c r="F25" s="478"/>
      <c r="G25" s="478"/>
      <c r="H25" s="479"/>
      <c r="I25" s="468"/>
      <c r="J25" s="478"/>
      <c r="K25" s="478"/>
      <c r="L25" s="468"/>
      <c r="M25" s="468"/>
      <c r="N25" s="468"/>
    </row>
    <row r="26" spans="1:14" x14ac:dyDescent="0.2">
      <c r="A26" s="473" t="s">
        <v>666</v>
      </c>
      <c r="B26" s="470">
        <v>420</v>
      </c>
      <c r="C26" s="467"/>
      <c r="D26" s="467"/>
      <c r="E26" s="467"/>
      <c r="F26" s="467"/>
      <c r="G26" s="467"/>
      <c r="H26" s="467"/>
      <c r="I26" s="467"/>
      <c r="J26" s="474"/>
      <c r="K26" s="467"/>
      <c r="L26" s="468"/>
      <c r="M26" s="468"/>
      <c r="N26" s="468"/>
    </row>
    <row r="27" spans="1:14" ht="13.5" customHeight="1" x14ac:dyDescent="0.2">
      <c r="A27" s="473" t="s">
        <v>667</v>
      </c>
      <c r="B27" s="470">
        <v>430</v>
      </c>
      <c r="C27" s="467"/>
      <c r="D27" s="467"/>
      <c r="E27" s="467"/>
      <c r="F27" s="467"/>
      <c r="G27" s="467"/>
      <c r="H27" s="467"/>
      <c r="I27" s="467"/>
      <c r="J27" s="467"/>
      <c r="K27" s="467"/>
      <c r="L27" s="468"/>
      <c r="M27" s="468"/>
      <c r="N27" s="468"/>
    </row>
    <row r="28" spans="1:14" ht="13.5" customHeight="1" x14ac:dyDescent="0.2">
      <c r="A28" s="473" t="s">
        <v>668</v>
      </c>
      <c r="B28" s="470">
        <v>440</v>
      </c>
      <c r="C28" s="467"/>
      <c r="D28" s="467"/>
      <c r="E28" s="474"/>
      <c r="F28" s="467"/>
      <c r="G28" s="474"/>
      <c r="H28" s="474"/>
      <c r="I28" s="467"/>
      <c r="J28" s="467"/>
      <c r="K28" s="479"/>
      <c r="L28" s="468"/>
      <c r="M28" s="468"/>
      <c r="N28" s="468"/>
    </row>
    <row r="29" spans="1:14" ht="13.5" customHeight="1" x14ac:dyDescent="0.2">
      <c r="A29" s="473" t="s">
        <v>669</v>
      </c>
      <c r="B29" s="470">
        <v>460</v>
      </c>
      <c r="C29" s="488"/>
      <c r="D29" s="489"/>
      <c r="E29" s="474"/>
      <c r="F29" s="467"/>
      <c r="G29" s="474"/>
      <c r="H29" s="474"/>
      <c r="I29" s="474"/>
      <c r="J29" s="474"/>
      <c r="K29" s="467"/>
      <c r="L29" s="468"/>
      <c r="M29" s="468"/>
      <c r="N29" s="468"/>
    </row>
    <row r="30" spans="1:14" ht="13.5" customHeight="1" x14ac:dyDescent="0.2">
      <c r="A30" s="473" t="s">
        <v>670</v>
      </c>
      <c r="B30" s="470">
        <v>470</v>
      </c>
      <c r="C30" s="467"/>
      <c r="D30" s="474"/>
      <c r="E30" s="467"/>
      <c r="F30" s="467"/>
      <c r="G30" s="467"/>
      <c r="H30" s="467"/>
      <c r="I30" s="467"/>
      <c r="J30" s="467"/>
      <c r="K30" s="478"/>
      <c r="L30" s="468"/>
      <c r="M30" s="468"/>
      <c r="N30" s="468"/>
    </row>
    <row r="31" spans="1:14" ht="13.5" customHeight="1" x14ac:dyDescent="0.2">
      <c r="A31" s="473" t="s">
        <v>671</v>
      </c>
      <c r="B31" s="470">
        <v>480</v>
      </c>
      <c r="C31" s="466">
        <v>175070</v>
      </c>
      <c r="D31" s="467"/>
      <c r="E31" s="467"/>
      <c r="F31" s="466"/>
      <c r="G31" s="467"/>
      <c r="H31" s="467"/>
      <c r="I31" s="467"/>
      <c r="J31" s="467"/>
      <c r="K31" s="467"/>
      <c r="L31" s="468"/>
      <c r="M31" s="468"/>
      <c r="N31" s="468"/>
    </row>
    <row r="32" spans="1:14" ht="13.5" customHeight="1" x14ac:dyDescent="0.2">
      <c r="A32" s="490" t="s">
        <v>672</v>
      </c>
      <c r="B32" s="491">
        <v>490</v>
      </c>
      <c r="C32" s="492"/>
      <c r="D32" s="492"/>
      <c r="E32" s="474"/>
      <c r="F32" s="474"/>
      <c r="G32" s="474"/>
      <c r="H32" s="474"/>
      <c r="I32" s="474"/>
      <c r="J32" s="474"/>
      <c r="K32" s="479"/>
      <c r="L32" s="468"/>
      <c r="M32" s="468"/>
      <c r="N32" s="468"/>
    </row>
    <row r="33" spans="1:14" ht="13.5" customHeight="1" x14ac:dyDescent="0.2">
      <c r="A33" s="493" t="s">
        <v>320</v>
      </c>
      <c r="B33" s="491">
        <v>493</v>
      </c>
      <c r="C33" s="467"/>
      <c r="D33" s="467"/>
      <c r="E33" s="467"/>
      <c r="F33" s="467"/>
      <c r="G33" s="467"/>
      <c r="H33" s="467"/>
      <c r="I33" s="467"/>
      <c r="J33" s="467"/>
      <c r="K33" s="467"/>
      <c r="L33" s="467">
        <v>376254</v>
      </c>
      <c r="M33" s="468"/>
      <c r="N33" s="469"/>
    </row>
    <row r="34" spans="1:14" ht="13.5" customHeight="1" thickBot="1" x14ac:dyDescent="0.25">
      <c r="A34" s="1749" t="s">
        <v>674</v>
      </c>
      <c r="B34" s="1750"/>
      <c r="C34" s="1751">
        <f>SUM(C25:C33)</f>
        <v>252852</v>
      </c>
      <c r="D34" s="1751">
        <f t="shared" ref="D34:K34" si="1">SUM(D25:D33)</f>
        <v>0</v>
      </c>
      <c r="E34" s="1751">
        <f t="shared" si="1"/>
        <v>0</v>
      </c>
      <c r="F34" s="1751">
        <f t="shared" si="1"/>
        <v>0</v>
      </c>
      <c r="G34" s="1751">
        <f t="shared" si="1"/>
        <v>0</v>
      </c>
      <c r="H34" s="1751">
        <f t="shared" si="1"/>
        <v>0</v>
      </c>
      <c r="I34" s="1751">
        <f t="shared" si="1"/>
        <v>0</v>
      </c>
      <c r="J34" s="1751">
        <f t="shared" si="1"/>
        <v>0</v>
      </c>
      <c r="K34" s="1751">
        <f t="shared" si="1"/>
        <v>0</v>
      </c>
      <c r="L34" s="1732">
        <f>SUM(L33)</f>
        <v>376254</v>
      </c>
      <c r="M34" s="468"/>
      <c r="N34" s="480"/>
    </row>
    <row r="35" spans="1:14" ht="18" customHeight="1" thickTop="1" x14ac:dyDescent="0.2">
      <c r="A35" s="2139" t="s">
        <v>549</v>
      </c>
      <c r="B35" s="2140"/>
      <c r="C35" s="1583"/>
      <c r="D35" s="1584"/>
      <c r="E35" s="1584"/>
      <c r="F35" s="1584"/>
      <c r="G35" s="1584"/>
      <c r="H35" s="1584"/>
      <c r="I35" s="1584"/>
      <c r="J35" s="1584"/>
      <c r="K35" s="1584"/>
      <c r="L35" s="1584"/>
      <c r="M35" s="1578"/>
      <c r="N35" s="1582"/>
    </row>
    <row r="36" spans="1:14" x14ac:dyDescent="0.2">
      <c r="A36" s="494" t="s">
        <v>1</v>
      </c>
      <c r="B36" s="470">
        <v>511</v>
      </c>
      <c r="C36" s="477"/>
      <c r="D36" s="477"/>
      <c r="E36" s="477"/>
      <c r="F36" s="477"/>
      <c r="G36" s="477"/>
      <c r="H36" s="477"/>
      <c r="I36" s="477"/>
      <c r="J36" s="477"/>
      <c r="K36" s="477"/>
      <c r="L36" s="468"/>
      <c r="M36" s="468"/>
      <c r="N36" s="495">
        <f>'Short-Term Long-Term Debt 24'!I49</f>
        <v>26278697</v>
      </c>
    </row>
    <row r="37" spans="1:14" ht="13.5" thickBot="1" x14ac:dyDescent="0.25">
      <c r="A37" s="1747" t="s">
        <v>673</v>
      </c>
      <c r="B37" s="1752"/>
      <c r="C37" s="477"/>
      <c r="D37" s="477"/>
      <c r="E37" s="477"/>
      <c r="F37" s="477"/>
      <c r="G37" s="477"/>
      <c r="H37" s="477"/>
      <c r="I37" s="477"/>
      <c r="J37" s="477"/>
      <c r="K37" s="477"/>
      <c r="L37" s="480"/>
      <c r="M37" s="468"/>
      <c r="N37" s="1699">
        <f>SUM(N36:N36)</f>
        <v>26278697</v>
      </c>
    </row>
    <row r="38" spans="1:14" s="329" customFormat="1" ht="13.5" customHeight="1" thickTop="1" x14ac:dyDescent="0.2">
      <c r="A38" s="496" t="s">
        <v>439</v>
      </c>
      <c r="B38" s="483">
        <v>714</v>
      </c>
      <c r="C38" s="466"/>
      <c r="D38" s="466"/>
      <c r="E38" s="466"/>
      <c r="F38" s="466"/>
      <c r="G38" s="466"/>
      <c r="H38" s="466">
        <v>5101878</v>
      </c>
      <c r="I38" s="466"/>
      <c r="J38" s="467"/>
      <c r="K38" s="466">
        <v>5452295</v>
      </c>
      <c r="L38" s="481"/>
      <c r="M38" s="497"/>
      <c r="N38" s="497"/>
    </row>
    <row r="39" spans="1:14" s="329" customFormat="1" ht="13.5" customHeight="1" x14ac:dyDescent="0.2">
      <c r="A39" s="496" t="s">
        <v>359</v>
      </c>
      <c r="B39" s="483">
        <v>730</v>
      </c>
      <c r="C39" s="466">
        <v>3651248</v>
      </c>
      <c r="D39" s="466">
        <v>303624</v>
      </c>
      <c r="E39" s="466">
        <v>856948</v>
      </c>
      <c r="F39" s="466">
        <v>1293431</v>
      </c>
      <c r="G39" s="466">
        <v>1650344</v>
      </c>
      <c r="H39" s="466">
        <v>1264072</v>
      </c>
      <c r="I39" s="466">
        <v>604438</v>
      </c>
      <c r="J39" s="467">
        <v>1135845</v>
      </c>
      <c r="K39" s="466">
        <v>801626</v>
      </c>
      <c r="L39" s="466"/>
      <c r="M39" s="497"/>
      <c r="N39" s="497"/>
    </row>
    <row r="40" spans="1:14" s="329" customFormat="1" ht="13.5" customHeight="1" x14ac:dyDescent="0.2">
      <c r="A40" s="498" t="s">
        <v>150</v>
      </c>
      <c r="B40" s="499"/>
      <c r="C40" s="500"/>
      <c r="D40" s="500"/>
      <c r="E40" s="500"/>
      <c r="F40" s="500"/>
      <c r="G40" s="500"/>
      <c r="H40" s="500"/>
      <c r="I40" s="500"/>
      <c r="J40" s="500"/>
      <c r="K40" s="500"/>
      <c r="L40" s="500"/>
      <c r="M40" s="467">
        <v>60614455</v>
      </c>
      <c r="N40" s="497"/>
    </row>
    <row r="41" spans="1:14" ht="13.5" customHeight="1" thickBot="1" x14ac:dyDescent="0.25">
      <c r="A41" s="1747" t="s">
        <v>675</v>
      </c>
      <c r="B41" s="1717"/>
      <c r="C41" s="1699">
        <f>(SUM(C34,C37,C38,C39))</f>
        <v>3904100</v>
      </c>
      <c r="D41" s="1699">
        <f t="shared" ref="D41:L41" si="2">SUM(D34,D37,D38:D39)</f>
        <v>303624</v>
      </c>
      <c r="E41" s="1699">
        <f t="shared" si="2"/>
        <v>856948</v>
      </c>
      <c r="F41" s="1699">
        <f t="shared" si="2"/>
        <v>1293431</v>
      </c>
      <c r="G41" s="1699">
        <f t="shared" si="2"/>
        <v>1650344</v>
      </c>
      <c r="H41" s="1699">
        <f t="shared" si="2"/>
        <v>6365950</v>
      </c>
      <c r="I41" s="1699">
        <f t="shared" si="2"/>
        <v>604438</v>
      </c>
      <c r="J41" s="1699">
        <f t="shared" si="2"/>
        <v>1135845</v>
      </c>
      <c r="K41" s="1699">
        <f t="shared" si="2"/>
        <v>6253921</v>
      </c>
      <c r="L41" s="1699">
        <f t="shared" si="2"/>
        <v>376254</v>
      </c>
      <c r="M41" s="1699">
        <f>SUM(M40)</f>
        <v>60614455</v>
      </c>
      <c r="N41" s="1699">
        <f>SUM(N37)</f>
        <v>26278697</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4" type="noConversion"/>
  <printOptions headings="1" gridLinesSet="0"/>
  <pageMargins left="0.3" right="0.15" top="1" bottom="0.25" header="0.5"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&amp;L&amp;8See Notes to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90" zoomScaleNormal="90" zoomScaleSheetLayoutView="100" workbookViewId="0">
      <pane ySplit="2" topLeftCell="A3" activePane="bottomLeft" state="frozenSplit"/>
      <selection activeCell="A47" sqref="A47"/>
      <selection pane="bottomLeft" activeCell="C15" sqref="C15"/>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49" t="s">
        <v>1750</v>
      </c>
      <c r="B1" s="452"/>
      <c r="C1" s="504" t="s">
        <v>444</v>
      </c>
      <c r="D1" s="504" t="s">
        <v>445</v>
      </c>
      <c r="E1" s="504" t="s">
        <v>446</v>
      </c>
      <c r="F1" s="504" t="s">
        <v>447</v>
      </c>
      <c r="G1" s="504" t="s">
        <v>448</v>
      </c>
      <c r="H1" s="504" t="s">
        <v>449</v>
      </c>
      <c r="I1" s="504" t="s">
        <v>450</v>
      </c>
      <c r="J1" s="504" t="s">
        <v>451</v>
      </c>
      <c r="K1" s="504" t="s">
        <v>779</v>
      </c>
      <c r="L1" s="501"/>
    </row>
    <row r="2" spans="1:13" s="505" customFormat="1" ht="37.5" customHeight="1" x14ac:dyDescent="0.2">
      <c r="A2" s="2150"/>
      <c r="B2" s="458" t="s">
        <v>395</v>
      </c>
      <c r="C2" s="459" t="s">
        <v>1216</v>
      </c>
      <c r="D2" s="459" t="s">
        <v>924</v>
      </c>
      <c r="E2" s="459" t="s">
        <v>457</v>
      </c>
      <c r="F2" s="459" t="s">
        <v>157</v>
      </c>
      <c r="G2" s="459" t="s">
        <v>1045</v>
      </c>
      <c r="H2" s="459" t="s">
        <v>456</v>
      </c>
      <c r="I2" s="459" t="s">
        <v>426</v>
      </c>
      <c r="J2" s="459" t="s">
        <v>455</v>
      </c>
      <c r="K2" s="459" t="s">
        <v>159</v>
      </c>
      <c r="L2" s="502"/>
    </row>
    <row r="3" spans="1:13" s="507" customFormat="1" ht="16.7" customHeight="1" x14ac:dyDescent="0.2">
      <c r="A3" s="2161" t="s">
        <v>1236</v>
      </c>
      <c r="B3" s="2162"/>
      <c r="C3" s="1586"/>
      <c r="D3" s="1587"/>
      <c r="E3" s="1587"/>
      <c r="F3" s="1587"/>
      <c r="G3" s="1587"/>
      <c r="H3" s="1587"/>
      <c r="I3" s="1587"/>
      <c r="J3" s="1587"/>
      <c r="K3" s="1588"/>
      <c r="L3" s="506"/>
    </row>
    <row r="4" spans="1:13" ht="15.75" customHeight="1" x14ac:dyDescent="0.2">
      <c r="A4" s="1942" t="s">
        <v>1578</v>
      </c>
      <c r="B4" s="1943">
        <v>1000</v>
      </c>
      <c r="C4" s="1753">
        <f>'Revenues 9-14'!C109</f>
        <v>6786181</v>
      </c>
      <c r="D4" s="1753">
        <f>'Revenues 9-14'!D109</f>
        <v>1663639</v>
      </c>
      <c r="E4" s="1753">
        <f>'Revenues 9-14'!E109</f>
        <v>3143088</v>
      </c>
      <c r="F4" s="1753">
        <f>'Revenues 9-14'!F109</f>
        <v>1060946</v>
      </c>
      <c r="G4" s="1753">
        <f>'Revenues 9-14'!G109</f>
        <v>1254737</v>
      </c>
      <c r="H4" s="1753">
        <f>'Revenues 9-14'!H109</f>
        <v>1248217</v>
      </c>
      <c r="I4" s="1753">
        <f>'Revenues 9-14'!I109</f>
        <v>152462</v>
      </c>
      <c r="J4" s="1753">
        <f>'Revenues 9-14'!J109</f>
        <v>1495130</v>
      </c>
      <c r="K4" s="1753">
        <f>'Revenues 9-14'!K109</f>
        <v>152566</v>
      </c>
      <c r="L4" s="347"/>
    </row>
    <row r="5" spans="1:13" ht="15.75" customHeight="1" x14ac:dyDescent="0.2">
      <c r="A5" s="1589" t="s">
        <v>1579</v>
      </c>
      <c r="B5" s="1590">
        <v>2000</v>
      </c>
      <c r="C5" s="1754">
        <f>'Revenues 9-14'!C114</f>
        <v>0</v>
      </c>
      <c r="D5" s="1754">
        <f>'Revenues 9-14'!D114</f>
        <v>0</v>
      </c>
      <c r="E5" s="508"/>
      <c r="F5" s="1754">
        <f>'Revenues 9-14'!F114</f>
        <v>0</v>
      </c>
      <c r="G5" s="1754">
        <f>'Revenues 9-14'!G114</f>
        <v>0</v>
      </c>
      <c r="H5" s="509" t="s">
        <v>1230</v>
      </c>
      <c r="I5" s="510" t="s">
        <v>1230</v>
      </c>
      <c r="J5" s="511" t="s">
        <v>1230</v>
      </c>
      <c r="K5" s="512" t="s">
        <v>1230</v>
      </c>
      <c r="L5" s="347"/>
    </row>
    <row r="6" spans="1:13" ht="15.75" customHeight="1" x14ac:dyDescent="0.2">
      <c r="A6" s="1589" t="s">
        <v>1580</v>
      </c>
      <c r="B6" s="1591">
        <v>3000</v>
      </c>
      <c r="C6" s="1754">
        <f>'Revenues 9-14'!C173</f>
        <v>8733720</v>
      </c>
      <c r="D6" s="1754">
        <f>'Revenues 9-14'!D173</f>
        <v>0</v>
      </c>
      <c r="E6" s="1754">
        <f>'Revenues 9-14'!E173</f>
        <v>0</v>
      </c>
      <c r="F6" s="1754">
        <f>'Revenues 9-14'!F173</f>
        <v>1375906</v>
      </c>
      <c r="G6" s="1754">
        <f>'Revenues 9-14'!G173</f>
        <v>0</v>
      </c>
      <c r="H6" s="1754">
        <f>'Revenues 9-14'!H173</f>
        <v>0</v>
      </c>
      <c r="I6" s="1754">
        <f>'Revenues 9-14'!I173</f>
        <v>0</v>
      </c>
      <c r="J6" s="1754">
        <f>'Revenues 9-14'!J173</f>
        <v>0</v>
      </c>
      <c r="K6" s="1754">
        <f>'Revenues 9-14'!K173</f>
        <v>0</v>
      </c>
      <c r="L6" s="347"/>
      <c r="M6" s="513"/>
    </row>
    <row r="7" spans="1:13" ht="15.75" customHeight="1" x14ac:dyDescent="0.2">
      <c r="A7" s="1589" t="s">
        <v>1581</v>
      </c>
      <c r="B7" s="1591">
        <v>4000</v>
      </c>
      <c r="C7" s="1754">
        <f>'Revenues 9-14'!C274</f>
        <v>1776723</v>
      </c>
      <c r="D7" s="1754">
        <f>'Revenues 9-14'!D274</f>
        <v>0</v>
      </c>
      <c r="E7" s="1754">
        <f>'Revenues 9-14'!E274</f>
        <v>0</v>
      </c>
      <c r="F7" s="1754">
        <f>'Revenues 9-14'!F274</f>
        <v>0</v>
      </c>
      <c r="G7" s="1754">
        <f>'Revenues 9-14'!G274</f>
        <v>0</v>
      </c>
      <c r="H7" s="1754">
        <f>'Revenues 9-14'!H274</f>
        <v>0</v>
      </c>
      <c r="I7" s="1754">
        <f>'Revenues 9-14'!I274</f>
        <v>0</v>
      </c>
      <c r="J7" s="1754">
        <f>'Revenues 9-14'!J274</f>
        <v>0</v>
      </c>
      <c r="K7" s="1754">
        <f>'Revenues 9-14'!K274</f>
        <v>0</v>
      </c>
      <c r="L7" s="347"/>
      <c r="M7" s="513"/>
    </row>
    <row r="8" spans="1:13" ht="13.5" thickBot="1" x14ac:dyDescent="0.25">
      <c r="A8" s="1747" t="s">
        <v>1233</v>
      </c>
      <c r="B8" s="1720"/>
      <c r="C8" s="1699">
        <f>SUM(C4:C7)</f>
        <v>17296624</v>
      </c>
      <c r="D8" s="1699">
        <f t="shared" ref="D8:K8" si="0">SUM(D4:D7)</f>
        <v>1663639</v>
      </c>
      <c r="E8" s="1699">
        <f t="shared" si="0"/>
        <v>3143088</v>
      </c>
      <c r="F8" s="1699">
        <f t="shared" si="0"/>
        <v>2436852</v>
      </c>
      <c r="G8" s="1699">
        <f t="shared" si="0"/>
        <v>1254737</v>
      </c>
      <c r="H8" s="1699">
        <f t="shared" si="0"/>
        <v>1248217</v>
      </c>
      <c r="I8" s="1699">
        <f t="shared" si="0"/>
        <v>152462</v>
      </c>
      <c r="J8" s="1699">
        <f t="shared" si="0"/>
        <v>1495130</v>
      </c>
      <c r="K8" s="1699">
        <f t="shared" si="0"/>
        <v>152566</v>
      </c>
      <c r="L8" s="347"/>
    </row>
    <row r="9" spans="1:13" ht="15.75" thickTop="1" x14ac:dyDescent="0.2">
      <c r="A9" s="514" t="s">
        <v>1751</v>
      </c>
      <c r="B9" s="515">
        <v>3998</v>
      </c>
      <c r="C9" s="481">
        <v>5350804</v>
      </c>
      <c r="D9" s="516"/>
      <c r="E9" s="481"/>
      <c r="F9" s="481"/>
      <c r="G9" s="517"/>
      <c r="H9" s="481"/>
      <c r="I9" s="509" t="s">
        <v>1230</v>
      </c>
      <c r="J9" s="478"/>
      <c r="K9" s="481"/>
      <c r="L9" s="347"/>
    </row>
    <row r="10" spans="1:13" s="519" customFormat="1" ht="13.5" thickBot="1" x14ac:dyDescent="0.25">
      <c r="A10" s="1747" t="s">
        <v>1234</v>
      </c>
      <c r="B10" s="1720"/>
      <c r="C10" s="1699">
        <f>SUM(C8:C9)</f>
        <v>22647428</v>
      </c>
      <c r="D10" s="1699">
        <f t="shared" ref="D10:K10" si="1">SUM(D8:D9)</f>
        <v>1663639</v>
      </c>
      <c r="E10" s="1699">
        <f t="shared" si="1"/>
        <v>3143088</v>
      </c>
      <c r="F10" s="1699">
        <f t="shared" si="1"/>
        <v>2436852</v>
      </c>
      <c r="G10" s="1699">
        <f t="shared" si="1"/>
        <v>1254737</v>
      </c>
      <c r="H10" s="1699">
        <f t="shared" si="1"/>
        <v>1248217</v>
      </c>
      <c r="I10" s="1699">
        <f t="shared" si="1"/>
        <v>152462</v>
      </c>
      <c r="J10" s="1699">
        <f t="shared" si="1"/>
        <v>1495130</v>
      </c>
      <c r="K10" s="1699">
        <f t="shared" si="1"/>
        <v>152566</v>
      </c>
      <c r="L10" s="518"/>
    </row>
    <row r="11" spans="1:13" s="519" customFormat="1" ht="16.7" customHeight="1" thickTop="1" x14ac:dyDescent="0.2">
      <c r="A11" s="2135" t="s">
        <v>1237</v>
      </c>
      <c r="B11" s="2136"/>
      <c r="C11" s="1583"/>
      <c r="D11" s="1584"/>
      <c r="E11" s="1584"/>
      <c r="F11" s="1584"/>
      <c r="G11" s="1584"/>
      <c r="H11" s="1584"/>
      <c r="I11" s="1584"/>
      <c r="J11" s="1584"/>
      <c r="K11" s="1585"/>
      <c r="L11" s="518"/>
    </row>
    <row r="12" spans="1:13" ht="15.75" customHeight="1" x14ac:dyDescent="0.2">
      <c r="A12" s="1589" t="s">
        <v>475</v>
      </c>
      <c r="B12" s="1591">
        <v>1000</v>
      </c>
      <c r="C12" s="1753">
        <f>'Expenditures 15-22'!K33</f>
        <v>11518570</v>
      </c>
      <c r="D12" s="520" t="s">
        <v>1230</v>
      </c>
      <c r="E12" s="468" t="s">
        <v>1230</v>
      </c>
      <c r="F12" s="468" t="s">
        <v>1230</v>
      </c>
      <c r="G12" s="1753">
        <f>'Expenditures 15-22'!K229</f>
        <v>332196</v>
      </c>
      <c r="H12" s="521"/>
      <c r="I12" s="468" t="s">
        <v>1230</v>
      </c>
      <c r="J12" s="468" t="s">
        <v>1230</v>
      </c>
      <c r="K12" s="521" t="s">
        <v>1230</v>
      </c>
      <c r="L12" s="347"/>
    </row>
    <row r="13" spans="1:13" ht="15.75" customHeight="1" x14ac:dyDescent="0.2">
      <c r="A13" s="1589" t="s">
        <v>476</v>
      </c>
      <c r="B13" s="1591">
        <v>2000</v>
      </c>
      <c r="C13" s="1754">
        <f>'Expenditures 15-22'!K74</f>
        <v>4370687</v>
      </c>
      <c r="D13" s="1754">
        <f>'Expenditures 15-22'!K129</f>
        <v>1877156</v>
      </c>
      <c r="E13" s="469" t="s">
        <v>1230</v>
      </c>
      <c r="F13" s="1754">
        <f>'Expenditures 15-22'!K184</f>
        <v>1808849</v>
      </c>
      <c r="G13" s="1754">
        <f>'Expenditures 15-22'!K279</f>
        <v>689671</v>
      </c>
      <c r="H13" s="1754">
        <f>'Expenditures 15-22'!K303</f>
        <v>1182033</v>
      </c>
      <c r="I13" s="468" t="s">
        <v>1230</v>
      </c>
      <c r="J13" s="1754">
        <f>'Expenditures 15-22'!K330</f>
        <v>1329763</v>
      </c>
      <c r="K13" s="1758">
        <f>'Expenditures 15-22'!K352</f>
        <v>888645</v>
      </c>
      <c r="L13" s="347"/>
    </row>
    <row r="14" spans="1:13" ht="15.75" customHeight="1" x14ac:dyDescent="0.2">
      <c r="A14" s="1589" t="s">
        <v>468</v>
      </c>
      <c r="B14" s="1591">
        <v>3000</v>
      </c>
      <c r="C14" s="1754">
        <f>'Expenditures 15-22'!K75</f>
        <v>177897</v>
      </c>
      <c r="D14" s="1754">
        <f>'Expenditures 15-22'!K130</f>
        <v>0</v>
      </c>
      <c r="E14" s="520" t="s">
        <v>1230</v>
      </c>
      <c r="F14" s="1754">
        <f>'Expenditures 15-22'!K185</f>
        <v>0</v>
      </c>
      <c r="G14" s="1754">
        <f>'Expenditures 15-22'!K280</f>
        <v>14408</v>
      </c>
      <c r="H14" s="512"/>
      <c r="I14" s="468" t="s">
        <v>1230</v>
      </c>
      <c r="J14" s="468" t="s">
        <v>1230</v>
      </c>
      <c r="K14" s="512" t="s">
        <v>1230</v>
      </c>
      <c r="L14" s="347"/>
    </row>
    <row r="15" spans="1:13" ht="15.75" customHeight="1" x14ac:dyDescent="0.2">
      <c r="A15" s="1589" t="s">
        <v>109</v>
      </c>
      <c r="B15" s="1591">
        <v>4000</v>
      </c>
      <c r="C15" s="1754">
        <f>'Expenditures 15-22'!K102</f>
        <v>571831</v>
      </c>
      <c r="D15" s="1754">
        <f>'Expenditures 15-22'!K139</f>
        <v>0</v>
      </c>
      <c r="E15" s="1754">
        <f>'Expenditures 15-22'!K160</f>
        <v>0</v>
      </c>
      <c r="F15" s="1754">
        <f>'Expenditures 15-22'!K196</f>
        <v>0</v>
      </c>
      <c r="G15" s="1754">
        <f>'Expenditures 15-22'!K285</f>
        <v>0</v>
      </c>
      <c r="H15" s="1754">
        <f>'Expenditures 15-22'!K310</f>
        <v>0</v>
      </c>
      <c r="I15" s="468" t="s">
        <v>1230</v>
      </c>
      <c r="J15" s="1847">
        <f>'Expenditures 15-22'!K334</f>
        <v>0</v>
      </c>
      <c r="K15" s="1754">
        <f>'Expenditures 15-22'!K357</f>
        <v>0</v>
      </c>
      <c r="L15" s="347"/>
    </row>
    <row r="16" spans="1:13" ht="15.75" customHeight="1" x14ac:dyDescent="0.2">
      <c r="A16" s="1589" t="s">
        <v>469</v>
      </c>
      <c r="B16" s="1591">
        <v>5000</v>
      </c>
      <c r="C16" s="1754">
        <f>'Expenditures 15-22'!K112</f>
        <v>0</v>
      </c>
      <c r="D16" s="1754">
        <f>'Expenditures 15-22'!K149</f>
        <v>665</v>
      </c>
      <c r="E16" s="1754">
        <f>'Expenditures 15-22'!K172</f>
        <v>3378560</v>
      </c>
      <c r="F16" s="1754">
        <f>'Expenditures 15-22'!K208</f>
        <v>194372</v>
      </c>
      <c r="G16" s="1754">
        <f>'Expenditures 15-22'!K293</f>
        <v>0</v>
      </c>
      <c r="H16" s="523"/>
      <c r="I16" s="468" t="s">
        <v>1230</v>
      </c>
      <c r="J16" s="1759">
        <f>'Expenditures 15-22'!K340</f>
        <v>0</v>
      </c>
      <c r="K16" s="1754">
        <f>'Expenditures 15-22'!K365</f>
        <v>0</v>
      </c>
      <c r="L16" s="347"/>
    </row>
    <row r="17" spans="1:12" ht="13.5" thickBot="1" x14ac:dyDescent="0.25">
      <c r="A17" s="1719" t="s">
        <v>50</v>
      </c>
      <c r="B17" s="1720"/>
      <c r="C17" s="1699">
        <f t="shared" ref="C17:H17" si="2">SUM(C12:C16)</f>
        <v>16638985</v>
      </c>
      <c r="D17" s="1699">
        <f t="shared" si="2"/>
        <v>1877821</v>
      </c>
      <c r="E17" s="1699">
        <f t="shared" si="2"/>
        <v>3378560</v>
      </c>
      <c r="F17" s="1699">
        <f t="shared" si="2"/>
        <v>2003221</v>
      </c>
      <c r="G17" s="1699">
        <f t="shared" si="2"/>
        <v>1036275</v>
      </c>
      <c r="H17" s="1699">
        <f t="shared" si="2"/>
        <v>1182033</v>
      </c>
      <c r="I17" s="468"/>
      <c r="J17" s="1699">
        <f>SUM(J12:J16)</f>
        <v>1329763</v>
      </c>
      <c r="K17" s="1699">
        <f>SUM(K12:K16)</f>
        <v>888645</v>
      </c>
      <c r="L17" s="347"/>
    </row>
    <row r="18" spans="1:12" ht="15" customHeight="1" thickTop="1" x14ac:dyDescent="0.2">
      <c r="A18" s="1755" t="s">
        <v>1752</v>
      </c>
      <c r="B18" s="1756">
        <v>4180</v>
      </c>
      <c r="C18" s="1753">
        <f t="shared" ref="C18:H18" si="3">C9</f>
        <v>5350804</v>
      </c>
      <c r="D18" s="1753">
        <f t="shared" si="3"/>
        <v>0</v>
      </c>
      <c r="E18" s="1753">
        <f t="shared" si="3"/>
        <v>0</v>
      </c>
      <c r="F18" s="1753">
        <f t="shared" si="3"/>
        <v>0</v>
      </c>
      <c r="G18" s="1753">
        <f t="shared" si="3"/>
        <v>0</v>
      </c>
      <c r="H18" s="1753">
        <f t="shared" si="3"/>
        <v>0</v>
      </c>
      <c r="I18" s="468"/>
      <c r="J18" s="1753">
        <f>J9</f>
        <v>0</v>
      </c>
      <c r="K18" s="1753">
        <f>K9</f>
        <v>0</v>
      </c>
      <c r="L18" s="347"/>
    </row>
    <row r="19" spans="1:12" ht="13.5" thickBot="1" x14ac:dyDescent="0.25">
      <c r="A19" s="1719" t="s">
        <v>525</v>
      </c>
      <c r="B19" s="1720"/>
      <c r="C19" s="1699">
        <f t="shared" ref="C19:H19" si="4">SUM(C17:C18)</f>
        <v>21989789</v>
      </c>
      <c r="D19" s="1699">
        <f t="shared" si="4"/>
        <v>1877821</v>
      </c>
      <c r="E19" s="1699">
        <f t="shared" si="4"/>
        <v>3378560</v>
      </c>
      <c r="F19" s="1699">
        <f t="shared" si="4"/>
        <v>2003221</v>
      </c>
      <c r="G19" s="1699">
        <f t="shared" si="4"/>
        <v>1036275</v>
      </c>
      <c r="H19" s="1699">
        <f t="shared" si="4"/>
        <v>1182033</v>
      </c>
      <c r="I19" s="468"/>
      <c r="J19" s="1699">
        <f>SUM(J17:J18)</f>
        <v>1329763</v>
      </c>
      <c r="K19" s="1699">
        <f>SUM(K17:K18)</f>
        <v>888645</v>
      </c>
      <c r="L19" s="347"/>
    </row>
    <row r="20" spans="1:12" ht="16.5" thickTop="1" thickBot="1" x14ac:dyDescent="0.25">
      <c r="A20" s="2151" t="s">
        <v>1753</v>
      </c>
      <c r="B20" s="2152"/>
      <c r="C20" s="1757">
        <f>C8-C17</f>
        <v>657639</v>
      </c>
      <c r="D20" s="1757">
        <f t="shared" ref="D20:K20" si="5">D8-D17</f>
        <v>-214182</v>
      </c>
      <c r="E20" s="1757">
        <f t="shared" si="5"/>
        <v>-235472</v>
      </c>
      <c r="F20" s="1757">
        <f t="shared" si="5"/>
        <v>433631</v>
      </c>
      <c r="G20" s="1757">
        <f t="shared" si="5"/>
        <v>218462</v>
      </c>
      <c r="H20" s="1757">
        <f t="shared" si="5"/>
        <v>66184</v>
      </c>
      <c r="I20" s="1757">
        <f t="shared" si="5"/>
        <v>152462</v>
      </c>
      <c r="J20" s="1757">
        <f t="shared" si="5"/>
        <v>165367</v>
      </c>
      <c r="K20" s="1757">
        <f t="shared" si="5"/>
        <v>-736079</v>
      </c>
      <c r="L20" s="347"/>
    </row>
    <row r="21" spans="1:12" ht="16.7" customHeight="1" thickTop="1" x14ac:dyDescent="0.2">
      <c r="A21" s="2163" t="s">
        <v>615</v>
      </c>
      <c r="B21" s="2164"/>
      <c r="C21" s="1583"/>
      <c r="D21" s="1584"/>
      <c r="E21" s="1584"/>
      <c r="F21" s="1584"/>
      <c r="G21" s="1584"/>
      <c r="H21" s="1584"/>
      <c r="I21" s="1584"/>
      <c r="J21" s="1584"/>
      <c r="K21" s="1585"/>
      <c r="L21" s="524"/>
    </row>
    <row r="22" spans="1:12" ht="15.75" customHeight="1" collapsed="1" x14ac:dyDescent="0.2">
      <c r="A22" s="2159" t="s">
        <v>616</v>
      </c>
      <c r="B22" s="2160"/>
      <c r="C22" s="477"/>
      <c r="D22" s="477"/>
      <c r="E22" s="477"/>
      <c r="F22" s="477"/>
      <c r="G22" s="477"/>
      <c r="H22" s="477"/>
      <c r="I22" s="477"/>
      <c r="J22" s="477"/>
      <c r="K22" s="477"/>
      <c r="L22" s="347"/>
    </row>
    <row r="23" spans="1:12" s="485" customFormat="1" ht="15.75" customHeight="1" x14ac:dyDescent="0.2">
      <c r="A23" s="2155" t="s">
        <v>310</v>
      </c>
      <c r="B23" s="2156"/>
      <c r="C23" s="480"/>
      <c r="D23" s="477"/>
      <c r="E23" s="477"/>
      <c r="F23" s="477"/>
      <c r="G23" s="477"/>
      <c r="H23" s="477"/>
      <c r="I23" s="477"/>
      <c r="J23" s="477"/>
      <c r="K23" s="477"/>
      <c r="L23" s="524"/>
    </row>
    <row r="24" spans="1:12" s="485" customFormat="1" ht="13.5" customHeight="1" x14ac:dyDescent="0.2">
      <c r="A24" s="1502" t="s">
        <v>1754</v>
      </c>
      <c r="B24" s="525">
        <v>7110</v>
      </c>
      <c r="C24" s="467"/>
      <c r="D24" s="477"/>
      <c r="E24" s="477"/>
      <c r="F24" s="477"/>
      <c r="G24" s="477"/>
      <c r="H24" s="477"/>
      <c r="I24" s="477"/>
      <c r="J24" s="477"/>
      <c r="K24" s="477"/>
      <c r="L24" s="524"/>
    </row>
    <row r="25" spans="1:12" s="485" customFormat="1" ht="13.5" customHeight="1" x14ac:dyDescent="0.2">
      <c r="A25" s="1502" t="s">
        <v>1755</v>
      </c>
      <c r="B25" s="525">
        <v>7110</v>
      </c>
      <c r="C25" s="467"/>
      <c r="D25" s="467"/>
      <c r="E25" s="467"/>
      <c r="F25" s="467"/>
      <c r="G25" s="467"/>
      <c r="H25" s="467"/>
      <c r="I25" s="477"/>
      <c r="J25" s="467"/>
      <c r="K25" s="467"/>
      <c r="L25" s="524"/>
    </row>
    <row r="26" spans="1:12" s="485" customFormat="1" ht="13.5" customHeight="1" x14ac:dyDescent="0.2">
      <c r="A26" s="1502" t="s">
        <v>193</v>
      </c>
      <c r="B26" s="483">
        <v>7120</v>
      </c>
      <c r="C26" s="467"/>
      <c r="D26" s="467"/>
      <c r="E26" s="467"/>
      <c r="F26" s="467"/>
      <c r="G26" s="467"/>
      <c r="H26" s="467"/>
      <c r="I26" s="477"/>
      <c r="J26" s="467"/>
      <c r="K26" s="467"/>
      <c r="L26" s="524"/>
    </row>
    <row r="27" spans="1:12" s="485" customFormat="1" ht="13.5" customHeight="1" x14ac:dyDescent="0.2">
      <c r="A27" s="1502" t="s">
        <v>194</v>
      </c>
      <c r="B27" s="483">
        <v>7130</v>
      </c>
      <c r="C27" s="467"/>
      <c r="D27" s="467"/>
      <c r="E27" s="526"/>
      <c r="F27" s="467"/>
      <c r="G27" s="480"/>
      <c r="H27" s="480"/>
      <c r="I27" s="480"/>
      <c r="J27" s="480"/>
      <c r="K27" s="480"/>
      <c r="L27" s="524"/>
    </row>
    <row r="28" spans="1:12" s="485" customFormat="1" ht="13.5" customHeight="1" x14ac:dyDescent="0.2">
      <c r="A28" s="1502" t="s">
        <v>1464</v>
      </c>
      <c r="B28" s="483">
        <v>7140</v>
      </c>
      <c r="C28" s="467"/>
      <c r="D28" s="467"/>
      <c r="E28" s="467"/>
      <c r="F28" s="467"/>
      <c r="G28" s="467"/>
      <c r="H28" s="467"/>
      <c r="I28" s="467"/>
      <c r="J28" s="467"/>
      <c r="K28" s="467"/>
      <c r="L28" s="524"/>
    </row>
    <row r="29" spans="1:12" s="485" customFormat="1" ht="13.5" customHeight="1" x14ac:dyDescent="0.2">
      <c r="A29" s="1502" t="s">
        <v>311</v>
      </c>
      <c r="B29" s="483">
        <v>7150</v>
      </c>
      <c r="C29" s="475"/>
      <c r="D29" s="467"/>
      <c r="E29" s="475"/>
      <c r="F29" s="475"/>
      <c r="G29" s="475"/>
      <c r="H29" s="475"/>
      <c r="I29" s="475"/>
      <c r="J29" s="475"/>
      <c r="K29" s="475"/>
      <c r="L29" s="524"/>
    </row>
    <row r="30" spans="1:12" s="485" customFormat="1" ht="26.25" x14ac:dyDescent="0.2">
      <c r="A30" s="1502" t="s">
        <v>1893</v>
      </c>
      <c r="B30" s="527">
        <v>7160</v>
      </c>
      <c r="C30" s="477"/>
      <c r="D30" s="467"/>
      <c r="E30" s="477"/>
      <c r="F30" s="477"/>
      <c r="G30" s="477"/>
      <c r="H30" s="477"/>
      <c r="I30" s="477"/>
      <c r="J30" s="477"/>
      <c r="K30" s="477"/>
      <c r="L30" s="524"/>
    </row>
    <row r="31" spans="1:12" s="485" customFormat="1" ht="26.25" x14ac:dyDescent="0.2">
      <c r="A31" s="1502" t="s">
        <v>1897</v>
      </c>
      <c r="B31" s="527">
        <v>7170</v>
      </c>
      <c r="C31" s="477"/>
      <c r="D31" s="477"/>
      <c r="E31" s="474"/>
      <c r="F31" s="477"/>
      <c r="G31" s="477"/>
      <c r="H31" s="477"/>
      <c r="I31" s="477"/>
      <c r="J31" s="477"/>
      <c r="K31" s="477"/>
      <c r="L31" s="524"/>
    </row>
    <row r="32" spans="1:12" s="485" customFormat="1" ht="15.75" customHeight="1" x14ac:dyDescent="0.2">
      <c r="A32" s="2157" t="s">
        <v>1037</v>
      </c>
      <c r="B32" s="2158"/>
      <c r="C32" s="477"/>
      <c r="D32" s="477"/>
      <c r="E32" s="475"/>
      <c r="F32" s="477"/>
      <c r="G32" s="477"/>
      <c r="H32" s="477"/>
      <c r="I32" s="477"/>
      <c r="J32" s="477"/>
      <c r="K32" s="477"/>
      <c r="L32" s="524"/>
    </row>
    <row r="33" spans="1:12" s="485" customFormat="1" x14ac:dyDescent="0.2">
      <c r="A33" s="1502" t="s">
        <v>431</v>
      </c>
      <c r="B33" s="525">
        <v>7210</v>
      </c>
      <c r="C33" s="467"/>
      <c r="D33" s="467"/>
      <c r="E33" s="467"/>
      <c r="F33" s="467"/>
      <c r="G33" s="477"/>
      <c r="H33" s="467">
        <v>5790000</v>
      </c>
      <c r="I33" s="467"/>
      <c r="J33" s="467"/>
      <c r="K33" s="467">
        <v>6335000</v>
      </c>
      <c r="L33" s="524"/>
    </row>
    <row r="34" spans="1:12" s="485" customFormat="1" x14ac:dyDescent="0.2">
      <c r="A34" s="1502" t="s">
        <v>1057</v>
      </c>
      <c r="B34" s="525">
        <v>7220</v>
      </c>
      <c r="C34" s="467"/>
      <c r="D34" s="467"/>
      <c r="E34" s="467"/>
      <c r="F34" s="467"/>
      <c r="G34" s="477"/>
      <c r="H34" s="478">
        <v>496261</v>
      </c>
      <c r="I34" s="478"/>
      <c r="J34" s="478"/>
      <c r="K34" s="478">
        <v>552607</v>
      </c>
      <c r="L34" s="524"/>
    </row>
    <row r="35" spans="1:12" s="485" customFormat="1" x14ac:dyDescent="0.2">
      <c r="A35" s="1502" t="s">
        <v>1046</v>
      </c>
      <c r="B35" s="525">
        <v>7230</v>
      </c>
      <c r="C35" s="467"/>
      <c r="D35" s="467"/>
      <c r="E35" s="467"/>
      <c r="F35" s="467"/>
      <c r="G35" s="480"/>
      <c r="H35" s="467"/>
      <c r="I35" s="467"/>
      <c r="J35" s="467"/>
      <c r="K35" s="467"/>
      <c r="L35" s="524"/>
    </row>
    <row r="36" spans="1:12" s="485" customFormat="1" ht="15" x14ac:dyDescent="0.2">
      <c r="A36" s="1502" t="s">
        <v>1756</v>
      </c>
      <c r="B36" s="525">
        <v>7300</v>
      </c>
      <c r="C36" s="467"/>
      <c r="D36" s="467"/>
      <c r="E36" s="467"/>
      <c r="F36" s="467"/>
      <c r="G36" s="467"/>
      <c r="H36" s="467"/>
      <c r="I36" s="475"/>
      <c r="J36" s="467"/>
      <c r="K36" s="467"/>
      <c r="L36" s="524"/>
    </row>
    <row r="37" spans="1:12" s="485" customFormat="1" x14ac:dyDescent="0.2">
      <c r="A37" s="1502" t="s">
        <v>460</v>
      </c>
      <c r="B37" s="525">
        <v>7400</v>
      </c>
      <c r="C37" s="475"/>
      <c r="D37" s="475"/>
      <c r="E37" s="1754">
        <f>SUM(C54:D57,H54:H57)</f>
        <v>40000</v>
      </c>
      <c r="F37" s="475"/>
      <c r="G37" s="475"/>
      <c r="H37" s="475"/>
      <c r="I37" s="477"/>
      <c r="J37" s="475"/>
      <c r="K37" s="475"/>
      <c r="L37" s="524"/>
    </row>
    <row r="38" spans="1:12" s="485" customFormat="1" x14ac:dyDescent="0.2">
      <c r="A38" s="1502" t="s">
        <v>461</v>
      </c>
      <c r="B38" s="525">
        <v>7500</v>
      </c>
      <c r="C38" s="477"/>
      <c r="D38" s="477"/>
      <c r="E38" s="1754">
        <f>SUM(C58:D61,H58:H61)</f>
        <v>0</v>
      </c>
      <c r="F38" s="477"/>
      <c r="G38" s="477"/>
      <c r="H38" s="477"/>
      <c r="I38" s="477"/>
      <c r="J38" s="477"/>
      <c r="K38" s="477"/>
      <c r="L38" s="524"/>
    </row>
    <row r="39" spans="1:12" s="485" customFormat="1" x14ac:dyDescent="0.2">
      <c r="A39" s="1502" t="s">
        <v>462</v>
      </c>
      <c r="B39" s="525">
        <v>7600</v>
      </c>
      <c r="C39" s="477"/>
      <c r="D39" s="477"/>
      <c r="E39" s="1754">
        <f>SUM(C62:D65)</f>
        <v>0</v>
      </c>
      <c r="F39" s="477"/>
      <c r="G39" s="477"/>
      <c r="H39" s="477"/>
      <c r="I39" s="477"/>
      <c r="J39" s="477"/>
      <c r="K39" s="477"/>
      <c r="L39" s="524"/>
    </row>
    <row r="40" spans="1:12" s="485" customFormat="1" ht="13.5" customHeight="1" x14ac:dyDescent="0.2">
      <c r="A40" s="1502" t="s">
        <v>662</v>
      </c>
      <c r="B40" s="483">
        <v>7700</v>
      </c>
      <c r="C40" s="477"/>
      <c r="D40" s="477"/>
      <c r="E40" s="1754">
        <f>SUM(C66:D69)</f>
        <v>0</v>
      </c>
      <c r="F40" s="477"/>
      <c r="G40" s="477"/>
      <c r="H40" s="480"/>
      <c r="I40" s="477"/>
      <c r="J40" s="477"/>
      <c r="K40" s="477"/>
      <c r="L40" s="524"/>
    </row>
    <row r="41" spans="1:12" s="485" customFormat="1" ht="13.5" customHeight="1" x14ac:dyDescent="0.2">
      <c r="A41" s="1502" t="s">
        <v>660</v>
      </c>
      <c r="B41" s="483">
        <v>7800</v>
      </c>
      <c r="C41" s="480"/>
      <c r="D41" s="480"/>
      <c r="E41" s="526"/>
      <c r="F41" s="480"/>
      <c r="G41" s="480"/>
      <c r="H41" s="1754">
        <f>SUM(C70:D73)</f>
        <v>0</v>
      </c>
      <c r="I41" s="477"/>
      <c r="J41" s="477"/>
      <c r="K41" s="480"/>
      <c r="L41" s="524"/>
    </row>
    <row r="42" spans="1:12" s="485" customFormat="1" ht="13.5" customHeight="1" x14ac:dyDescent="0.2">
      <c r="A42" s="1502" t="s">
        <v>661</v>
      </c>
      <c r="B42" s="483">
        <v>7900</v>
      </c>
      <c r="C42" s="467"/>
      <c r="D42" s="467"/>
      <c r="E42" s="467"/>
      <c r="F42" s="467"/>
      <c r="G42" s="467"/>
      <c r="H42" s="467"/>
      <c r="I42" s="480"/>
      <c r="J42" s="480"/>
      <c r="K42" s="467"/>
      <c r="L42" s="524"/>
    </row>
    <row r="43" spans="1:12" s="485" customFormat="1" ht="13.5" customHeight="1" x14ac:dyDescent="0.2">
      <c r="A43" s="1502" t="s">
        <v>390</v>
      </c>
      <c r="B43" s="483">
        <v>7990</v>
      </c>
      <c r="C43" s="467"/>
      <c r="D43" s="467"/>
      <c r="E43" s="467">
        <v>269731</v>
      </c>
      <c r="F43" s="467"/>
      <c r="G43" s="467"/>
      <c r="H43" s="467"/>
      <c r="I43" s="467"/>
      <c r="J43" s="467"/>
      <c r="K43" s="467"/>
      <c r="L43" s="524"/>
    </row>
    <row r="44" spans="1:12" s="485" customFormat="1" ht="13.5" customHeight="1" thickBot="1" x14ac:dyDescent="0.25">
      <c r="A44" s="2165" t="s">
        <v>391</v>
      </c>
      <c r="B44" s="2166"/>
      <c r="C44" s="1714">
        <f>SUM(C24:C43)</f>
        <v>0</v>
      </c>
      <c r="D44" s="1714">
        <f t="shared" ref="D44:K44" si="6">SUM(D24:D43)</f>
        <v>0</v>
      </c>
      <c r="E44" s="1714">
        <f t="shared" si="6"/>
        <v>309731</v>
      </c>
      <c r="F44" s="1714">
        <f t="shared" si="6"/>
        <v>0</v>
      </c>
      <c r="G44" s="1714">
        <f t="shared" si="6"/>
        <v>0</v>
      </c>
      <c r="H44" s="1714">
        <f t="shared" si="6"/>
        <v>6286261</v>
      </c>
      <c r="I44" s="1714">
        <f t="shared" si="6"/>
        <v>0</v>
      </c>
      <c r="J44" s="1714">
        <f t="shared" si="6"/>
        <v>0</v>
      </c>
      <c r="K44" s="1714">
        <f t="shared" si="6"/>
        <v>6887607</v>
      </c>
      <c r="L44" s="524"/>
    </row>
    <row r="45" spans="1:12" ht="15.75" customHeight="1" thickTop="1" x14ac:dyDescent="0.2">
      <c r="A45" s="2159" t="s">
        <v>110</v>
      </c>
      <c r="B45" s="2160"/>
      <c r="C45" s="528"/>
      <c r="D45" s="528"/>
      <c r="E45" s="528"/>
      <c r="F45" s="528"/>
      <c r="G45" s="528"/>
      <c r="H45" s="528"/>
      <c r="I45" s="528"/>
      <c r="J45" s="528"/>
      <c r="K45" s="528"/>
      <c r="L45" s="347"/>
    </row>
    <row r="46" spans="1:12" s="485" customFormat="1" ht="15.75" customHeight="1" x14ac:dyDescent="0.2">
      <c r="A46" s="2167" t="s">
        <v>111</v>
      </c>
      <c r="B46" s="2168"/>
      <c r="C46" s="477"/>
      <c r="D46" s="477"/>
      <c r="E46" s="477"/>
      <c r="F46" s="477"/>
      <c r="G46" s="477"/>
      <c r="H46" s="477"/>
      <c r="I46" s="480"/>
      <c r="J46" s="477"/>
      <c r="K46" s="477"/>
      <c r="L46" s="529"/>
    </row>
    <row r="47" spans="1:12" s="485" customFormat="1" ht="15" x14ac:dyDescent="0.2">
      <c r="A47" s="1503" t="s">
        <v>1757</v>
      </c>
      <c r="B47" s="483">
        <v>8110</v>
      </c>
      <c r="C47" s="477"/>
      <c r="D47" s="477"/>
      <c r="E47" s="477"/>
      <c r="F47" s="477"/>
      <c r="G47" s="477"/>
      <c r="H47" s="477"/>
      <c r="I47" s="1754">
        <f>SUM(C24,C25:H25,J25:K25)</f>
        <v>0</v>
      </c>
      <c r="J47" s="477"/>
      <c r="K47" s="477"/>
      <c r="L47" s="529"/>
    </row>
    <row r="48" spans="1:12" s="485" customFormat="1" ht="15" x14ac:dyDescent="0.2">
      <c r="A48" s="1503" t="s">
        <v>1758</v>
      </c>
      <c r="B48" s="483">
        <v>8120</v>
      </c>
      <c r="C48" s="480"/>
      <c r="D48" s="480"/>
      <c r="E48" s="477"/>
      <c r="F48" s="480"/>
      <c r="G48" s="477"/>
      <c r="H48" s="477"/>
      <c r="I48" s="1754">
        <f>SUM(C26:H26,J26,K26)</f>
        <v>0</v>
      </c>
      <c r="J48" s="477"/>
      <c r="K48" s="477"/>
      <c r="L48" s="529"/>
    </row>
    <row r="49" spans="1:12" s="485" customFormat="1" x14ac:dyDescent="0.2">
      <c r="A49" s="1503" t="s">
        <v>194</v>
      </c>
      <c r="B49" s="483">
        <v>8130</v>
      </c>
      <c r="C49" s="467"/>
      <c r="D49" s="467"/>
      <c r="E49" s="480"/>
      <c r="F49" s="467"/>
      <c r="G49" s="480"/>
      <c r="H49" s="480"/>
      <c r="I49" s="477"/>
      <c r="J49" s="480"/>
      <c r="K49" s="477"/>
      <c r="L49" s="524"/>
    </row>
    <row r="50" spans="1:12" s="485" customFormat="1" x14ac:dyDescent="0.2">
      <c r="A50" s="1503" t="s">
        <v>1464</v>
      </c>
      <c r="B50" s="483">
        <v>8140</v>
      </c>
      <c r="C50" s="467"/>
      <c r="D50" s="467"/>
      <c r="E50" s="467"/>
      <c r="F50" s="467"/>
      <c r="G50" s="467"/>
      <c r="H50" s="467"/>
      <c r="I50" s="477"/>
      <c r="J50" s="467"/>
      <c r="K50" s="477"/>
      <c r="L50" s="524"/>
    </row>
    <row r="51" spans="1:12" s="485" customFormat="1" x14ac:dyDescent="0.2">
      <c r="A51" s="1503" t="s">
        <v>311</v>
      </c>
      <c r="B51" s="483">
        <v>8150</v>
      </c>
      <c r="C51" s="475"/>
      <c r="D51" s="475"/>
      <c r="E51" s="475"/>
      <c r="F51" s="475"/>
      <c r="G51" s="475"/>
      <c r="H51" s="1754">
        <f>SUM(D29)</f>
        <v>0</v>
      </c>
      <c r="I51" s="477"/>
      <c r="J51" s="475"/>
      <c r="K51" s="480"/>
      <c r="L51" s="524"/>
    </row>
    <row r="52" spans="1:12" s="485" customFormat="1" ht="26.25" x14ac:dyDescent="0.2">
      <c r="A52" s="1503" t="s">
        <v>1896</v>
      </c>
      <c r="B52" s="483">
        <v>8160</v>
      </c>
      <c r="C52" s="477"/>
      <c r="D52" s="477"/>
      <c r="E52" s="477"/>
      <c r="F52" s="477"/>
      <c r="G52" s="477"/>
      <c r="H52" s="477"/>
      <c r="I52" s="477"/>
      <c r="J52" s="477"/>
      <c r="K52" s="1754">
        <f>D30</f>
        <v>0</v>
      </c>
      <c r="L52" s="524"/>
    </row>
    <row r="53" spans="1:12" s="485" customFormat="1" ht="26.25" x14ac:dyDescent="0.2">
      <c r="A53" s="1503" t="s">
        <v>1895</v>
      </c>
      <c r="B53" s="483">
        <v>8170</v>
      </c>
      <c r="C53" s="480"/>
      <c r="D53" s="480"/>
      <c r="E53" s="477"/>
      <c r="F53" s="477"/>
      <c r="G53" s="477"/>
      <c r="H53" s="480"/>
      <c r="I53" s="477"/>
      <c r="J53" s="477"/>
      <c r="K53" s="1754">
        <f>E31</f>
        <v>0</v>
      </c>
      <c r="L53" s="524"/>
    </row>
    <row r="54" spans="1:12" s="485" customFormat="1" ht="13.5" thickBot="1" x14ac:dyDescent="0.25">
      <c r="A54" s="1503" t="s">
        <v>715</v>
      </c>
      <c r="B54" s="483">
        <v>8410</v>
      </c>
      <c r="C54" s="530"/>
      <c r="D54" s="530"/>
      <c r="E54" s="477"/>
      <c r="F54" s="477"/>
      <c r="G54" s="477"/>
      <c r="H54" s="530"/>
      <c r="I54" s="477"/>
      <c r="J54" s="477"/>
      <c r="K54" s="475"/>
      <c r="L54" s="524"/>
    </row>
    <row r="55" spans="1:12" s="485" customFormat="1" ht="14.25" thickTop="1" thickBot="1" x14ac:dyDescent="0.25">
      <c r="A55" s="1504" t="s">
        <v>716</v>
      </c>
      <c r="B55" s="483">
        <v>8420</v>
      </c>
      <c r="C55" s="531"/>
      <c r="D55" s="531"/>
      <c r="E55" s="477"/>
      <c r="F55" s="477"/>
      <c r="G55" s="477"/>
      <c r="H55" s="530"/>
      <c r="I55" s="477"/>
      <c r="J55" s="477"/>
      <c r="K55" s="477"/>
      <c r="L55" s="524"/>
    </row>
    <row r="56" spans="1:12" s="485" customFormat="1" ht="14.25" thickTop="1" thickBot="1" x14ac:dyDescent="0.25">
      <c r="A56" s="1503" t="s">
        <v>601</v>
      </c>
      <c r="B56" s="483">
        <v>8430</v>
      </c>
      <c r="C56" s="531"/>
      <c r="D56" s="531"/>
      <c r="E56" s="477"/>
      <c r="F56" s="477"/>
      <c r="G56" s="477"/>
      <c r="H56" s="530"/>
      <c r="I56" s="477"/>
      <c r="J56" s="477"/>
      <c r="K56" s="477"/>
      <c r="L56" s="524"/>
    </row>
    <row r="57" spans="1:12" s="485" customFormat="1" ht="14.25" thickTop="1" thickBot="1" x14ac:dyDescent="0.25">
      <c r="A57" s="1504" t="s">
        <v>598</v>
      </c>
      <c r="B57" s="483">
        <v>8440</v>
      </c>
      <c r="C57" s="531">
        <v>40000</v>
      </c>
      <c r="D57" s="531"/>
      <c r="E57" s="477"/>
      <c r="F57" s="477"/>
      <c r="G57" s="477"/>
      <c r="H57" s="530"/>
      <c r="I57" s="477"/>
      <c r="J57" s="477"/>
      <c r="K57" s="477"/>
      <c r="L57" s="524"/>
    </row>
    <row r="58" spans="1:12" s="485" customFormat="1" ht="14.25" thickTop="1" thickBot="1" x14ac:dyDescent="0.25">
      <c r="A58" s="1503" t="s">
        <v>599</v>
      </c>
      <c r="B58" s="483">
        <v>8510</v>
      </c>
      <c r="C58" s="531"/>
      <c r="D58" s="531"/>
      <c r="E58" s="477"/>
      <c r="F58" s="477"/>
      <c r="G58" s="477"/>
      <c r="H58" s="530"/>
      <c r="I58" s="477"/>
      <c r="J58" s="477"/>
      <c r="K58" s="477"/>
      <c r="L58" s="524"/>
    </row>
    <row r="59" spans="1:12" s="485" customFormat="1" ht="14.25" thickTop="1" thickBot="1" x14ac:dyDescent="0.25">
      <c r="A59" s="1505" t="s">
        <v>717</v>
      </c>
      <c r="B59" s="483">
        <v>8520</v>
      </c>
      <c r="C59" s="531"/>
      <c r="D59" s="531"/>
      <c r="E59" s="477"/>
      <c r="F59" s="477"/>
      <c r="G59" s="477"/>
      <c r="H59" s="530"/>
      <c r="I59" s="477"/>
      <c r="J59" s="477"/>
      <c r="K59" s="477"/>
      <c r="L59" s="524"/>
    </row>
    <row r="60" spans="1:12" s="485" customFormat="1" ht="14.25" thickTop="1" thickBot="1" x14ac:dyDescent="0.25">
      <c r="A60" s="1503" t="s">
        <v>600</v>
      </c>
      <c r="B60" s="483">
        <v>8530</v>
      </c>
      <c r="C60" s="531"/>
      <c r="D60" s="531"/>
      <c r="E60" s="477"/>
      <c r="F60" s="477"/>
      <c r="G60" s="477"/>
      <c r="H60" s="530"/>
      <c r="I60" s="477"/>
      <c r="J60" s="477"/>
      <c r="K60" s="477"/>
      <c r="L60" s="524"/>
    </row>
    <row r="61" spans="1:12" s="485" customFormat="1" ht="14.25" thickTop="1" thickBot="1" x14ac:dyDescent="0.25">
      <c r="A61" s="1504" t="s">
        <v>766</v>
      </c>
      <c r="B61" s="483">
        <v>8540</v>
      </c>
      <c r="C61" s="531"/>
      <c r="D61" s="531"/>
      <c r="E61" s="477"/>
      <c r="F61" s="477"/>
      <c r="G61" s="477"/>
      <c r="H61" s="530"/>
      <c r="I61" s="477"/>
      <c r="J61" s="477"/>
      <c r="K61" s="477"/>
      <c r="L61" s="524"/>
    </row>
    <row r="62" spans="1:12" s="485" customFormat="1" ht="13.5" customHeight="1" thickTop="1" thickBot="1" x14ac:dyDescent="0.25">
      <c r="A62" s="1503" t="s">
        <v>767</v>
      </c>
      <c r="B62" s="483">
        <v>8610</v>
      </c>
      <c r="C62" s="531"/>
      <c r="D62" s="531"/>
      <c r="E62" s="477"/>
      <c r="F62" s="477"/>
      <c r="G62" s="477"/>
      <c r="H62" s="477"/>
      <c r="I62" s="477"/>
      <c r="J62" s="477"/>
      <c r="K62" s="477"/>
      <c r="L62" s="524"/>
    </row>
    <row r="63" spans="1:12" s="485" customFormat="1" ht="14.25" thickTop="1" thickBot="1" x14ac:dyDescent="0.25">
      <c r="A63" s="1504" t="s">
        <v>718</v>
      </c>
      <c r="B63" s="483">
        <v>8620</v>
      </c>
      <c r="C63" s="531"/>
      <c r="D63" s="531"/>
      <c r="E63" s="477"/>
      <c r="F63" s="477"/>
      <c r="G63" s="477"/>
      <c r="H63" s="477"/>
      <c r="I63" s="477"/>
      <c r="J63" s="477"/>
      <c r="K63" s="477"/>
      <c r="L63" s="524"/>
    </row>
    <row r="64" spans="1:12" s="485" customFormat="1" ht="13.5" customHeight="1" thickTop="1" thickBot="1" x14ac:dyDescent="0.25">
      <c r="A64" s="1503" t="s">
        <v>768</v>
      </c>
      <c r="B64" s="483">
        <v>8630</v>
      </c>
      <c r="C64" s="531"/>
      <c r="D64" s="531"/>
      <c r="E64" s="477"/>
      <c r="F64" s="477"/>
      <c r="G64" s="477"/>
      <c r="H64" s="477"/>
      <c r="I64" s="477"/>
      <c r="J64" s="477"/>
      <c r="K64" s="477"/>
      <c r="L64" s="524"/>
    </row>
    <row r="65" spans="1:12" s="485" customFormat="1" ht="14.25" thickTop="1" thickBot="1" x14ac:dyDescent="0.25">
      <c r="A65" s="1504" t="s">
        <v>769</v>
      </c>
      <c r="B65" s="483">
        <v>8640</v>
      </c>
      <c r="C65" s="531"/>
      <c r="D65" s="531"/>
      <c r="E65" s="477"/>
      <c r="F65" s="477"/>
      <c r="G65" s="477"/>
      <c r="H65" s="477"/>
      <c r="I65" s="477"/>
      <c r="J65" s="477"/>
      <c r="K65" s="477"/>
      <c r="L65" s="524"/>
    </row>
    <row r="66" spans="1:12" s="485" customFormat="1" ht="14.25" thickTop="1" thickBot="1" x14ac:dyDescent="0.25">
      <c r="A66" s="1503" t="s">
        <v>770</v>
      </c>
      <c r="B66" s="483">
        <v>8710</v>
      </c>
      <c r="C66" s="531"/>
      <c r="D66" s="531"/>
      <c r="E66" s="477"/>
      <c r="F66" s="477"/>
      <c r="G66" s="477"/>
      <c r="H66" s="477"/>
      <c r="I66" s="477"/>
      <c r="J66" s="477"/>
      <c r="K66" s="477"/>
      <c r="L66" s="524"/>
    </row>
    <row r="67" spans="1:12" s="485" customFormat="1" ht="14.25" thickTop="1" thickBot="1" x14ac:dyDescent="0.25">
      <c r="A67" s="1504" t="s">
        <v>719</v>
      </c>
      <c r="B67" s="483">
        <v>8720</v>
      </c>
      <c r="C67" s="531"/>
      <c r="D67" s="531"/>
      <c r="E67" s="477"/>
      <c r="F67" s="477"/>
      <c r="G67" s="477"/>
      <c r="H67" s="477"/>
      <c r="I67" s="477"/>
      <c r="J67" s="477"/>
      <c r="K67" s="477"/>
      <c r="L67" s="524"/>
    </row>
    <row r="68" spans="1:12" s="485" customFormat="1" ht="14.25" thickTop="1" thickBot="1" x14ac:dyDescent="0.25">
      <c r="A68" s="1505" t="s">
        <v>771</v>
      </c>
      <c r="B68" s="483">
        <v>8730</v>
      </c>
      <c r="C68" s="531"/>
      <c r="D68" s="531"/>
      <c r="E68" s="477"/>
      <c r="F68" s="477"/>
      <c r="G68" s="477"/>
      <c r="H68" s="477"/>
      <c r="I68" s="477"/>
      <c r="J68" s="477"/>
      <c r="K68" s="477"/>
      <c r="L68" s="524"/>
    </row>
    <row r="69" spans="1:12" s="485" customFormat="1" ht="14.25" thickTop="1" thickBot="1" x14ac:dyDescent="0.25">
      <c r="A69" s="1504" t="s">
        <v>772</v>
      </c>
      <c r="B69" s="483">
        <v>8740</v>
      </c>
      <c r="C69" s="531"/>
      <c r="D69" s="531"/>
      <c r="E69" s="477"/>
      <c r="F69" s="477"/>
      <c r="G69" s="477"/>
      <c r="H69" s="477"/>
      <c r="I69" s="477"/>
      <c r="J69" s="477"/>
      <c r="K69" s="477"/>
      <c r="L69" s="524"/>
    </row>
    <row r="70" spans="1:12" s="485" customFormat="1" ht="14.25" thickTop="1" thickBot="1" x14ac:dyDescent="0.25">
      <c r="A70" s="1503" t="s">
        <v>773</v>
      </c>
      <c r="B70" s="483">
        <v>8810</v>
      </c>
      <c r="C70" s="531"/>
      <c r="D70" s="531"/>
      <c r="E70" s="477"/>
      <c r="F70" s="477"/>
      <c r="G70" s="477"/>
      <c r="H70" s="477"/>
      <c r="I70" s="477"/>
      <c r="J70" s="477"/>
      <c r="K70" s="477"/>
      <c r="L70" s="524"/>
    </row>
    <row r="71" spans="1:12" s="485" customFormat="1" ht="14.25" thickTop="1" thickBot="1" x14ac:dyDescent="0.25">
      <c r="A71" s="1503" t="s">
        <v>777</v>
      </c>
      <c r="B71" s="483">
        <v>8820</v>
      </c>
      <c r="C71" s="531"/>
      <c r="D71" s="531"/>
      <c r="E71" s="477"/>
      <c r="F71" s="477"/>
      <c r="G71" s="477"/>
      <c r="H71" s="477"/>
      <c r="I71" s="477"/>
      <c r="J71" s="477"/>
      <c r="K71" s="477"/>
      <c r="L71" s="524"/>
    </row>
    <row r="72" spans="1:12" s="485" customFormat="1" ht="14.25" thickTop="1" thickBot="1" x14ac:dyDescent="0.25">
      <c r="A72" s="1503" t="s">
        <v>774</v>
      </c>
      <c r="B72" s="483">
        <v>8830</v>
      </c>
      <c r="C72" s="531"/>
      <c r="D72" s="531"/>
      <c r="E72" s="477"/>
      <c r="F72" s="477"/>
      <c r="G72" s="477"/>
      <c r="H72" s="477"/>
      <c r="I72" s="477"/>
      <c r="J72" s="477"/>
      <c r="K72" s="477"/>
      <c r="L72" s="524"/>
    </row>
    <row r="73" spans="1:12" s="485" customFormat="1" ht="14.25" thickTop="1" thickBot="1" x14ac:dyDescent="0.25">
      <c r="A73" s="1503" t="s">
        <v>775</v>
      </c>
      <c r="B73" s="483">
        <v>8840</v>
      </c>
      <c r="C73" s="531"/>
      <c r="D73" s="531"/>
      <c r="E73" s="477"/>
      <c r="F73" s="477"/>
      <c r="G73" s="477"/>
      <c r="H73" s="477"/>
      <c r="I73" s="477"/>
      <c r="J73" s="477"/>
      <c r="K73" s="480"/>
      <c r="L73" s="524"/>
    </row>
    <row r="74" spans="1:12" s="485" customFormat="1" ht="14.25" thickTop="1" thickBot="1" x14ac:dyDescent="0.25">
      <c r="A74" s="1503" t="s">
        <v>392</v>
      </c>
      <c r="B74" s="483">
        <v>8910</v>
      </c>
      <c r="C74" s="531"/>
      <c r="D74" s="531"/>
      <c r="E74" s="480"/>
      <c r="F74" s="530"/>
      <c r="G74" s="530"/>
      <c r="H74" s="530"/>
      <c r="I74" s="480"/>
      <c r="J74" s="480"/>
      <c r="K74" s="530"/>
      <c r="L74" s="524"/>
    </row>
    <row r="75" spans="1:12" s="485" customFormat="1" ht="14.25" thickTop="1" thickBot="1" x14ac:dyDescent="0.25">
      <c r="A75" s="1506" t="s">
        <v>458</v>
      </c>
      <c r="B75" s="483">
        <v>8990</v>
      </c>
      <c r="C75" s="531"/>
      <c r="D75" s="531"/>
      <c r="E75" s="530"/>
      <c r="F75" s="532"/>
      <c r="G75" s="532"/>
      <c r="H75" s="532">
        <v>182420</v>
      </c>
      <c r="I75" s="530"/>
      <c r="J75" s="530"/>
      <c r="K75" s="532">
        <v>87311</v>
      </c>
      <c r="L75" s="524"/>
    </row>
    <row r="76" spans="1:12" s="485" customFormat="1" ht="14.25" thickTop="1" thickBot="1" x14ac:dyDescent="0.25">
      <c r="A76" s="2141" t="s">
        <v>459</v>
      </c>
      <c r="B76" s="2142"/>
      <c r="C76" s="1714">
        <f t="shared" ref="C76:K76" si="7">SUM(C47:C75)</f>
        <v>40000</v>
      </c>
      <c r="D76" s="1714">
        <f t="shared" si="7"/>
        <v>0</v>
      </c>
      <c r="E76" s="1714">
        <f t="shared" si="7"/>
        <v>0</v>
      </c>
      <c r="F76" s="1714">
        <f t="shared" si="7"/>
        <v>0</v>
      </c>
      <c r="G76" s="1714">
        <f t="shared" si="7"/>
        <v>0</v>
      </c>
      <c r="H76" s="1714">
        <f t="shared" si="7"/>
        <v>182420</v>
      </c>
      <c r="I76" s="1714">
        <f t="shared" si="7"/>
        <v>0</v>
      </c>
      <c r="J76" s="1714">
        <f t="shared" si="7"/>
        <v>0</v>
      </c>
      <c r="K76" s="1714">
        <f t="shared" si="7"/>
        <v>87311</v>
      </c>
      <c r="L76" s="524"/>
    </row>
    <row r="77" spans="1:12" ht="14.25" thickTop="1" thickBot="1" x14ac:dyDescent="0.25">
      <c r="A77" s="2143" t="s">
        <v>1238</v>
      </c>
      <c r="B77" s="2144"/>
      <c r="C77" s="1714">
        <f t="shared" ref="C77:K77" si="8">C44-C76</f>
        <v>-40000</v>
      </c>
      <c r="D77" s="1714">
        <f t="shared" si="8"/>
        <v>0</v>
      </c>
      <c r="E77" s="1714">
        <f t="shared" si="8"/>
        <v>309731</v>
      </c>
      <c r="F77" s="1714">
        <f t="shared" si="8"/>
        <v>0</v>
      </c>
      <c r="G77" s="1714">
        <f t="shared" si="8"/>
        <v>0</v>
      </c>
      <c r="H77" s="1714">
        <f t="shared" si="8"/>
        <v>6103841</v>
      </c>
      <c r="I77" s="1714">
        <f t="shared" si="8"/>
        <v>0</v>
      </c>
      <c r="J77" s="1714">
        <f t="shared" si="8"/>
        <v>0</v>
      </c>
      <c r="K77" s="1714">
        <f t="shared" si="8"/>
        <v>6800296</v>
      </c>
      <c r="L77" s="347"/>
    </row>
    <row r="78" spans="1:12" ht="21.75" customHeight="1" thickTop="1" thickBot="1" x14ac:dyDescent="0.25">
      <c r="A78" s="2147" t="s">
        <v>617</v>
      </c>
      <c r="B78" s="2148"/>
      <c r="C78" s="1713">
        <f t="shared" ref="C78:K78" si="9">C20+C77</f>
        <v>617639</v>
      </c>
      <c r="D78" s="1713">
        <f t="shared" si="9"/>
        <v>-214182</v>
      </c>
      <c r="E78" s="1713">
        <f t="shared" si="9"/>
        <v>74259</v>
      </c>
      <c r="F78" s="1713">
        <f t="shared" si="9"/>
        <v>433631</v>
      </c>
      <c r="G78" s="1713">
        <f t="shared" si="9"/>
        <v>218462</v>
      </c>
      <c r="H78" s="1713">
        <f t="shared" si="9"/>
        <v>6170025</v>
      </c>
      <c r="I78" s="1713">
        <f t="shared" si="9"/>
        <v>152462</v>
      </c>
      <c r="J78" s="1713">
        <f t="shared" si="9"/>
        <v>165367</v>
      </c>
      <c r="K78" s="1713">
        <f t="shared" si="9"/>
        <v>6064217</v>
      </c>
      <c r="L78" s="533"/>
    </row>
    <row r="79" spans="1:12" ht="13.5" thickTop="1" x14ac:dyDescent="0.2">
      <c r="A79" s="1507" t="s">
        <v>2069</v>
      </c>
      <c r="B79" s="534"/>
      <c r="C79" s="478">
        <v>3033609</v>
      </c>
      <c r="D79" s="535">
        <v>517806</v>
      </c>
      <c r="E79" s="535">
        <v>782689</v>
      </c>
      <c r="F79" s="535">
        <v>859800</v>
      </c>
      <c r="G79" s="535">
        <v>1431882</v>
      </c>
      <c r="H79" s="535">
        <v>195925</v>
      </c>
      <c r="I79" s="535">
        <v>451976</v>
      </c>
      <c r="J79" s="535">
        <v>970478</v>
      </c>
      <c r="K79" s="535">
        <v>189704</v>
      </c>
      <c r="L79" s="347"/>
    </row>
    <row r="80" spans="1:12" x14ac:dyDescent="0.2">
      <c r="A80" s="2153" t="s">
        <v>1894</v>
      </c>
      <c r="B80" s="2154"/>
      <c r="C80" s="467"/>
      <c r="D80" s="467"/>
      <c r="E80" s="467"/>
      <c r="F80" s="467"/>
      <c r="G80" s="467"/>
      <c r="H80" s="467"/>
      <c r="I80" s="467"/>
      <c r="J80" s="467"/>
      <c r="K80" s="467"/>
      <c r="L80" s="347"/>
    </row>
    <row r="81" spans="1:12" ht="13.5" thickBot="1" x14ac:dyDescent="0.25">
      <c r="A81" s="2145" t="s">
        <v>2070</v>
      </c>
      <c r="B81" s="2146"/>
      <c r="C81" s="1699">
        <f>(SUM(C78:C80))</f>
        <v>3651248</v>
      </c>
      <c r="D81" s="1699">
        <f>SUM(D78:D80)</f>
        <v>303624</v>
      </c>
      <c r="E81" s="1699">
        <f t="shared" ref="E81:K81" si="10">SUM(E78:E80)</f>
        <v>856948</v>
      </c>
      <c r="F81" s="1699">
        <f t="shared" si="10"/>
        <v>1293431</v>
      </c>
      <c r="G81" s="1699">
        <f t="shared" si="10"/>
        <v>1650344</v>
      </c>
      <c r="H81" s="1699">
        <f t="shared" si="10"/>
        <v>6365950</v>
      </c>
      <c r="I81" s="1699">
        <f t="shared" si="10"/>
        <v>604438</v>
      </c>
      <c r="J81" s="1699">
        <f t="shared" si="10"/>
        <v>1135845</v>
      </c>
      <c r="K81" s="1699">
        <f t="shared" si="10"/>
        <v>6253921</v>
      </c>
      <c r="L81" s="347"/>
    </row>
    <row r="82" spans="1:12" ht="0.75" customHeight="1" thickTop="1" thickBot="1" x14ac:dyDescent="0.25">
      <c r="A82" s="536" t="s">
        <v>360</v>
      </c>
      <c r="B82" s="537"/>
      <c r="C82" s="538">
        <f>(C81-C79)</f>
        <v>617639</v>
      </c>
      <c r="D82" s="538">
        <f t="shared" ref="D82:K82" si="11">(D81-D79)</f>
        <v>-214182</v>
      </c>
      <c r="E82" s="538">
        <f t="shared" si="11"/>
        <v>74259</v>
      </c>
      <c r="F82" s="538">
        <f t="shared" si="11"/>
        <v>433631</v>
      </c>
      <c r="G82" s="538">
        <f t="shared" si="11"/>
        <v>218462</v>
      </c>
      <c r="H82" s="538">
        <f t="shared" si="11"/>
        <v>6170025</v>
      </c>
      <c r="I82" s="538">
        <f t="shared" si="11"/>
        <v>152462</v>
      </c>
      <c r="J82" s="538">
        <f t="shared" si="11"/>
        <v>165367</v>
      </c>
      <c r="K82" s="538">
        <f t="shared" si="11"/>
        <v>6064217</v>
      </c>
    </row>
    <row r="83" spans="1:12" ht="14.25" hidden="1" thickTop="1" thickBot="1" x14ac:dyDescent="0.25">
      <c r="A83" s="539" t="s">
        <v>361</v>
      </c>
      <c r="B83" s="464"/>
      <c r="C83" s="540">
        <f>C82/C81</f>
        <v>0.16915832613944601</v>
      </c>
      <c r="D83" s="540">
        <f t="shared" ref="D83:K83" si="12">D82/D81</f>
        <v>-0.70541854398861747</v>
      </c>
      <c r="E83" s="540">
        <f t="shared" si="12"/>
        <v>8.6655199615379236E-2</v>
      </c>
      <c r="F83" s="540">
        <f t="shared" si="12"/>
        <v>0.33525638398955954</v>
      </c>
      <c r="G83" s="540">
        <f t="shared" si="12"/>
        <v>0.13237361422830635</v>
      </c>
      <c r="H83" s="540">
        <f t="shared" si="12"/>
        <v>0.9692229753611008</v>
      </c>
      <c r="I83" s="540">
        <f t="shared" si="12"/>
        <v>0.25223761576869752</v>
      </c>
      <c r="J83" s="540">
        <f t="shared" si="12"/>
        <v>0.14558940700535725</v>
      </c>
      <c r="K83" s="540">
        <f t="shared" si="12"/>
        <v>0.96966639009351097</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4" type="noConversion"/>
  <printOptions headings="1"/>
  <pageMargins left="0.21" right="0" top="1" bottom="0.48" header="0.5" footer="0.19"/>
  <pageSetup scale="73" firstPageNumber="7" orientation="landscape" useFirstPageNumber="1" r:id="rId1"/>
  <headerFooter>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&amp;L&amp;8See Notes to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Normal="100" zoomScaleSheetLayoutView="75" workbookViewId="0">
      <pane ySplit="2" topLeftCell="A3" activePane="bottomLeft" state="frozen"/>
      <selection activeCell="A47" sqref="A47"/>
      <selection pane="bottomLeft" activeCell="A3" sqref="A3"/>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49" t="s">
        <v>1901</v>
      </c>
      <c r="B1" s="452"/>
      <c r="C1" s="453" t="s">
        <v>444</v>
      </c>
      <c r="D1" s="453" t="s">
        <v>445</v>
      </c>
      <c r="E1" s="453" t="s">
        <v>446</v>
      </c>
      <c r="F1" s="453" t="s">
        <v>447</v>
      </c>
      <c r="G1" s="453" t="s">
        <v>448</v>
      </c>
      <c r="H1" s="453" t="s">
        <v>449</v>
      </c>
      <c r="I1" s="453" t="s">
        <v>450</v>
      </c>
      <c r="J1" s="453" t="s">
        <v>451</v>
      </c>
      <c r="K1" s="453" t="s">
        <v>779</v>
      </c>
    </row>
    <row r="2" spans="1:12" ht="36" x14ac:dyDescent="0.2">
      <c r="A2" s="2150"/>
      <c r="B2" s="541" t="s">
        <v>395</v>
      </c>
      <c r="C2" s="542" t="s">
        <v>1216</v>
      </c>
      <c r="D2" s="542" t="s">
        <v>924</v>
      </c>
      <c r="E2" s="542" t="s">
        <v>457</v>
      </c>
      <c r="F2" s="542" t="s">
        <v>157</v>
      </c>
      <c r="G2" s="542" t="s">
        <v>1045</v>
      </c>
      <c r="H2" s="542" t="s">
        <v>456</v>
      </c>
      <c r="I2" s="542" t="s">
        <v>426</v>
      </c>
      <c r="J2" s="542" t="s">
        <v>455</v>
      </c>
      <c r="K2" s="542" t="s">
        <v>159</v>
      </c>
    </row>
    <row r="3" spans="1:12" ht="16.7" customHeight="1" x14ac:dyDescent="0.2">
      <c r="A3" s="1592" t="s">
        <v>115</v>
      </c>
      <c r="B3" s="1593"/>
      <c r="C3" s="1594"/>
      <c r="D3" s="1594"/>
      <c r="E3" s="1594"/>
      <c r="F3" s="1595"/>
      <c r="G3" s="1596"/>
      <c r="H3" s="1595"/>
      <c r="I3" s="1595"/>
      <c r="J3" s="1595"/>
      <c r="K3" s="1597"/>
    </row>
    <row r="4" spans="1:12" ht="15.75" customHeight="1" x14ac:dyDescent="0.2">
      <c r="A4" s="1603" t="s">
        <v>396</v>
      </c>
      <c r="B4" s="1604">
        <v>1100</v>
      </c>
      <c r="C4" s="543"/>
      <c r="D4" s="543"/>
      <c r="E4" s="543"/>
      <c r="F4" s="544"/>
      <c r="G4" s="545"/>
      <c r="H4" s="546"/>
      <c r="I4" s="546"/>
      <c r="J4" s="546"/>
      <c r="K4" s="546"/>
    </row>
    <row r="5" spans="1:12" ht="15" x14ac:dyDescent="0.2">
      <c r="A5" s="493" t="s">
        <v>1759</v>
      </c>
      <c r="B5" s="547"/>
      <c r="C5" s="481">
        <v>5589683</v>
      </c>
      <c r="D5" s="481">
        <v>1518936</v>
      </c>
      <c r="E5" s="466">
        <v>3124947</v>
      </c>
      <c r="F5" s="548">
        <v>607580</v>
      </c>
      <c r="G5" s="466">
        <v>657392</v>
      </c>
      <c r="H5" s="466"/>
      <c r="I5" s="466">
        <v>151888</v>
      </c>
      <c r="J5" s="467">
        <v>1490807</v>
      </c>
      <c r="K5" s="466">
        <v>151888</v>
      </c>
    </row>
    <row r="6" spans="1:12" ht="15" x14ac:dyDescent="0.2">
      <c r="A6" s="463" t="s">
        <v>1760</v>
      </c>
      <c r="B6" s="470">
        <v>1130</v>
      </c>
      <c r="C6" s="466"/>
      <c r="D6" s="466"/>
      <c r="E6" s="475"/>
      <c r="F6" s="475"/>
      <c r="G6" s="468"/>
      <c r="H6" s="468"/>
      <c r="I6" s="468"/>
      <c r="J6" s="468"/>
      <c r="K6" s="468"/>
    </row>
    <row r="7" spans="1:12" x14ac:dyDescent="0.2">
      <c r="A7" s="463" t="s">
        <v>112</v>
      </c>
      <c r="B7" s="549">
        <v>1140</v>
      </c>
      <c r="C7" s="466">
        <v>121519</v>
      </c>
      <c r="D7" s="466"/>
      <c r="E7" s="468"/>
      <c r="F7" s="467"/>
      <c r="G7" s="467"/>
      <c r="H7" s="467"/>
      <c r="I7" s="468"/>
      <c r="J7" s="468"/>
      <c r="K7" s="468"/>
    </row>
    <row r="8" spans="1:12" x14ac:dyDescent="0.2">
      <c r="A8" s="463" t="s">
        <v>432</v>
      </c>
      <c r="B8" s="470">
        <v>1150</v>
      </c>
      <c r="C8" s="475"/>
      <c r="D8" s="475"/>
      <c r="E8" s="477"/>
      <c r="F8" s="477"/>
      <c r="G8" s="481">
        <v>514233</v>
      </c>
      <c r="H8" s="468"/>
      <c r="I8" s="468"/>
      <c r="J8" s="468"/>
      <c r="K8" s="468"/>
    </row>
    <row r="9" spans="1:12" x14ac:dyDescent="0.2">
      <c r="A9" s="473" t="s">
        <v>113</v>
      </c>
      <c r="B9" s="470">
        <v>1160</v>
      </c>
      <c r="C9" s="468"/>
      <c r="D9" s="467"/>
      <c r="E9" s="467"/>
      <c r="F9" s="469"/>
      <c r="G9" s="475"/>
      <c r="H9" s="467"/>
      <c r="I9" s="468"/>
      <c r="J9" s="468"/>
      <c r="K9" s="468"/>
    </row>
    <row r="10" spans="1:12" x14ac:dyDescent="0.2">
      <c r="A10" s="473" t="s">
        <v>114</v>
      </c>
      <c r="B10" s="470">
        <v>1170</v>
      </c>
      <c r="C10" s="467"/>
      <c r="D10" s="526"/>
      <c r="E10" s="526"/>
      <c r="F10" s="469"/>
      <c r="G10" s="468"/>
      <c r="H10" s="468"/>
      <c r="I10" s="468"/>
      <c r="J10" s="468"/>
      <c r="K10" s="468"/>
    </row>
    <row r="11" spans="1:12" x14ac:dyDescent="0.2">
      <c r="A11" s="473" t="s">
        <v>433</v>
      </c>
      <c r="B11" s="550">
        <v>1190</v>
      </c>
      <c r="C11" s="551"/>
      <c r="D11" s="466"/>
      <c r="E11" s="466"/>
      <c r="F11" s="466"/>
      <c r="G11" s="466"/>
      <c r="H11" s="466"/>
      <c r="I11" s="466"/>
      <c r="J11" s="467"/>
      <c r="K11" s="466"/>
      <c r="L11" s="552"/>
    </row>
    <row r="12" spans="1:12" ht="12.75" customHeight="1" thickBot="1" x14ac:dyDescent="0.25">
      <c r="A12" s="1716" t="s">
        <v>29</v>
      </c>
      <c r="B12" s="1717"/>
      <c r="C12" s="1718">
        <f t="shared" ref="C12:K12" si="0">SUM(C5:C11)</f>
        <v>5711202</v>
      </c>
      <c r="D12" s="1718">
        <f t="shared" si="0"/>
        <v>1518936</v>
      </c>
      <c r="E12" s="1718">
        <f t="shared" si="0"/>
        <v>3124947</v>
      </c>
      <c r="F12" s="1718">
        <f t="shared" si="0"/>
        <v>607580</v>
      </c>
      <c r="G12" s="1718">
        <f t="shared" si="0"/>
        <v>1171625</v>
      </c>
      <c r="H12" s="1718">
        <f t="shared" si="0"/>
        <v>0</v>
      </c>
      <c r="I12" s="1718">
        <f t="shared" si="0"/>
        <v>151888</v>
      </c>
      <c r="J12" s="1718">
        <f t="shared" si="0"/>
        <v>1490807</v>
      </c>
      <c r="K12" s="1699">
        <f t="shared" si="0"/>
        <v>151888</v>
      </c>
    </row>
    <row r="13" spans="1:12" ht="15.75" customHeight="1" thickTop="1" x14ac:dyDescent="0.2">
      <c r="A13" s="1605" t="s">
        <v>470</v>
      </c>
      <c r="B13" s="1606">
        <v>1200</v>
      </c>
      <c r="C13" s="553"/>
      <c r="D13" s="553"/>
      <c r="E13" s="553"/>
      <c r="F13" s="553"/>
      <c r="G13" s="553"/>
      <c r="H13" s="553"/>
      <c r="I13" s="553"/>
      <c r="J13" s="553"/>
      <c r="K13" s="468"/>
    </row>
    <row r="14" spans="1:12" x14ac:dyDescent="0.2">
      <c r="A14" s="463" t="s">
        <v>3</v>
      </c>
      <c r="B14" s="470">
        <v>1210</v>
      </c>
      <c r="C14" s="551">
        <v>9875</v>
      </c>
      <c r="D14" s="466">
        <v>2626</v>
      </c>
      <c r="E14" s="466">
        <v>5385</v>
      </c>
      <c r="F14" s="466">
        <v>1051</v>
      </c>
      <c r="G14" s="466">
        <v>2026</v>
      </c>
      <c r="H14" s="466"/>
      <c r="I14" s="466">
        <v>263</v>
      </c>
      <c r="J14" s="467">
        <v>2577</v>
      </c>
      <c r="K14" s="466">
        <v>263</v>
      </c>
    </row>
    <row r="15" spans="1:12" ht="12.75" customHeight="1" x14ac:dyDescent="0.2">
      <c r="A15" s="463" t="s">
        <v>97</v>
      </c>
      <c r="B15" s="470">
        <v>1220</v>
      </c>
      <c r="C15" s="551"/>
      <c r="D15" s="466"/>
      <c r="E15" s="466"/>
      <c r="F15" s="466"/>
      <c r="G15" s="466"/>
      <c r="H15" s="466"/>
      <c r="I15" s="466"/>
      <c r="J15" s="467"/>
      <c r="K15" s="466"/>
    </row>
    <row r="16" spans="1:12" ht="15" customHeight="1" x14ac:dyDescent="0.2">
      <c r="A16" s="463" t="s">
        <v>1761</v>
      </c>
      <c r="B16" s="549">
        <v>1230</v>
      </c>
      <c r="C16" s="551">
        <v>171565</v>
      </c>
      <c r="D16" s="466">
        <v>100000</v>
      </c>
      <c r="E16" s="466"/>
      <c r="F16" s="466">
        <v>166100</v>
      </c>
      <c r="G16" s="466">
        <v>78980</v>
      </c>
      <c r="H16" s="466"/>
      <c r="I16" s="466"/>
      <c r="J16" s="467"/>
      <c r="K16" s="466"/>
    </row>
    <row r="17" spans="1:11" ht="12.75" customHeight="1" x14ac:dyDescent="0.2">
      <c r="A17" s="463" t="s">
        <v>839</v>
      </c>
      <c r="B17" s="470">
        <v>1290</v>
      </c>
      <c r="C17" s="551"/>
      <c r="D17" s="466"/>
      <c r="E17" s="466"/>
      <c r="F17" s="466"/>
      <c r="G17" s="466"/>
      <c r="H17" s="466"/>
      <c r="I17" s="466"/>
      <c r="J17" s="467"/>
      <c r="K17" s="466"/>
    </row>
    <row r="18" spans="1:11" ht="12.75" customHeight="1" thickBot="1" x14ac:dyDescent="0.25">
      <c r="A18" s="1719" t="s">
        <v>557</v>
      </c>
      <c r="B18" s="1720"/>
      <c r="C18" s="1721">
        <f>SUM(C14:C17)</f>
        <v>181440</v>
      </c>
      <c r="D18" s="1721">
        <f t="shared" ref="D18:K18" si="1">SUM(D14:D17)</f>
        <v>102626</v>
      </c>
      <c r="E18" s="1721">
        <f t="shared" si="1"/>
        <v>5385</v>
      </c>
      <c r="F18" s="1721">
        <f t="shared" si="1"/>
        <v>167151</v>
      </c>
      <c r="G18" s="1721">
        <f t="shared" si="1"/>
        <v>81006</v>
      </c>
      <c r="H18" s="1721">
        <f t="shared" si="1"/>
        <v>0</v>
      </c>
      <c r="I18" s="1721">
        <f t="shared" si="1"/>
        <v>263</v>
      </c>
      <c r="J18" s="1721">
        <f t="shared" si="1"/>
        <v>2577</v>
      </c>
      <c r="K18" s="1722">
        <f t="shared" si="1"/>
        <v>263</v>
      </c>
    </row>
    <row r="19" spans="1:11" ht="15.75" customHeight="1" thickTop="1" x14ac:dyDescent="0.2">
      <c r="A19" s="1605" t="s">
        <v>471</v>
      </c>
      <c r="B19" s="1606">
        <v>1300</v>
      </c>
      <c r="C19" s="554"/>
      <c r="D19" s="554"/>
      <c r="E19" s="554"/>
      <c r="F19" s="554"/>
      <c r="G19" s="553"/>
      <c r="H19" s="554"/>
      <c r="I19" s="554"/>
      <c r="J19" s="554"/>
      <c r="K19" s="555"/>
    </row>
    <row r="20" spans="1:11" x14ac:dyDescent="0.2">
      <c r="A20" s="463" t="s">
        <v>1132</v>
      </c>
      <c r="B20" s="470">
        <v>1311</v>
      </c>
      <c r="C20" s="466"/>
      <c r="D20" s="468"/>
      <c r="E20" s="468"/>
      <c r="F20" s="468"/>
      <c r="G20" s="468"/>
      <c r="H20" s="468"/>
      <c r="I20" s="468"/>
      <c r="J20" s="468"/>
      <c r="K20" s="468"/>
    </row>
    <row r="21" spans="1:11" ht="12.75" customHeight="1" x14ac:dyDescent="0.2">
      <c r="A21" s="463" t="s">
        <v>886</v>
      </c>
      <c r="B21" s="470">
        <v>1312</v>
      </c>
      <c r="C21" s="551"/>
      <c r="D21" s="468"/>
      <c r="E21" s="468"/>
      <c r="F21" s="468"/>
      <c r="G21" s="468"/>
      <c r="H21" s="468"/>
      <c r="I21" s="468"/>
      <c r="J21" s="468"/>
      <c r="K21" s="468"/>
    </row>
    <row r="22" spans="1:11" ht="12.75" customHeight="1" x14ac:dyDescent="0.2">
      <c r="A22" s="463" t="s">
        <v>1133</v>
      </c>
      <c r="B22" s="470">
        <v>1313</v>
      </c>
      <c r="C22" s="551"/>
      <c r="D22" s="468"/>
      <c r="E22" s="468"/>
      <c r="F22" s="468"/>
      <c r="G22" s="468"/>
      <c r="H22" s="468"/>
      <c r="I22" s="468"/>
      <c r="J22" s="468"/>
      <c r="K22" s="468"/>
    </row>
    <row r="23" spans="1:11" ht="12.75" customHeight="1" x14ac:dyDescent="0.2">
      <c r="A23" s="463" t="s">
        <v>1134</v>
      </c>
      <c r="B23" s="470">
        <v>1314</v>
      </c>
      <c r="C23" s="489"/>
      <c r="D23" s="468"/>
      <c r="E23" s="468"/>
      <c r="F23" s="468"/>
      <c r="G23" s="468"/>
      <c r="H23" s="468"/>
      <c r="I23" s="468"/>
      <c r="J23" s="468"/>
      <c r="K23" s="468"/>
    </row>
    <row r="24" spans="1:11" ht="12.75" customHeight="1" x14ac:dyDescent="0.2">
      <c r="A24" s="463" t="s">
        <v>1084</v>
      </c>
      <c r="B24" s="470">
        <v>1321</v>
      </c>
      <c r="C24" s="551">
        <v>10435</v>
      </c>
      <c r="D24" s="468"/>
      <c r="E24" s="468"/>
      <c r="F24" s="468"/>
      <c r="G24" s="468"/>
      <c r="H24" s="468"/>
      <c r="I24" s="468"/>
      <c r="J24" s="468"/>
      <c r="K24" s="468"/>
    </row>
    <row r="25" spans="1:11" ht="12.75" customHeight="1" x14ac:dyDescent="0.2">
      <c r="A25" s="463" t="s">
        <v>887</v>
      </c>
      <c r="B25" s="470">
        <v>1322</v>
      </c>
      <c r="C25" s="551"/>
      <c r="D25" s="468"/>
      <c r="E25" s="468"/>
      <c r="F25" s="468"/>
      <c r="G25" s="468"/>
      <c r="H25" s="468"/>
      <c r="I25" s="468"/>
      <c r="J25" s="468"/>
      <c r="K25" s="468"/>
    </row>
    <row r="26" spans="1:11" ht="12.75" customHeight="1" x14ac:dyDescent="0.2">
      <c r="A26" s="463" t="s">
        <v>1162</v>
      </c>
      <c r="B26" s="470">
        <v>1323</v>
      </c>
      <c r="C26" s="551"/>
      <c r="D26" s="468"/>
      <c r="E26" s="468"/>
      <c r="F26" s="468"/>
      <c r="G26" s="468"/>
      <c r="H26" s="468"/>
      <c r="I26" s="468"/>
      <c r="J26" s="468"/>
      <c r="K26" s="468"/>
    </row>
    <row r="27" spans="1:11" ht="12.75" customHeight="1" x14ac:dyDescent="0.2">
      <c r="A27" s="463" t="s">
        <v>1080</v>
      </c>
      <c r="B27" s="470">
        <v>1324</v>
      </c>
      <c r="C27" s="489"/>
      <c r="D27" s="468"/>
      <c r="E27" s="468"/>
      <c r="F27" s="468"/>
      <c r="G27" s="468"/>
      <c r="H27" s="468"/>
      <c r="I27" s="468"/>
      <c r="J27" s="468"/>
      <c r="K27" s="468"/>
    </row>
    <row r="28" spans="1:11" ht="12.75" customHeight="1" x14ac:dyDescent="0.2">
      <c r="A28" s="463" t="s">
        <v>1081</v>
      </c>
      <c r="B28" s="470">
        <v>1331</v>
      </c>
      <c r="C28" s="551"/>
      <c r="D28" s="468"/>
      <c r="E28" s="468"/>
      <c r="F28" s="468"/>
      <c r="G28" s="468"/>
      <c r="H28" s="468"/>
      <c r="I28" s="468"/>
      <c r="J28" s="468"/>
      <c r="K28" s="468"/>
    </row>
    <row r="29" spans="1:11" ht="12.75" customHeight="1" x14ac:dyDescent="0.2">
      <c r="A29" s="463" t="s">
        <v>888</v>
      </c>
      <c r="B29" s="470">
        <v>1332</v>
      </c>
      <c r="C29" s="551"/>
      <c r="D29" s="468"/>
      <c r="E29" s="468"/>
      <c r="F29" s="468"/>
      <c r="G29" s="468"/>
      <c r="H29" s="468"/>
      <c r="I29" s="468"/>
      <c r="J29" s="468"/>
      <c r="K29" s="468"/>
    </row>
    <row r="30" spans="1:11" ht="12.75" customHeight="1" x14ac:dyDescent="0.2">
      <c r="A30" s="463" t="s">
        <v>1083</v>
      </c>
      <c r="B30" s="470">
        <v>1333</v>
      </c>
      <c r="C30" s="551"/>
      <c r="D30" s="468"/>
      <c r="E30" s="468"/>
      <c r="F30" s="468"/>
      <c r="G30" s="468"/>
      <c r="H30" s="468"/>
      <c r="I30" s="468"/>
      <c r="J30" s="468"/>
      <c r="K30" s="468"/>
    </row>
    <row r="31" spans="1:11" ht="12.75" customHeight="1" x14ac:dyDescent="0.2">
      <c r="A31" s="463" t="s">
        <v>1082</v>
      </c>
      <c r="B31" s="470">
        <v>1334</v>
      </c>
      <c r="C31" s="489"/>
      <c r="D31" s="468"/>
      <c r="E31" s="468"/>
      <c r="F31" s="468"/>
      <c r="G31" s="468"/>
      <c r="H31" s="468"/>
      <c r="I31" s="468"/>
      <c r="J31" s="468"/>
      <c r="K31" s="468"/>
    </row>
    <row r="32" spans="1:11" ht="12.75" customHeight="1" x14ac:dyDescent="0.2">
      <c r="A32" s="463" t="s">
        <v>514</v>
      </c>
      <c r="B32" s="470">
        <v>1341</v>
      </c>
      <c r="C32" s="551"/>
      <c r="D32" s="468"/>
      <c r="E32" s="468"/>
      <c r="F32" s="468"/>
      <c r="G32" s="468"/>
      <c r="H32" s="468"/>
      <c r="I32" s="468"/>
      <c r="J32" s="468"/>
      <c r="K32" s="468"/>
    </row>
    <row r="33" spans="1:11" ht="12.75" customHeight="1" x14ac:dyDescent="0.2">
      <c r="A33" s="463" t="s">
        <v>889</v>
      </c>
      <c r="B33" s="470">
        <v>1342</v>
      </c>
      <c r="C33" s="551">
        <v>68821</v>
      </c>
      <c r="D33" s="468"/>
      <c r="E33" s="468"/>
      <c r="F33" s="468"/>
      <c r="G33" s="468"/>
      <c r="H33" s="468"/>
      <c r="I33" s="468"/>
      <c r="J33" s="468"/>
      <c r="K33" s="468"/>
    </row>
    <row r="34" spans="1:11" ht="12.75" customHeight="1" x14ac:dyDescent="0.2">
      <c r="A34" s="463" t="s">
        <v>515</v>
      </c>
      <c r="B34" s="470">
        <v>1343</v>
      </c>
      <c r="C34" s="551"/>
      <c r="D34" s="468"/>
      <c r="E34" s="468"/>
      <c r="F34" s="468"/>
      <c r="G34" s="468"/>
      <c r="H34" s="468"/>
      <c r="I34" s="468"/>
      <c r="J34" s="468"/>
      <c r="K34" s="468"/>
    </row>
    <row r="35" spans="1:11" ht="12.75" customHeight="1" x14ac:dyDescent="0.2">
      <c r="A35" s="463" t="s">
        <v>513</v>
      </c>
      <c r="B35" s="470">
        <v>1344</v>
      </c>
      <c r="C35" s="489"/>
      <c r="D35" s="468"/>
      <c r="E35" s="468"/>
      <c r="F35" s="468"/>
      <c r="G35" s="468"/>
      <c r="H35" s="468"/>
      <c r="I35" s="468"/>
      <c r="J35" s="468"/>
      <c r="K35" s="468"/>
    </row>
    <row r="36" spans="1:11" ht="12.75" customHeight="1" x14ac:dyDescent="0.2">
      <c r="A36" s="463" t="s">
        <v>885</v>
      </c>
      <c r="B36" s="470">
        <v>1351</v>
      </c>
      <c r="C36" s="551"/>
      <c r="D36" s="468"/>
      <c r="E36" s="468"/>
      <c r="F36" s="468"/>
      <c r="G36" s="468"/>
      <c r="H36" s="468"/>
      <c r="I36" s="468"/>
      <c r="J36" s="468"/>
      <c r="K36" s="468"/>
    </row>
    <row r="37" spans="1:11" ht="12.75" customHeight="1" x14ac:dyDescent="0.2">
      <c r="A37" s="463" t="s">
        <v>890</v>
      </c>
      <c r="B37" s="470">
        <v>1352</v>
      </c>
      <c r="C37" s="551"/>
      <c r="D37" s="468"/>
      <c r="E37" s="468"/>
      <c r="F37" s="468"/>
      <c r="G37" s="468"/>
      <c r="H37" s="468"/>
      <c r="I37" s="468"/>
      <c r="J37" s="468"/>
      <c r="K37" s="468"/>
    </row>
    <row r="38" spans="1:11" ht="12.75" customHeight="1" x14ac:dyDescent="0.2">
      <c r="A38" s="463" t="s">
        <v>613</v>
      </c>
      <c r="B38" s="470">
        <v>1353</v>
      </c>
      <c r="C38" s="551"/>
      <c r="D38" s="468"/>
      <c r="E38" s="468"/>
      <c r="F38" s="468"/>
      <c r="G38" s="468"/>
      <c r="H38" s="468"/>
      <c r="I38" s="468"/>
      <c r="J38" s="468"/>
      <c r="K38" s="468"/>
    </row>
    <row r="39" spans="1:11" ht="12.75" customHeight="1" x14ac:dyDescent="0.2">
      <c r="A39" s="1508" t="s">
        <v>614</v>
      </c>
      <c r="B39" s="556">
        <v>1354</v>
      </c>
      <c r="C39" s="489"/>
      <c r="D39" s="468"/>
      <c r="E39" s="468"/>
      <c r="F39" s="468"/>
      <c r="G39" s="468"/>
      <c r="H39" s="468"/>
      <c r="I39" s="468"/>
      <c r="J39" s="468"/>
      <c r="K39" s="468"/>
    </row>
    <row r="40" spans="1:11" ht="12.75" customHeight="1" thickBot="1" x14ac:dyDescent="0.25">
      <c r="A40" s="1719" t="s">
        <v>558</v>
      </c>
      <c r="B40" s="1720"/>
      <c r="C40" s="1699">
        <f>SUM(C20:C39)</f>
        <v>79256</v>
      </c>
      <c r="D40" s="468"/>
      <c r="E40" s="468"/>
      <c r="F40" s="468"/>
      <c r="G40" s="468"/>
      <c r="H40" s="468"/>
      <c r="I40" s="468"/>
      <c r="J40" s="468"/>
      <c r="K40" s="468"/>
    </row>
    <row r="41" spans="1:11" ht="15.75" customHeight="1" thickTop="1" x14ac:dyDescent="0.2">
      <c r="A41" s="1605" t="s">
        <v>291</v>
      </c>
      <c r="B41" s="1606">
        <v>1400</v>
      </c>
      <c r="C41" s="468"/>
      <c r="D41" s="468"/>
      <c r="E41" s="468"/>
      <c r="F41" s="521"/>
      <c r="G41" s="468"/>
      <c r="H41" s="468"/>
      <c r="I41" s="468"/>
      <c r="J41" s="468"/>
      <c r="K41" s="468"/>
    </row>
    <row r="42" spans="1:11" ht="12.75" customHeight="1" x14ac:dyDescent="0.2">
      <c r="A42" s="463" t="s">
        <v>1135</v>
      </c>
      <c r="B42" s="470">
        <v>1411</v>
      </c>
      <c r="C42" s="468"/>
      <c r="D42" s="468"/>
      <c r="E42" s="468"/>
      <c r="F42" s="481"/>
      <c r="G42" s="468"/>
      <c r="H42" s="468"/>
      <c r="I42" s="468"/>
      <c r="J42" s="468"/>
      <c r="K42" s="468"/>
    </row>
    <row r="43" spans="1:11" ht="12.75" customHeight="1" x14ac:dyDescent="0.2">
      <c r="A43" s="463" t="s">
        <v>891</v>
      </c>
      <c r="B43" s="470">
        <v>1412</v>
      </c>
      <c r="C43" s="468"/>
      <c r="D43" s="468"/>
      <c r="E43" s="468"/>
      <c r="F43" s="466"/>
      <c r="G43" s="468"/>
      <c r="H43" s="468"/>
      <c r="I43" s="468"/>
      <c r="J43" s="468"/>
      <c r="K43" s="468"/>
    </row>
    <row r="44" spans="1:11" ht="12.75" customHeight="1" x14ac:dyDescent="0.2">
      <c r="A44" s="463" t="s">
        <v>401</v>
      </c>
      <c r="B44" s="470">
        <v>1413</v>
      </c>
      <c r="C44" s="468"/>
      <c r="D44" s="468"/>
      <c r="E44" s="468"/>
      <c r="F44" s="466"/>
      <c r="G44" s="468"/>
      <c r="H44" s="468"/>
      <c r="I44" s="468"/>
      <c r="J44" s="468"/>
      <c r="K44" s="468"/>
    </row>
    <row r="45" spans="1:11" ht="12.75" customHeight="1" x14ac:dyDescent="0.2">
      <c r="A45" s="463" t="s">
        <v>258</v>
      </c>
      <c r="B45" s="470">
        <v>1415</v>
      </c>
      <c r="C45" s="468"/>
      <c r="D45" s="468"/>
      <c r="E45" s="468"/>
      <c r="F45" s="466">
        <v>11975</v>
      </c>
      <c r="G45" s="468"/>
      <c r="H45" s="468"/>
      <c r="I45" s="468"/>
      <c r="J45" s="468"/>
      <c r="K45" s="468"/>
    </row>
    <row r="46" spans="1:11" ht="12.75" customHeight="1" x14ac:dyDescent="0.2">
      <c r="A46" s="463" t="s">
        <v>1235</v>
      </c>
      <c r="B46" s="470">
        <v>1416</v>
      </c>
      <c r="C46" s="468"/>
      <c r="D46" s="468"/>
      <c r="E46" s="468"/>
      <c r="F46" s="467"/>
      <c r="G46" s="468"/>
      <c r="H46" s="468"/>
      <c r="I46" s="468"/>
      <c r="J46" s="468"/>
      <c r="K46" s="468"/>
    </row>
    <row r="47" spans="1:11" ht="12.75" customHeight="1" x14ac:dyDescent="0.2">
      <c r="A47" s="463" t="s">
        <v>59</v>
      </c>
      <c r="B47" s="470">
        <v>1421</v>
      </c>
      <c r="C47" s="468"/>
      <c r="D47" s="468"/>
      <c r="E47" s="468"/>
      <c r="F47" s="466"/>
      <c r="G47" s="468"/>
      <c r="H47" s="468"/>
      <c r="I47" s="468"/>
      <c r="J47" s="468"/>
      <c r="K47" s="468"/>
    </row>
    <row r="48" spans="1:11" ht="12.75" customHeight="1" x14ac:dyDescent="0.2">
      <c r="A48" s="463" t="s">
        <v>892</v>
      </c>
      <c r="B48" s="470">
        <v>1422</v>
      </c>
      <c r="C48" s="468"/>
      <c r="D48" s="468"/>
      <c r="E48" s="468"/>
      <c r="F48" s="466"/>
      <c r="G48" s="468"/>
      <c r="H48" s="468"/>
      <c r="I48" s="468"/>
      <c r="J48" s="468"/>
      <c r="K48" s="468"/>
    </row>
    <row r="49" spans="1:11" ht="12.75" customHeight="1" x14ac:dyDescent="0.2">
      <c r="A49" s="463" t="s">
        <v>60</v>
      </c>
      <c r="B49" s="470">
        <v>1423</v>
      </c>
      <c r="C49" s="468"/>
      <c r="D49" s="468"/>
      <c r="E49" s="468"/>
      <c r="F49" s="466"/>
      <c r="G49" s="468"/>
      <c r="H49" s="468"/>
      <c r="I49" s="468"/>
      <c r="J49" s="468"/>
      <c r="K49" s="468"/>
    </row>
    <row r="50" spans="1:11" ht="12.75" customHeight="1" x14ac:dyDescent="0.2">
      <c r="A50" s="463" t="s">
        <v>61</v>
      </c>
      <c r="B50" s="470">
        <v>1424</v>
      </c>
      <c r="C50" s="468"/>
      <c r="D50" s="468"/>
      <c r="E50" s="468"/>
      <c r="F50" s="467"/>
      <c r="G50" s="468"/>
      <c r="H50" s="468"/>
      <c r="I50" s="468"/>
      <c r="J50" s="468"/>
      <c r="K50" s="468"/>
    </row>
    <row r="51" spans="1:11" ht="12.75" customHeight="1" x14ac:dyDescent="0.2">
      <c r="A51" s="1509" t="s">
        <v>62</v>
      </c>
      <c r="B51" s="557">
        <v>1431</v>
      </c>
      <c r="C51" s="468"/>
      <c r="D51" s="468"/>
      <c r="E51" s="468"/>
      <c r="F51" s="466"/>
      <c r="G51" s="468"/>
      <c r="H51" s="468"/>
      <c r="I51" s="468"/>
      <c r="J51" s="468"/>
      <c r="K51" s="468"/>
    </row>
    <row r="52" spans="1:11" ht="12.75" customHeight="1" x14ac:dyDescent="0.2">
      <c r="A52" s="1509" t="s">
        <v>1167</v>
      </c>
      <c r="B52" s="557">
        <v>1432</v>
      </c>
      <c r="C52" s="468"/>
      <c r="D52" s="468"/>
      <c r="E52" s="468"/>
      <c r="F52" s="466"/>
      <c r="G52" s="468"/>
      <c r="H52" s="468"/>
      <c r="I52" s="468"/>
      <c r="J52" s="468"/>
      <c r="K52" s="468"/>
    </row>
    <row r="53" spans="1:11" ht="12.75" customHeight="1" x14ac:dyDescent="0.2">
      <c r="A53" s="1509" t="s">
        <v>63</v>
      </c>
      <c r="B53" s="557">
        <v>1433</v>
      </c>
      <c r="C53" s="468"/>
      <c r="D53" s="468"/>
      <c r="E53" s="468"/>
      <c r="F53" s="466"/>
      <c r="G53" s="468"/>
      <c r="H53" s="468"/>
      <c r="I53" s="468"/>
      <c r="J53" s="468"/>
      <c r="K53" s="468"/>
    </row>
    <row r="54" spans="1:11" ht="12.75" customHeight="1" x14ac:dyDescent="0.2">
      <c r="A54" s="1509" t="s">
        <v>64</v>
      </c>
      <c r="B54" s="557">
        <v>1434</v>
      </c>
      <c r="C54" s="468"/>
      <c r="D54" s="468"/>
      <c r="E54" s="468"/>
      <c r="F54" s="467"/>
      <c r="G54" s="468"/>
      <c r="H54" s="468"/>
      <c r="I54" s="468"/>
      <c r="J54" s="468"/>
      <c r="K54" s="468"/>
    </row>
    <row r="55" spans="1:11" ht="12.75" customHeight="1" x14ac:dyDescent="0.2">
      <c r="A55" s="1509" t="s">
        <v>65</v>
      </c>
      <c r="B55" s="557">
        <v>1441</v>
      </c>
      <c r="C55" s="468"/>
      <c r="D55" s="468"/>
      <c r="E55" s="468"/>
      <c r="F55" s="466"/>
      <c r="G55" s="468"/>
      <c r="H55" s="468"/>
      <c r="I55" s="468"/>
      <c r="J55" s="468"/>
      <c r="K55" s="468"/>
    </row>
    <row r="56" spans="1:11" ht="12.75" customHeight="1" x14ac:dyDescent="0.2">
      <c r="A56" s="1509" t="s">
        <v>1168</v>
      </c>
      <c r="B56" s="557">
        <v>1442</v>
      </c>
      <c r="C56" s="468"/>
      <c r="D56" s="468"/>
      <c r="E56" s="468"/>
      <c r="F56" s="466"/>
      <c r="G56" s="468"/>
      <c r="H56" s="468"/>
      <c r="I56" s="468"/>
      <c r="J56" s="468"/>
      <c r="K56" s="468"/>
    </row>
    <row r="57" spans="1:11" ht="12.75" customHeight="1" x14ac:dyDescent="0.2">
      <c r="A57" s="1509" t="s">
        <v>509</v>
      </c>
      <c r="B57" s="557">
        <v>1443</v>
      </c>
      <c r="C57" s="468"/>
      <c r="D57" s="468"/>
      <c r="E57" s="468"/>
      <c r="F57" s="466"/>
      <c r="G57" s="468"/>
      <c r="H57" s="468"/>
      <c r="I57" s="468"/>
      <c r="J57" s="468"/>
      <c r="K57" s="468"/>
    </row>
    <row r="58" spans="1:11" ht="12.75" customHeight="1" x14ac:dyDescent="0.2">
      <c r="A58" s="1509" t="s">
        <v>67</v>
      </c>
      <c r="B58" s="557">
        <v>1444</v>
      </c>
      <c r="C58" s="468"/>
      <c r="D58" s="468"/>
      <c r="E58" s="468"/>
      <c r="F58" s="466"/>
      <c r="G58" s="468"/>
      <c r="H58" s="468"/>
      <c r="I58" s="468"/>
      <c r="J58" s="468"/>
      <c r="K58" s="468"/>
    </row>
    <row r="59" spans="1:11" ht="12.75" customHeight="1" x14ac:dyDescent="0.2">
      <c r="A59" s="1509" t="s">
        <v>932</v>
      </c>
      <c r="B59" s="557">
        <v>1451</v>
      </c>
      <c r="C59" s="468"/>
      <c r="D59" s="468"/>
      <c r="E59" s="468"/>
      <c r="F59" s="466"/>
      <c r="G59" s="468"/>
      <c r="H59" s="468"/>
      <c r="I59" s="468"/>
      <c r="J59" s="468"/>
      <c r="K59" s="468"/>
    </row>
    <row r="60" spans="1:11" ht="12.75" customHeight="1" x14ac:dyDescent="0.2">
      <c r="A60" s="1509" t="s">
        <v>1169</v>
      </c>
      <c r="B60" s="557">
        <v>1452</v>
      </c>
      <c r="C60" s="468"/>
      <c r="D60" s="468"/>
      <c r="E60" s="468"/>
      <c r="F60" s="466"/>
      <c r="G60" s="468"/>
      <c r="H60" s="468"/>
      <c r="I60" s="468"/>
      <c r="J60" s="468"/>
      <c r="K60" s="468"/>
    </row>
    <row r="61" spans="1:11" ht="12.75" customHeight="1" x14ac:dyDescent="0.2">
      <c r="A61" s="563" t="s">
        <v>933</v>
      </c>
      <c r="B61" s="557">
        <v>1453</v>
      </c>
      <c r="C61" s="468"/>
      <c r="D61" s="468"/>
      <c r="E61" s="468"/>
      <c r="F61" s="466"/>
      <c r="G61" s="468"/>
      <c r="H61" s="468"/>
      <c r="I61" s="468"/>
      <c r="J61" s="468"/>
      <c r="K61" s="468"/>
    </row>
    <row r="62" spans="1:11" ht="12.75" customHeight="1" x14ac:dyDescent="0.2">
      <c r="A62" s="1510" t="s">
        <v>934</v>
      </c>
      <c r="B62" s="558">
        <v>1454</v>
      </c>
      <c r="C62" s="468"/>
      <c r="D62" s="468"/>
      <c r="E62" s="468"/>
      <c r="F62" s="467"/>
      <c r="G62" s="468"/>
      <c r="H62" s="468"/>
      <c r="I62" s="468"/>
      <c r="J62" s="468"/>
      <c r="K62" s="468"/>
    </row>
    <row r="63" spans="1:11" ht="12.75" customHeight="1" thickBot="1" x14ac:dyDescent="0.25">
      <c r="A63" s="1719" t="s">
        <v>505</v>
      </c>
      <c r="B63" s="1720"/>
      <c r="C63" s="468"/>
      <c r="D63" s="468"/>
      <c r="E63" s="468"/>
      <c r="F63" s="1699">
        <f>SUM(F42:F62)</f>
        <v>11975</v>
      </c>
      <c r="G63" s="468"/>
      <c r="H63" s="468"/>
      <c r="I63" s="468"/>
      <c r="J63" s="468"/>
      <c r="K63" s="468"/>
    </row>
    <row r="64" spans="1:11" ht="15.75" customHeight="1" thickTop="1" x14ac:dyDescent="0.2">
      <c r="A64" s="1605" t="s">
        <v>473</v>
      </c>
      <c r="B64" s="1606">
        <v>1500</v>
      </c>
      <c r="C64" s="468"/>
      <c r="D64" s="468"/>
      <c r="E64" s="468"/>
      <c r="F64" s="468"/>
      <c r="G64" s="468"/>
      <c r="H64" s="468"/>
      <c r="I64" s="468"/>
      <c r="J64" s="468"/>
      <c r="K64" s="468"/>
    </row>
    <row r="65" spans="1:11" ht="12.75" customHeight="1" x14ac:dyDescent="0.2">
      <c r="A65" s="463" t="s">
        <v>567</v>
      </c>
      <c r="B65" s="470">
        <v>1510</v>
      </c>
      <c r="C65" s="466">
        <v>6023</v>
      </c>
      <c r="D65" s="466">
        <v>1115</v>
      </c>
      <c r="E65" s="466">
        <v>12756</v>
      </c>
      <c r="F65" s="467">
        <v>1435</v>
      </c>
      <c r="G65" s="466">
        <v>2106</v>
      </c>
      <c r="H65" s="466">
        <v>451</v>
      </c>
      <c r="I65" s="466">
        <v>311</v>
      </c>
      <c r="J65" s="467">
        <v>1746</v>
      </c>
      <c r="K65" s="466">
        <v>415</v>
      </c>
    </row>
    <row r="66" spans="1:11" ht="12.75" customHeight="1" x14ac:dyDescent="0.2">
      <c r="A66" s="463" t="s">
        <v>699</v>
      </c>
      <c r="B66" s="470">
        <v>1520</v>
      </c>
      <c r="C66" s="466"/>
      <c r="D66" s="466"/>
      <c r="E66" s="466"/>
      <c r="F66" s="466"/>
      <c r="G66" s="466"/>
      <c r="H66" s="466"/>
      <c r="I66" s="466"/>
      <c r="J66" s="467"/>
      <c r="K66" s="466"/>
    </row>
    <row r="67" spans="1:11" ht="12.75" customHeight="1" thickBot="1" x14ac:dyDescent="0.25">
      <c r="A67" s="1719" t="s">
        <v>506</v>
      </c>
      <c r="B67" s="1720"/>
      <c r="C67" s="1699">
        <f>SUM(C65:C66)</f>
        <v>6023</v>
      </c>
      <c r="D67" s="1699">
        <f t="shared" ref="D67:K67" si="2">SUM(D65:D66)</f>
        <v>1115</v>
      </c>
      <c r="E67" s="1699">
        <f t="shared" si="2"/>
        <v>12756</v>
      </c>
      <c r="F67" s="1699">
        <f t="shared" si="2"/>
        <v>1435</v>
      </c>
      <c r="G67" s="1699">
        <f t="shared" si="2"/>
        <v>2106</v>
      </c>
      <c r="H67" s="1699">
        <f t="shared" si="2"/>
        <v>451</v>
      </c>
      <c r="I67" s="1699">
        <f t="shared" si="2"/>
        <v>311</v>
      </c>
      <c r="J67" s="1699">
        <f t="shared" si="2"/>
        <v>1746</v>
      </c>
      <c r="K67" s="1699">
        <f t="shared" si="2"/>
        <v>415</v>
      </c>
    </row>
    <row r="68" spans="1:11" ht="15.75" customHeight="1" thickTop="1" x14ac:dyDescent="0.2">
      <c r="A68" s="1605" t="s">
        <v>474</v>
      </c>
      <c r="B68" s="1607">
        <v>1600</v>
      </c>
      <c r="C68" s="553"/>
      <c r="D68" s="468"/>
      <c r="E68" s="468"/>
      <c r="F68" s="468"/>
      <c r="G68" s="468"/>
      <c r="H68" s="468"/>
      <c r="I68" s="468"/>
      <c r="J68" s="468"/>
      <c r="K68" s="468"/>
    </row>
    <row r="69" spans="1:11" ht="12.75" customHeight="1" x14ac:dyDescent="0.2">
      <c r="A69" s="463" t="s">
        <v>686</v>
      </c>
      <c r="B69" s="470">
        <v>1611</v>
      </c>
      <c r="C69" s="466">
        <v>389793</v>
      </c>
      <c r="D69" s="468"/>
      <c r="E69" s="468"/>
      <c r="F69" s="468"/>
      <c r="G69" s="468"/>
      <c r="H69" s="468"/>
      <c r="I69" s="468"/>
      <c r="J69" s="468"/>
      <c r="K69" s="468"/>
    </row>
    <row r="70" spans="1:11" ht="12.75" customHeight="1" x14ac:dyDescent="0.2">
      <c r="A70" s="463" t="s">
        <v>1053</v>
      </c>
      <c r="B70" s="470">
        <v>1612</v>
      </c>
      <c r="C70" s="551"/>
      <c r="D70" s="468"/>
      <c r="E70" s="468"/>
      <c r="F70" s="468"/>
      <c r="G70" s="468"/>
      <c r="H70" s="468"/>
      <c r="I70" s="468"/>
      <c r="J70" s="468"/>
      <c r="K70" s="468"/>
    </row>
    <row r="71" spans="1:11" ht="12.75" customHeight="1" x14ac:dyDescent="0.2">
      <c r="A71" s="463" t="s">
        <v>290</v>
      </c>
      <c r="B71" s="470">
        <v>1613</v>
      </c>
      <c r="C71" s="551"/>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1054</v>
      </c>
      <c r="B73" s="470">
        <v>1620</v>
      </c>
      <c r="C73" s="551"/>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719" t="s">
        <v>568</v>
      </c>
      <c r="B75" s="1720"/>
      <c r="C75" s="1699">
        <f>SUM(C69:C74)</f>
        <v>389793</v>
      </c>
      <c r="D75" s="468"/>
      <c r="E75" s="468"/>
      <c r="F75" s="468"/>
      <c r="G75" s="468"/>
      <c r="H75" s="468"/>
      <c r="I75" s="468"/>
      <c r="J75" s="468"/>
      <c r="K75" s="468"/>
    </row>
    <row r="76" spans="1:11" ht="15.75" customHeight="1" thickTop="1" x14ac:dyDescent="0.2">
      <c r="A76" s="1605" t="s">
        <v>935</v>
      </c>
      <c r="B76" s="1607">
        <v>1700</v>
      </c>
      <c r="C76" s="553"/>
      <c r="D76" s="468"/>
      <c r="E76" s="468"/>
      <c r="F76" s="468"/>
      <c r="G76" s="468"/>
      <c r="H76" s="468"/>
      <c r="I76" s="468"/>
      <c r="J76" s="468"/>
      <c r="K76" s="468"/>
    </row>
    <row r="77" spans="1:11" ht="12.75" customHeight="1" x14ac:dyDescent="0.2">
      <c r="A77" s="463" t="s">
        <v>569</v>
      </c>
      <c r="B77" s="470">
        <v>1711</v>
      </c>
      <c r="C77" s="516">
        <v>36574</v>
      </c>
      <c r="D77" s="466"/>
      <c r="E77" s="468"/>
      <c r="F77" s="468"/>
      <c r="G77" s="468"/>
      <c r="H77" s="468"/>
      <c r="I77" s="468"/>
      <c r="J77" s="468"/>
      <c r="K77" s="468"/>
    </row>
    <row r="78" spans="1:11" ht="12.75" customHeight="1" x14ac:dyDescent="0.2">
      <c r="A78" s="463" t="s">
        <v>78</v>
      </c>
      <c r="B78" s="470">
        <v>1719</v>
      </c>
      <c r="C78" s="551"/>
      <c r="D78" s="466"/>
      <c r="E78" s="468"/>
      <c r="F78" s="468"/>
      <c r="G78" s="468"/>
      <c r="H78" s="468"/>
      <c r="I78" s="468"/>
      <c r="J78" s="468"/>
      <c r="K78" s="468"/>
    </row>
    <row r="79" spans="1:11" ht="12.75" customHeight="1" x14ac:dyDescent="0.2">
      <c r="A79" s="463" t="s">
        <v>570</v>
      </c>
      <c r="B79" s="470">
        <v>1720</v>
      </c>
      <c r="C79" s="551">
        <v>117347</v>
      </c>
      <c r="D79" s="466"/>
      <c r="E79" s="468"/>
      <c r="F79" s="468"/>
      <c r="G79" s="468"/>
      <c r="H79" s="468"/>
      <c r="I79" s="468"/>
      <c r="J79" s="468"/>
      <c r="K79" s="468"/>
    </row>
    <row r="80" spans="1:11" ht="12.75" customHeight="1" x14ac:dyDescent="0.2">
      <c r="A80" s="463" t="s">
        <v>571</v>
      </c>
      <c r="B80" s="470">
        <v>1730</v>
      </c>
      <c r="C80" s="551"/>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719" t="s">
        <v>259</v>
      </c>
      <c r="B82" s="1720"/>
      <c r="C82" s="1718">
        <f>SUM(C77:C81)</f>
        <v>153921</v>
      </c>
      <c r="D82" s="1699">
        <f>SUM(D77:D81)</f>
        <v>0</v>
      </c>
      <c r="E82" s="468"/>
      <c r="F82" s="468"/>
      <c r="G82" s="468"/>
      <c r="H82" s="468"/>
      <c r="I82" s="468"/>
      <c r="J82" s="468"/>
      <c r="K82" s="468"/>
    </row>
    <row r="83" spans="1:11" ht="15.75" customHeight="1" thickTop="1" x14ac:dyDescent="0.2">
      <c r="A83" s="1605" t="s">
        <v>260</v>
      </c>
      <c r="B83" s="1607">
        <v>1800</v>
      </c>
      <c r="C83" s="553"/>
      <c r="D83" s="468"/>
      <c r="E83" s="468"/>
      <c r="F83" s="468"/>
      <c r="G83" s="468"/>
      <c r="H83" s="468"/>
      <c r="I83" s="468"/>
      <c r="J83" s="468"/>
      <c r="K83" s="468"/>
    </row>
    <row r="84" spans="1:11" ht="12.75" customHeight="1" x14ac:dyDescent="0.2">
      <c r="A84" s="463" t="s">
        <v>572</v>
      </c>
      <c r="B84" s="470">
        <v>1811</v>
      </c>
      <c r="C84" s="466">
        <v>131625</v>
      </c>
      <c r="D84" s="468"/>
      <c r="E84" s="468"/>
      <c r="F84" s="468"/>
      <c r="G84" s="468"/>
      <c r="H84" s="468"/>
      <c r="I84" s="468"/>
      <c r="J84" s="468"/>
      <c r="K84" s="468"/>
    </row>
    <row r="85" spans="1:11" ht="12.75" customHeight="1" x14ac:dyDescent="0.2">
      <c r="A85" s="463" t="s">
        <v>573</v>
      </c>
      <c r="B85" s="470">
        <v>1812</v>
      </c>
      <c r="C85" s="551"/>
      <c r="D85" s="468"/>
      <c r="E85" s="468"/>
      <c r="F85" s="468"/>
      <c r="G85" s="468"/>
      <c r="H85" s="468"/>
      <c r="I85" s="468"/>
      <c r="J85" s="468"/>
      <c r="K85" s="468"/>
    </row>
    <row r="86" spans="1:11" ht="12.75" customHeight="1" x14ac:dyDescent="0.2">
      <c r="A86" s="463" t="s">
        <v>1055</v>
      </c>
      <c r="B86" s="470">
        <v>1813</v>
      </c>
      <c r="C86" s="551"/>
      <c r="D86" s="468"/>
      <c r="E86" s="468"/>
      <c r="F86" s="468"/>
      <c r="G86" s="468"/>
      <c r="H86" s="468"/>
      <c r="I86" s="468"/>
      <c r="J86" s="468"/>
      <c r="K86" s="468"/>
    </row>
    <row r="87" spans="1:11" ht="12.75" customHeight="1" x14ac:dyDescent="0.2">
      <c r="A87" s="463" t="s">
        <v>79</v>
      </c>
      <c r="B87" s="470">
        <v>1819</v>
      </c>
      <c r="C87" s="551"/>
      <c r="D87" s="468"/>
      <c r="E87" s="468"/>
      <c r="F87" s="468"/>
      <c r="G87" s="468"/>
      <c r="H87" s="468"/>
      <c r="I87" s="468"/>
      <c r="J87" s="468"/>
      <c r="K87" s="468"/>
    </row>
    <row r="88" spans="1:11" ht="12.75" customHeight="1" x14ac:dyDescent="0.2">
      <c r="A88" s="463" t="s">
        <v>574</v>
      </c>
      <c r="B88" s="470">
        <v>1821</v>
      </c>
      <c r="C88" s="551"/>
      <c r="D88" s="468"/>
      <c r="E88" s="468"/>
      <c r="F88" s="468"/>
      <c r="G88" s="468"/>
      <c r="H88" s="468"/>
      <c r="I88" s="468"/>
      <c r="J88" s="468"/>
      <c r="K88" s="468"/>
    </row>
    <row r="89" spans="1:11" ht="12.75" customHeight="1" x14ac:dyDescent="0.2">
      <c r="A89" s="463" t="s">
        <v>737</v>
      </c>
      <c r="B89" s="470">
        <v>1822</v>
      </c>
      <c r="C89" s="551"/>
      <c r="D89" s="468"/>
      <c r="E89" s="468"/>
      <c r="F89" s="468"/>
      <c r="G89" s="468"/>
      <c r="H89" s="468"/>
      <c r="I89" s="468"/>
      <c r="J89" s="468"/>
      <c r="K89" s="468"/>
    </row>
    <row r="90" spans="1:11" ht="12.75" customHeight="1" x14ac:dyDescent="0.2">
      <c r="A90" s="463" t="s">
        <v>141</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785</v>
      </c>
      <c r="B92" s="470">
        <v>1890</v>
      </c>
      <c r="C92" s="551"/>
      <c r="D92" s="468"/>
      <c r="E92" s="468"/>
      <c r="F92" s="468"/>
      <c r="G92" s="468"/>
      <c r="H92" s="468"/>
      <c r="I92" s="468"/>
      <c r="J92" s="468"/>
      <c r="K92" s="468"/>
    </row>
    <row r="93" spans="1:11" ht="12.75" customHeight="1" thickBot="1" x14ac:dyDescent="0.25">
      <c r="A93" s="1719" t="s">
        <v>261</v>
      </c>
      <c r="B93" s="1720"/>
      <c r="C93" s="1699">
        <f>SUM(C84:C92)</f>
        <v>131625</v>
      </c>
      <c r="D93" s="468"/>
      <c r="E93" s="468"/>
      <c r="F93" s="468"/>
      <c r="G93" s="468"/>
      <c r="H93" s="468"/>
      <c r="I93" s="468"/>
      <c r="J93" s="468"/>
      <c r="K93" s="468"/>
    </row>
    <row r="94" spans="1:11" ht="15.75" customHeight="1" thickTop="1" x14ac:dyDescent="0.2">
      <c r="A94" s="1605" t="s">
        <v>1198</v>
      </c>
      <c r="B94" s="1607">
        <v>1900</v>
      </c>
      <c r="C94" s="553"/>
      <c r="D94" s="521"/>
      <c r="E94" s="468"/>
      <c r="F94" s="468"/>
      <c r="G94" s="468"/>
      <c r="H94" s="468"/>
      <c r="I94" s="468"/>
      <c r="J94" s="468"/>
      <c r="K94" s="468"/>
    </row>
    <row r="95" spans="1:11" ht="12.75" customHeight="1" x14ac:dyDescent="0.2">
      <c r="A95" s="463" t="s">
        <v>1123</v>
      </c>
      <c r="B95" s="470">
        <v>1910</v>
      </c>
      <c r="C95" s="466"/>
      <c r="D95" s="551">
        <v>35340</v>
      </c>
      <c r="E95" s="521"/>
      <c r="F95" s="521"/>
      <c r="G95" s="521"/>
      <c r="H95" s="521"/>
      <c r="I95" s="521"/>
      <c r="J95" s="521"/>
      <c r="K95" s="521"/>
    </row>
    <row r="96" spans="1:11" ht="12.75" customHeight="1" x14ac:dyDescent="0.2">
      <c r="A96" s="463" t="s">
        <v>408</v>
      </c>
      <c r="B96" s="470">
        <v>1920</v>
      </c>
      <c r="C96" s="551"/>
      <c r="D96" s="551"/>
      <c r="E96" s="479"/>
      <c r="F96" s="478"/>
      <c r="G96" s="478"/>
      <c r="H96" s="478"/>
      <c r="I96" s="478"/>
      <c r="J96" s="478"/>
      <c r="K96" s="478"/>
    </row>
    <row r="97" spans="1:12" ht="12.75" customHeight="1" x14ac:dyDescent="0.2">
      <c r="A97" s="1508" t="s">
        <v>262</v>
      </c>
      <c r="B97" s="559">
        <v>1930</v>
      </c>
      <c r="C97" s="489"/>
      <c r="D97" s="467"/>
      <c r="E97" s="474"/>
      <c r="F97" s="467"/>
      <c r="G97" s="467"/>
      <c r="H97" s="467"/>
      <c r="I97" s="467"/>
      <c r="J97" s="467"/>
      <c r="K97" s="467"/>
    </row>
    <row r="98" spans="1:12" ht="12.75" customHeight="1" x14ac:dyDescent="0.2">
      <c r="A98" s="463" t="s">
        <v>198</v>
      </c>
      <c r="B98" s="470">
        <v>1940</v>
      </c>
      <c r="C98" s="489"/>
      <c r="D98" s="466"/>
      <c r="E98" s="512"/>
      <c r="F98" s="466"/>
      <c r="G98" s="512"/>
      <c r="H98" s="512"/>
      <c r="I98" s="510"/>
      <c r="J98" s="512"/>
      <c r="K98" s="512"/>
    </row>
    <row r="99" spans="1:12" ht="12.75" customHeight="1" x14ac:dyDescent="0.2">
      <c r="A99" s="463" t="s">
        <v>874</v>
      </c>
      <c r="B99" s="470">
        <v>1950</v>
      </c>
      <c r="C99" s="489"/>
      <c r="D99" s="466"/>
      <c r="E99" s="466"/>
      <c r="F99" s="466"/>
      <c r="G99" s="466"/>
      <c r="H99" s="466"/>
      <c r="I99" s="468"/>
      <c r="J99" s="467"/>
      <c r="K99" s="466"/>
    </row>
    <row r="100" spans="1:12" ht="12.75" customHeight="1" x14ac:dyDescent="0.2">
      <c r="A100" s="463" t="s">
        <v>263</v>
      </c>
      <c r="B100" s="470">
        <v>1960</v>
      </c>
      <c r="C100" s="489"/>
      <c r="D100" s="489"/>
      <c r="E100" s="489"/>
      <c r="F100" s="489"/>
      <c r="G100" s="489"/>
      <c r="H100" s="489"/>
      <c r="I100" s="467"/>
      <c r="J100" s="489"/>
      <c r="K100" s="467"/>
    </row>
    <row r="101" spans="1:12" ht="12.75" customHeight="1" x14ac:dyDescent="0.2">
      <c r="A101" s="463" t="s">
        <v>264</v>
      </c>
      <c r="B101" s="470">
        <v>1970</v>
      </c>
      <c r="C101" s="489">
        <v>18010</v>
      </c>
      <c r="D101" s="526"/>
      <c r="E101" s="480"/>
      <c r="F101" s="526"/>
      <c r="G101" s="475"/>
      <c r="H101" s="526"/>
      <c r="I101" s="468"/>
      <c r="J101" s="475"/>
      <c r="K101" s="475"/>
    </row>
    <row r="102" spans="1:12" ht="12.75" customHeight="1" x14ac:dyDescent="0.2">
      <c r="A102" s="463" t="s">
        <v>265</v>
      </c>
      <c r="B102" s="470">
        <v>1980</v>
      </c>
      <c r="C102" s="489">
        <v>6851</v>
      </c>
      <c r="D102" s="489"/>
      <c r="E102" s="489"/>
      <c r="F102" s="489"/>
      <c r="G102" s="489"/>
      <c r="H102" s="489"/>
      <c r="I102" s="467"/>
      <c r="J102" s="489"/>
      <c r="K102" s="467"/>
    </row>
    <row r="103" spans="1:12" ht="12.75" customHeight="1" x14ac:dyDescent="0.2">
      <c r="A103" s="463" t="s">
        <v>362</v>
      </c>
      <c r="B103" s="470">
        <v>1983</v>
      </c>
      <c r="C103" s="468"/>
      <c r="D103" s="468"/>
      <c r="E103" s="560"/>
      <c r="F103" s="468"/>
      <c r="G103" s="468"/>
      <c r="H103" s="489">
        <v>1247766</v>
      </c>
      <c r="I103" s="468"/>
      <c r="J103" s="510"/>
      <c r="K103" s="510"/>
    </row>
    <row r="104" spans="1:12" ht="12.75" customHeight="1" x14ac:dyDescent="0.2">
      <c r="A104" s="463" t="s">
        <v>884</v>
      </c>
      <c r="B104" s="470">
        <v>1991</v>
      </c>
      <c r="C104" s="489"/>
      <c r="D104" s="466"/>
      <c r="E104" s="481"/>
      <c r="F104" s="467"/>
      <c r="G104" s="467"/>
      <c r="H104" s="466"/>
      <c r="I104" s="468"/>
      <c r="J104" s="468"/>
      <c r="K104" s="468"/>
    </row>
    <row r="105" spans="1:12" ht="12.75" customHeight="1" x14ac:dyDescent="0.2">
      <c r="A105" s="463" t="s">
        <v>875</v>
      </c>
      <c r="B105" s="470">
        <v>1992</v>
      </c>
      <c r="C105" s="466"/>
      <c r="D105" s="561"/>
      <c r="E105" s="468"/>
      <c r="F105" s="468"/>
      <c r="G105" s="468"/>
      <c r="H105" s="510"/>
      <c r="I105" s="468"/>
      <c r="J105" s="468"/>
      <c r="K105" s="468"/>
    </row>
    <row r="106" spans="1:12" ht="12.75" customHeight="1" x14ac:dyDescent="0.2">
      <c r="A106" s="463" t="s">
        <v>1504</v>
      </c>
      <c r="B106" s="470">
        <v>1993</v>
      </c>
      <c r="C106" s="466"/>
      <c r="D106" s="489"/>
      <c r="E106" s="467"/>
      <c r="F106" s="467"/>
      <c r="G106" s="467"/>
      <c r="H106" s="467"/>
      <c r="I106" s="521"/>
      <c r="J106" s="467"/>
      <c r="K106" s="467"/>
    </row>
    <row r="107" spans="1:12" ht="12.75" customHeight="1" x14ac:dyDescent="0.2">
      <c r="A107" s="463" t="s">
        <v>80</v>
      </c>
      <c r="B107" s="470">
        <v>1999</v>
      </c>
      <c r="C107" s="551">
        <v>108060</v>
      </c>
      <c r="D107" s="466">
        <v>5622</v>
      </c>
      <c r="E107" s="466"/>
      <c r="F107" s="466">
        <v>272805</v>
      </c>
      <c r="G107" s="466"/>
      <c r="H107" s="466"/>
      <c r="I107" s="466"/>
      <c r="J107" s="467"/>
      <c r="K107" s="466"/>
    </row>
    <row r="108" spans="1:12" ht="12.75" customHeight="1" thickBot="1" x14ac:dyDescent="0.25">
      <c r="A108" s="1719" t="s">
        <v>507</v>
      </c>
      <c r="B108" s="1723"/>
      <c r="C108" s="1718">
        <f>SUM(C95:C107)</f>
        <v>132921</v>
      </c>
      <c r="D108" s="1718">
        <f t="shared" ref="D108:K108" si="3">SUM(D95:D107)</f>
        <v>40962</v>
      </c>
      <c r="E108" s="1718">
        <f t="shared" si="3"/>
        <v>0</v>
      </c>
      <c r="F108" s="1718">
        <f t="shared" si="3"/>
        <v>272805</v>
      </c>
      <c r="G108" s="1718">
        <f t="shared" si="3"/>
        <v>0</v>
      </c>
      <c r="H108" s="1718">
        <f t="shared" si="3"/>
        <v>1247766</v>
      </c>
      <c r="I108" s="1718">
        <f t="shared" si="3"/>
        <v>0</v>
      </c>
      <c r="J108" s="1718">
        <f t="shared" si="3"/>
        <v>0</v>
      </c>
      <c r="K108" s="1699">
        <f t="shared" si="3"/>
        <v>0</v>
      </c>
    </row>
    <row r="109" spans="1:12" ht="14.25" thickTop="1" thickBot="1" x14ac:dyDescent="0.25">
      <c r="A109" s="1724" t="s">
        <v>266</v>
      </c>
      <c r="B109" s="1725" t="s">
        <v>590</v>
      </c>
      <c r="C109" s="1726">
        <f t="shared" ref="C109:K109" si="4">SUM(C12,C18,C40,C63,C67,C75,C82,C93,C108,)</f>
        <v>6786181</v>
      </c>
      <c r="D109" s="1726">
        <f t="shared" si="4"/>
        <v>1663639</v>
      </c>
      <c r="E109" s="1726">
        <f t="shared" si="4"/>
        <v>3143088</v>
      </c>
      <c r="F109" s="1726">
        <f t="shared" si="4"/>
        <v>1060946</v>
      </c>
      <c r="G109" s="1726">
        <f t="shared" si="4"/>
        <v>1254737</v>
      </c>
      <c r="H109" s="1726">
        <f t="shared" si="4"/>
        <v>1248217</v>
      </c>
      <c r="I109" s="1726">
        <f t="shared" si="4"/>
        <v>152462</v>
      </c>
      <c r="J109" s="1726">
        <f t="shared" si="4"/>
        <v>1495130</v>
      </c>
      <c r="K109" s="1713">
        <f t="shared" si="4"/>
        <v>152566</v>
      </c>
    </row>
    <row r="110" spans="1:12" ht="30" customHeight="1" thickTop="1" x14ac:dyDescent="0.2">
      <c r="A110" s="1598" t="s">
        <v>363</v>
      </c>
      <c r="B110" s="1599"/>
      <c r="C110" s="1584"/>
      <c r="D110" s="1584"/>
      <c r="E110" s="1584"/>
      <c r="F110" s="1584"/>
      <c r="G110" s="1584"/>
      <c r="H110" s="1584"/>
      <c r="I110" s="1584"/>
      <c r="J110" s="1584"/>
      <c r="K110" s="1585"/>
    </row>
    <row r="111" spans="1:12" ht="12.75" customHeight="1" x14ac:dyDescent="0.2">
      <c r="A111" s="493" t="s">
        <v>876</v>
      </c>
      <c r="B111" s="491">
        <v>2100</v>
      </c>
      <c r="C111" s="516"/>
      <c r="D111" s="481"/>
      <c r="E111" s="561"/>
      <c r="F111" s="481"/>
      <c r="G111" s="481"/>
      <c r="H111" s="561"/>
      <c r="I111" s="468"/>
      <c r="J111" s="468"/>
      <c r="K111" s="468"/>
    </row>
    <row r="112" spans="1:12" ht="12.75" customHeight="1" x14ac:dyDescent="0.2">
      <c r="A112" s="463" t="s">
        <v>877</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27" t="s">
        <v>838</v>
      </c>
      <c r="B114" s="1728" t="s">
        <v>589</v>
      </c>
      <c r="C114" s="1729">
        <f>SUM(C111:C113)</f>
        <v>0</v>
      </c>
      <c r="D114" s="1729">
        <f>SUM(D111:D113)</f>
        <v>0</v>
      </c>
      <c r="E114" s="561" t="s">
        <v>1230</v>
      </c>
      <c r="F114" s="1729">
        <f>SUM(F111:F113)</f>
        <v>0</v>
      </c>
      <c r="G114" s="1729">
        <f>SUM(G111:G113)</f>
        <v>0</v>
      </c>
      <c r="H114" s="561"/>
      <c r="I114" s="468"/>
      <c r="J114" s="468"/>
      <c r="K114" s="468"/>
    </row>
    <row r="115" spans="1:11" ht="16.7" customHeight="1" thickTop="1" x14ac:dyDescent="0.2">
      <c r="A115" s="1600" t="s">
        <v>835</v>
      </c>
      <c r="B115" s="1601"/>
      <c r="C115" s="1583"/>
      <c r="D115" s="1584"/>
      <c r="E115" s="1584"/>
      <c r="F115" s="1584"/>
      <c r="G115" s="1584"/>
      <c r="H115" s="1584"/>
      <c r="I115" s="1584"/>
      <c r="J115" s="1584"/>
      <c r="K115" s="1585"/>
    </row>
    <row r="116" spans="1:11" ht="18" customHeight="1" x14ac:dyDescent="0.2">
      <c r="A116" s="1608" t="s">
        <v>1570</v>
      </c>
      <c r="B116" s="1609"/>
      <c r="C116" s="522"/>
      <c r="D116" s="521"/>
      <c r="E116" s="561"/>
      <c r="F116" s="521"/>
      <c r="G116" s="521"/>
      <c r="H116" s="561"/>
      <c r="I116" s="468"/>
      <c r="J116" s="521"/>
      <c r="K116" s="521"/>
    </row>
    <row r="117" spans="1:11" ht="12.75" customHeight="1" x14ac:dyDescent="0.2">
      <c r="A117" s="463" t="s">
        <v>1765</v>
      </c>
      <c r="B117" s="562">
        <v>3001</v>
      </c>
      <c r="C117" s="516">
        <v>7036571</v>
      </c>
      <c r="D117" s="481"/>
      <c r="E117" s="466"/>
      <c r="F117" s="481"/>
      <c r="G117" s="481"/>
      <c r="H117" s="466"/>
      <c r="I117" s="468"/>
      <c r="J117" s="467"/>
      <c r="K117" s="466"/>
    </row>
    <row r="118" spans="1:11" ht="12.75" customHeight="1" x14ac:dyDescent="0.2">
      <c r="A118" s="463" t="s">
        <v>1898</v>
      </c>
      <c r="B118" s="562">
        <v>3002</v>
      </c>
      <c r="C118" s="551"/>
      <c r="D118" s="466"/>
      <c r="E118" s="466"/>
      <c r="F118" s="466"/>
      <c r="G118" s="466"/>
      <c r="H118" s="466"/>
      <c r="I118" s="468"/>
      <c r="J118" s="467"/>
      <c r="K118" s="466"/>
    </row>
    <row r="119" spans="1:11" ht="12.75" customHeight="1" x14ac:dyDescent="0.2">
      <c r="A119" s="463" t="s">
        <v>1899</v>
      </c>
      <c r="B119" s="562">
        <v>3005</v>
      </c>
      <c r="C119" s="551"/>
      <c r="D119" s="466"/>
      <c r="E119" s="466"/>
      <c r="F119" s="466"/>
      <c r="G119" s="466"/>
      <c r="H119" s="466"/>
      <c r="I119" s="468"/>
      <c r="J119" s="467"/>
      <c r="K119" s="466"/>
    </row>
    <row r="120" spans="1:11" x14ac:dyDescent="0.2">
      <c r="A120" s="1509" t="s">
        <v>1900</v>
      </c>
      <c r="B120" s="564">
        <v>3099</v>
      </c>
      <c r="C120" s="551"/>
      <c r="D120" s="466"/>
      <c r="E120" s="466"/>
      <c r="F120" s="466"/>
      <c r="G120" s="466"/>
      <c r="H120" s="466"/>
      <c r="I120" s="468"/>
      <c r="J120" s="467"/>
      <c r="K120" s="466"/>
    </row>
    <row r="121" spans="1:11" ht="12.6" customHeight="1" thickBot="1" x14ac:dyDescent="0.25">
      <c r="A121" s="1719" t="s">
        <v>508</v>
      </c>
      <c r="B121" s="1730"/>
      <c r="C121" s="1718">
        <f t="shared" ref="C121:H121" si="5">SUM(C117:C120)</f>
        <v>7036571</v>
      </c>
      <c r="D121" s="1718">
        <f t="shared" si="5"/>
        <v>0</v>
      </c>
      <c r="E121" s="1718">
        <f t="shared" si="5"/>
        <v>0</v>
      </c>
      <c r="F121" s="1718">
        <f t="shared" si="5"/>
        <v>0</v>
      </c>
      <c r="G121" s="1718">
        <f t="shared" si="5"/>
        <v>0</v>
      </c>
      <c r="H121" s="1718">
        <f t="shared" si="5"/>
        <v>0</v>
      </c>
      <c r="I121" s="468"/>
      <c r="J121" s="1718">
        <f>SUM(J117:J120)</f>
        <v>0</v>
      </c>
      <c r="K121" s="1699">
        <f>SUM(K117:K120)</f>
        <v>0</v>
      </c>
    </row>
    <row r="122" spans="1:11" ht="15.75" customHeight="1" thickTop="1" x14ac:dyDescent="0.2">
      <c r="A122" s="1605" t="s">
        <v>1569</v>
      </c>
      <c r="B122" s="1610"/>
      <c r="C122" s="565"/>
      <c r="D122" s="509"/>
      <c r="E122" s="468"/>
      <c r="F122" s="566"/>
      <c r="G122" s="468"/>
      <c r="H122" s="468"/>
      <c r="I122" s="468"/>
      <c r="J122" s="468"/>
      <c r="K122" s="468"/>
    </row>
    <row r="123" spans="1:11" ht="15" customHeight="1" x14ac:dyDescent="0.2">
      <c r="A123" s="1611" t="s">
        <v>687</v>
      </c>
      <c r="B123" s="1612"/>
      <c r="C123" s="521"/>
      <c r="D123" s="509"/>
      <c r="E123" s="468"/>
      <c r="F123" s="521"/>
      <c r="G123" s="468"/>
      <c r="H123" s="468"/>
      <c r="I123" s="468"/>
      <c r="J123" s="468"/>
      <c r="K123" s="468"/>
    </row>
    <row r="124" spans="1:11" ht="12.75" customHeight="1" x14ac:dyDescent="0.2">
      <c r="A124" s="463" t="s">
        <v>920</v>
      </c>
      <c r="B124" s="567">
        <v>3100</v>
      </c>
      <c r="C124" s="481">
        <v>62457</v>
      </c>
      <c r="D124" s="561"/>
      <c r="E124" s="468"/>
      <c r="F124" s="548"/>
      <c r="G124" s="468"/>
      <c r="H124" s="468"/>
      <c r="I124" s="468"/>
      <c r="J124" s="468"/>
      <c r="K124" s="468"/>
    </row>
    <row r="125" spans="1:11" ht="12.75" customHeight="1" x14ac:dyDescent="0.2">
      <c r="A125" s="463" t="s">
        <v>1520</v>
      </c>
      <c r="B125" s="562">
        <v>3105</v>
      </c>
      <c r="C125" s="466">
        <v>167005</v>
      </c>
      <c r="D125" s="561"/>
      <c r="E125" s="468"/>
      <c r="F125" s="466"/>
      <c r="G125" s="468"/>
      <c r="H125" s="468"/>
      <c r="I125" s="468"/>
      <c r="J125" s="468"/>
      <c r="K125" s="468"/>
    </row>
    <row r="126" spans="1:11" ht="12.75" customHeight="1" x14ac:dyDescent="0.2">
      <c r="A126" s="463" t="s">
        <v>921</v>
      </c>
      <c r="B126" s="562">
        <v>3110</v>
      </c>
      <c r="C126" s="551">
        <v>169846</v>
      </c>
      <c r="D126" s="466"/>
      <c r="E126" s="468"/>
      <c r="F126" s="466"/>
      <c r="G126" s="468"/>
      <c r="H126" s="468"/>
      <c r="I126" s="468"/>
      <c r="J126" s="468"/>
      <c r="K126" s="468"/>
    </row>
    <row r="127" spans="1:11" ht="12.75" customHeight="1" x14ac:dyDescent="0.2">
      <c r="A127" s="463" t="s">
        <v>107</v>
      </c>
      <c r="B127" s="562">
        <v>3120</v>
      </c>
      <c r="C127" s="466">
        <v>26985</v>
      </c>
      <c r="D127" s="561"/>
      <c r="E127" s="468"/>
      <c r="F127" s="466"/>
      <c r="G127" s="468"/>
      <c r="H127" s="468"/>
      <c r="I127" s="468"/>
      <c r="J127" s="468"/>
      <c r="K127" s="468"/>
    </row>
    <row r="128" spans="1:11" ht="12.75" customHeight="1" x14ac:dyDescent="0.2">
      <c r="A128" s="463" t="s">
        <v>1521</v>
      </c>
      <c r="B128" s="562">
        <v>3130</v>
      </c>
      <c r="C128" s="466"/>
      <c r="D128" s="561"/>
      <c r="E128" s="468"/>
      <c r="F128" s="466"/>
      <c r="G128" s="468"/>
      <c r="H128" s="468"/>
      <c r="I128" s="468"/>
      <c r="J128" s="468"/>
      <c r="K128" s="468"/>
    </row>
    <row r="129" spans="1:11" ht="12.75" customHeight="1" x14ac:dyDescent="0.2">
      <c r="A129" s="463" t="s">
        <v>139</v>
      </c>
      <c r="B129" s="562">
        <v>3145</v>
      </c>
      <c r="C129" s="466"/>
      <c r="D129" s="561"/>
      <c r="E129" s="468"/>
      <c r="F129" s="466"/>
      <c r="G129" s="468"/>
      <c r="H129" s="468"/>
      <c r="I129" s="468"/>
      <c r="J129" s="468"/>
      <c r="K129" s="468"/>
    </row>
    <row r="130" spans="1:11" ht="12.75" customHeight="1" x14ac:dyDescent="0.2">
      <c r="A130" s="463" t="s">
        <v>68</v>
      </c>
      <c r="B130" s="562">
        <v>3199</v>
      </c>
      <c r="C130" s="551"/>
      <c r="D130" s="467"/>
      <c r="E130" s="468"/>
      <c r="F130" s="466"/>
      <c r="G130" s="468"/>
      <c r="H130" s="468"/>
      <c r="I130" s="468"/>
      <c r="J130" s="468"/>
      <c r="K130" s="468"/>
    </row>
    <row r="131" spans="1:11" ht="12.75" customHeight="1" thickBot="1" x14ac:dyDescent="0.25">
      <c r="A131" s="1719" t="s">
        <v>1091</v>
      </c>
      <c r="B131" s="1731"/>
      <c r="C131" s="1718">
        <f>SUM(C124:C130)</f>
        <v>426293</v>
      </c>
      <c r="D131" s="1718">
        <f>SUM(D124:D130)</f>
        <v>0</v>
      </c>
      <c r="E131" s="469" t="s">
        <v>1230</v>
      </c>
      <c r="F131" s="1718">
        <f>SUM(F124:F130)</f>
        <v>0</v>
      </c>
      <c r="G131" s="468" t="s">
        <v>1230</v>
      </c>
      <c r="H131" s="468" t="s">
        <v>1230</v>
      </c>
      <c r="I131" s="468" t="s">
        <v>1230</v>
      </c>
      <c r="J131" s="468" t="s">
        <v>1230</v>
      </c>
      <c r="K131" s="468" t="s">
        <v>1230</v>
      </c>
    </row>
    <row r="132" spans="1:11" ht="15.75" customHeight="1" thickTop="1" x14ac:dyDescent="0.2">
      <c r="A132" s="1613" t="s">
        <v>268</v>
      </c>
      <c r="B132" s="1614"/>
      <c r="C132" s="553"/>
      <c r="D132" s="553"/>
      <c r="E132" s="509"/>
      <c r="F132" s="553"/>
      <c r="G132" s="468"/>
      <c r="H132" s="468"/>
      <c r="I132" s="468"/>
      <c r="J132" s="468"/>
      <c r="K132" s="468"/>
    </row>
    <row r="133" spans="1:11" x14ac:dyDescent="0.2">
      <c r="A133" s="463" t="s">
        <v>619</v>
      </c>
      <c r="B133" s="562">
        <v>3200</v>
      </c>
      <c r="C133" s="551">
        <v>113851</v>
      </c>
      <c r="D133" s="466"/>
      <c r="E133" s="561"/>
      <c r="F133" s="468"/>
      <c r="G133" s="466"/>
      <c r="H133" s="468"/>
      <c r="I133" s="468"/>
      <c r="J133" s="468"/>
      <c r="K133" s="468"/>
    </row>
    <row r="134" spans="1:11" ht="12.75" customHeight="1" x14ac:dyDescent="0.2">
      <c r="A134" s="463" t="s">
        <v>689</v>
      </c>
      <c r="B134" s="562">
        <v>3220</v>
      </c>
      <c r="C134" s="551"/>
      <c r="D134" s="466"/>
      <c r="E134" s="561"/>
      <c r="F134" s="468"/>
      <c r="G134" s="467"/>
      <c r="H134" s="468"/>
      <c r="I134" s="468"/>
      <c r="J134" s="468"/>
      <c r="K134" s="468"/>
    </row>
    <row r="135" spans="1:11" ht="12.75" customHeight="1" x14ac:dyDescent="0.2">
      <c r="A135" s="463" t="s">
        <v>267</v>
      </c>
      <c r="B135" s="562">
        <v>3225</v>
      </c>
      <c r="C135" s="551"/>
      <c r="D135" s="466"/>
      <c r="E135" s="561"/>
      <c r="F135" s="468"/>
      <c r="G135" s="467"/>
      <c r="H135" s="468"/>
      <c r="I135" s="468"/>
      <c r="J135" s="468"/>
      <c r="K135" s="468"/>
    </row>
    <row r="136" spans="1:11" ht="12.75" customHeight="1" x14ac:dyDescent="0.2">
      <c r="A136" s="463" t="s">
        <v>620</v>
      </c>
      <c r="B136" s="562">
        <v>3235</v>
      </c>
      <c r="C136" s="489">
        <v>1414</v>
      </c>
      <c r="D136" s="467"/>
      <c r="E136" s="561"/>
      <c r="F136" s="468"/>
      <c r="G136" s="467"/>
      <c r="H136" s="468"/>
      <c r="I136" s="468"/>
      <c r="J136" s="468"/>
      <c r="K136" s="468"/>
    </row>
    <row r="137" spans="1:11" ht="12.75" customHeight="1" x14ac:dyDescent="0.2">
      <c r="A137" s="463" t="s">
        <v>621</v>
      </c>
      <c r="B137" s="562">
        <v>3240</v>
      </c>
      <c r="C137" s="489"/>
      <c r="D137" s="467"/>
      <c r="E137" s="561"/>
      <c r="F137" s="468"/>
      <c r="G137" s="467"/>
      <c r="H137" s="468"/>
      <c r="I137" s="468"/>
      <c r="J137" s="468"/>
      <c r="K137" s="468"/>
    </row>
    <row r="138" spans="1:11" ht="12.75" customHeight="1" x14ac:dyDescent="0.2">
      <c r="A138" s="463" t="s">
        <v>622</v>
      </c>
      <c r="B138" s="562">
        <v>3270</v>
      </c>
      <c r="C138" s="489"/>
      <c r="D138" s="467"/>
      <c r="E138" s="561"/>
      <c r="F138" s="468"/>
      <c r="G138" s="467"/>
      <c r="H138" s="468"/>
      <c r="I138" s="468"/>
      <c r="J138" s="468"/>
      <c r="K138" s="468"/>
    </row>
    <row r="139" spans="1:11" ht="12.75" customHeight="1" x14ac:dyDescent="0.2">
      <c r="A139" s="463" t="s">
        <v>69</v>
      </c>
      <c r="B139" s="562">
        <v>3299</v>
      </c>
      <c r="C139" s="551"/>
      <c r="D139" s="466"/>
      <c r="E139" s="561"/>
      <c r="F139" s="477"/>
      <c r="G139" s="467"/>
      <c r="H139" s="468"/>
      <c r="I139" s="468"/>
      <c r="J139" s="468"/>
      <c r="K139" s="468"/>
    </row>
    <row r="140" spans="1:11" ht="12.75" customHeight="1" thickBot="1" x14ac:dyDescent="0.25">
      <c r="A140" s="1719" t="s">
        <v>623</v>
      </c>
      <c r="B140" s="1731"/>
      <c r="C140" s="1718">
        <f>SUM(C133:C139)</f>
        <v>115265</v>
      </c>
      <c r="D140" s="1718">
        <f>SUM(D133:D139)</f>
        <v>0</v>
      </c>
      <c r="E140" s="561" t="s">
        <v>1230</v>
      </c>
      <c r="F140" s="477"/>
      <c r="G140" s="1718">
        <f>SUM(G133:G139)</f>
        <v>0</v>
      </c>
      <c r="H140" s="468" t="s">
        <v>1230</v>
      </c>
      <c r="I140" s="468" t="s">
        <v>1230</v>
      </c>
      <c r="J140" s="468" t="s">
        <v>1230</v>
      </c>
      <c r="K140" s="468" t="s">
        <v>1230</v>
      </c>
    </row>
    <row r="141" spans="1:11" ht="15.75" customHeight="1" thickTop="1" x14ac:dyDescent="0.2">
      <c r="A141" s="1613" t="s">
        <v>690</v>
      </c>
      <c r="B141" s="1614"/>
      <c r="C141" s="553"/>
      <c r="D141" s="566"/>
      <c r="E141" s="561"/>
      <c r="F141" s="553"/>
      <c r="G141" s="553"/>
      <c r="H141" s="468"/>
      <c r="I141" s="468"/>
      <c r="J141" s="468"/>
      <c r="K141" s="468"/>
    </row>
    <row r="142" spans="1:11" ht="12.75" customHeight="1" x14ac:dyDescent="0.2">
      <c r="A142" s="463" t="s">
        <v>624</v>
      </c>
      <c r="B142" s="562">
        <v>3305</v>
      </c>
      <c r="C142" s="466"/>
      <c r="D142" s="468"/>
      <c r="E142" s="561"/>
      <c r="F142" s="468"/>
      <c r="G142" s="466"/>
      <c r="H142" s="468"/>
      <c r="I142" s="468"/>
      <c r="J142" s="468"/>
      <c r="K142" s="468"/>
    </row>
    <row r="143" spans="1:11" ht="12.75" customHeight="1" x14ac:dyDescent="0.2">
      <c r="A143" s="463" t="s">
        <v>364</v>
      </c>
      <c r="B143" s="562">
        <v>3310</v>
      </c>
      <c r="C143" s="551"/>
      <c r="D143" s="468"/>
      <c r="E143" s="561"/>
      <c r="F143" s="468"/>
      <c r="G143" s="466"/>
      <c r="H143" s="468"/>
      <c r="I143" s="468"/>
      <c r="J143" s="468"/>
      <c r="K143" s="468"/>
    </row>
    <row r="144" spans="1:11" s="202" customFormat="1" ht="13.5" thickBot="1" x14ac:dyDescent="0.25">
      <c r="A144" s="1719" t="s">
        <v>413</v>
      </c>
      <c r="B144" s="1731"/>
      <c r="C144" s="1699">
        <f>SUM(C142:C143)</f>
        <v>0</v>
      </c>
      <c r="D144" s="468"/>
      <c r="E144" s="509"/>
      <c r="F144" s="468"/>
      <c r="G144" s="1732">
        <f>SUM(G142:G143)</f>
        <v>0</v>
      </c>
      <c r="H144" s="468"/>
      <c r="I144" s="468"/>
      <c r="J144" s="468"/>
      <c r="K144" s="468"/>
    </row>
    <row r="145" spans="1:11" s="202" customFormat="1" ht="12.75" customHeight="1" thickTop="1" x14ac:dyDescent="0.2">
      <c r="A145" s="1511" t="s">
        <v>1115</v>
      </c>
      <c r="B145" s="568">
        <v>3360</v>
      </c>
      <c r="C145" s="569">
        <v>8691</v>
      </c>
      <c r="D145" s="570"/>
      <c r="E145" s="509"/>
      <c r="F145" s="468"/>
      <c r="G145" s="571"/>
      <c r="H145" s="468"/>
      <c r="I145" s="468"/>
      <c r="J145" s="468"/>
      <c r="K145" s="468"/>
    </row>
    <row r="146" spans="1:11" ht="12.75" customHeight="1" thickBot="1" x14ac:dyDescent="0.25">
      <c r="A146" s="1512" t="s">
        <v>978</v>
      </c>
      <c r="B146" s="572">
        <v>3365</v>
      </c>
      <c r="C146" s="573"/>
      <c r="D146" s="532"/>
      <c r="E146" s="561"/>
      <c r="F146" s="468"/>
      <c r="G146" s="532"/>
      <c r="H146" s="468"/>
      <c r="I146" s="468"/>
      <c r="J146" s="468"/>
      <c r="K146" s="468"/>
    </row>
    <row r="147" spans="1:11" ht="12.75" customHeight="1" thickTop="1" thickBot="1" x14ac:dyDescent="0.25">
      <c r="A147" s="1513" t="s">
        <v>140</v>
      </c>
      <c r="B147" s="574">
        <v>3370</v>
      </c>
      <c r="C147" s="573">
        <v>37158</v>
      </c>
      <c r="D147" s="573"/>
      <c r="E147" s="509"/>
      <c r="F147" s="468"/>
      <c r="G147" s="468"/>
      <c r="H147" s="468"/>
      <c r="I147" s="468"/>
      <c r="J147" s="468"/>
      <c r="K147" s="468"/>
    </row>
    <row r="148" spans="1:11" ht="12.75" customHeight="1" thickTop="1" thickBot="1" x14ac:dyDescent="0.25">
      <c r="A148" s="1513" t="s">
        <v>790</v>
      </c>
      <c r="B148" s="574">
        <v>3410</v>
      </c>
      <c r="C148" s="575"/>
      <c r="D148" s="576"/>
      <c r="E148" s="577"/>
      <c r="F148" s="530"/>
      <c r="G148" s="530"/>
      <c r="H148" s="530"/>
      <c r="I148" s="530"/>
      <c r="J148" s="530"/>
      <c r="K148" s="530"/>
    </row>
    <row r="149" spans="1:11" ht="12.75" customHeight="1" thickTop="1" thickBot="1" x14ac:dyDescent="0.25">
      <c r="A149" s="1513" t="s">
        <v>70</v>
      </c>
      <c r="B149" s="574">
        <v>3499</v>
      </c>
      <c r="C149" s="575"/>
      <c r="D149" s="576"/>
      <c r="E149" s="532"/>
      <c r="F149" s="532"/>
      <c r="G149" s="532"/>
      <c r="H149" s="532"/>
      <c r="I149" s="532"/>
      <c r="J149" s="532"/>
      <c r="K149" s="532"/>
    </row>
    <row r="150" spans="1:11" ht="15.75" customHeight="1" thickTop="1" x14ac:dyDescent="0.2">
      <c r="A150" s="1613" t="s">
        <v>472</v>
      </c>
      <c r="B150" s="1615"/>
      <c r="C150" s="553"/>
      <c r="D150" s="468"/>
      <c r="E150" s="561"/>
      <c r="F150" s="468"/>
      <c r="G150" s="468"/>
      <c r="H150" s="468"/>
      <c r="I150" s="468"/>
      <c r="J150" s="468"/>
      <c r="K150" s="468"/>
    </row>
    <row r="151" spans="1:11" ht="12.75" customHeight="1" x14ac:dyDescent="0.2">
      <c r="A151" s="463" t="s">
        <v>1522</v>
      </c>
      <c r="B151" s="562">
        <v>3500</v>
      </c>
      <c r="C151" s="551"/>
      <c r="D151" s="466"/>
      <c r="E151" s="561"/>
      <c r="F151" s="466">
        <v>849336</v>
      </c>
      <c r="G151" s="467"/>
      <c r="H151" s="468"/>
      <c r="I151" s="468"/>
      <c r="J151" s="468"/>
      <c r="K151" s="468"/>
    </row>
    <row r="152" spans="1:11" ht="12.75" customHeight="1" x14ac:dyDescent="0.2">
      <c r="A152" s="463" t="s">
        <v>1116</v>
      </c>
      <c r="B152" s="562">
        <v>3510</v>
      </c>
      <c r="C152" s="551"/>
      <c r="D152" s="466"/>
      <c r="E152" s="561"/>
      <c r="F152" s="466">
        <v>526570</v>
      </c>
      <c r="G152" s="467"/>
      <c r="H152" s="468"/>
      <c r="I152" s="468"/>
      <c r="J152" s="468"/>
      <c r="K152" s="468"/>
    </row>
    <row r="153" spans="1:11" ht="12.75" customHeight="1" x14ac:dyDescent="0.2">
      <c r="A153" s="463" t="s">
        <v>71</v>
      </c>
      <c r="B153" s="562">
        <v>3599</v>
      </c>
      <c r="C153" s="551"/>
      <c r="D153" s="466"/>
      <c r="E153" s="561"/>
      <c r="F153" s="466"/>
      <c r="G153" s="467"/>
      <c r="H153" s="468"/>
      <c r="I153" s="468"/>
      <c r="J153" s="468"/>
      <c r="K153" s="468"/>
    </row>
    <row r="154" spans="1:11" ht="12.75" customHeight="1" thickBot="1" x14ac:dyDescent="0.25">
      <c r="A154" s="1719" t="s">
        <v>96</v>
      </c>
      <c r="B154" s="1731"/>
      <c r="C154" s="1718">
        <f>SUM(C151:C153)</f>
        <v>0</v>
      </c>
      <c r="D154" s="1718">
        <f>SUM(D151:D153)</f>
        <v>0</v>
      </c>
      <c r="E154" s="561"/>
      <c r="F154" s="1718">
        <f>SUM(F151:F153)</f>
        <v>1375906</v>
      </c>
      <c r="G154" s="1718">
        <f>SUM(G151:G153)</f>
        <v>0</v>
      </c>
      <c r="H154" s="468"/>
      <c r="I154" s="468"/>
      <c r="J154" s="468"/>
      <c r="K154" s="468"/>
    </row>
    <row r="155" spans="1:11" ht="12.75" customHeight="1" thickTop="1" thickBot="1" x14ac:dyDescent="0.25">
      <c r="A155" s="1513" t="s">
        <v>397</v>
      </c>
      <c r="B155" s="574">
        <v>3610</v>
      </c>
      <c r="C155" s="576"/>
      <c r="D155" s="468"/>
      <c r="E155" s="509"/>
      <c r="F155" s="468"/>
      <c r="G155" s="468"/>
      <c r="H155" s="468"/>
      <c r="I155" s="468"/>
      <c r="J155" s="468"/>
      <c r="K155" s="468"/>
    </row>
    <row r="156" spans="1:11" ht="12.75" customHeight="1" thickTop="1" thickBot="1" x14ac:dyDescent="0.25">
      <c r="A156" s="1513" t="s">
        <v>52</v>
      </c>
      <c r="B156" s="574">
        <v>3660</v>
      </c>
      <c r="C156" s="573"/>
      <c r="D156" s="578"/>
      <c r="E156" s="561"/>
      <c r="F156" s="578"/>
      <c r="G156" s="578"/>
      <c r="H156" s="468"/>
      <c r="I156" s="468"/>
      <c r="J156" s="468"/>
      <c r="K156" s="468"/>
    </row>
    <row r="157" spans="1:11" ht="12.75" customHeight="1" thickTop="1" thickBot="1" x14ac:dyDescent="0.25">
      <c r="A157" s="1513" t="s">
        <v>1056</v>
      </c>
      <c r="B157" s="574">
        <v>3695</v>
      </c>
      <c r="C157" s="576"/>
      <c r="D157" s="468"/>
      <c r="E157" s="561"/>
      <c r="F157" s="576"/>
      <c r="G157" s="576"/>
      <c r="H157" s="468"/>
      <c r="I157" s="468"/>
      <c r="J157" s="468"/>
      <c r="K157" s="468"/>
    </row>
    <row r="158" spans="1:11" ht="12.75" customHeight="1" thickTop="1" thickBot="1" x14ac:dyDescent="0.25">
      <c r="A158" s="1513" t="s">
        <v>1110</v>
      </c>
      <c r="B158" s="574">
        <v>3705</v>
      </c>
      <c r="C158" s="576">
        <v>1105371</v>
      </c>
      <c r="D158" s="578"/>
      <c r="E158" s="561"/>
      <c r="F158" s="576"/>
      <c r="G158" s="576"/>
      <c r="H158" s="468"/>
      <c r="I158" s="468"/>
      <c r="J158" s="468"/>
      <c r="K158" s="468"/>
    </row>
    <row r="159" spans="1:11" ht="12.75" customHeight="1" thickTop="1" thickBot="1" x14ac:dyDescent="0.25">
      <c r="A159" s="1513" t="s">
        <v>39</v>
      </c>
      <c r="B159" s="574">
        <v>3715</v>
      </c>
      <c r="C159" s="576"/>
      <c r="D159" s="468"/>
      <c r="E159" s="561"/>
      <c r="F159" s="576"/>
      <c r="G159" s="576"/>
      <c r="H159" s="468"/>
      <c r="I159" s="468"/>
      <c r="J159" s="468"/>
      <c r="K159" s="468"/>
    </row>
    <row r="160" spans="1:11" ht="12.75" customHeight="1" thickTop="1" thickBot="1" x14ac:dyDescent="0.25">
      <c r="A160" s="1513" t="s">
        <v>40</v>
      </c>
      <c r="B160" s="574">
        <v>3720</v>
      </c>
      <c r="C160" s="576"/>
      <c r="D160" s="468"/>
      <c r="E160" s="561"/>
      <c r="F160" s="576"/>
      <c r="G160" s="576"/>
      <c r="H160" s="468"/>
      <c r="I160" s="468"/>
      <c r="J160" s="468"/>
      <c r="K160" s="468"/>
    </row>
    <row r="161" spans="1:11" ht="12.75" customHeight="1" thickTop="1" thickBot="1" x14ac:dyDescent="0.25">
      <c r="A161" s="1513" t="s">
        <v>414</v>
      </c>
      <c r="B161" s="574">
        <v>3725</v>
      </c>
      <c r="C161" s="531"/>
      <c r="D161" s="468"/>
      <c r="E161" s="561"/>
      <c r="F161" s="531"/>
      <c r="G161" s="531"/>
      <c r="H161" s="468"/>
      <c r="I161" s="468"/>
      <c r="J161" s="468"/>
      <c r="K161" s="468"/>
    </row>
    <row r="162" spans="1:11" ht="12.75" customHeight="1" thickTop="1" thickBot="1" x14ac:dyDescent="0.25">
      <c r="A162" s="1513" t="s">
        <v>415</v>
      </c>
      <c r="B162" s="574">
        <v>3726</v>
      </c>
      <c r="C162" s="531"/>
      <c r="D162" s="468"/>
      <c r="E162" s="561"/>
      <c r="F162" s="531"/>
      <c r="G162" s="531"/>
      <c r="H162" s="468"/>
      <c r="I162" s="468"/>
      <c r="J162" s="468"/>
      <c r="K162" s="468"/>
    </row>
    <row r="163" spans="1:11" ht="12.75" customHeight="1" thickTop="1" thickBot="1" x14ac:dyDescent="0.25">
      <c r="A163" s="1513" t="s">
        <v>41</v>
      </c>
      <c r="B163" s="574">
        <v>3766</v>
      </c>
      <c r="C163" s="576"/>
      <c r="D163" s="578"/>
      <c r="E163" s="561"/>
      <c r="F163" s="576"/>
      <c r="G163" s="531"/>
      <c r="H163" s="468"/>
      <c r="I163" s="468"/>
      <c r="J163" s="468"/>
      <c r="K163" s="468"/>
    </row>
    <row r="164" spans="1:11" ht="12.75" customHeight="1" thickTop="1" thickBot="1" x14ac:dyDescent="0.25">
      <c r="A164" s="1513" t="s">
        <v>1041</v>
      </c>
      <c r="B164" s="574">
        <v>3767</v>
      </c>
      <c r="C164" s="576"/>
      <c r="D164" s="531"/>
      <c r="E164" s="561"/>
      <c r="F164" s="531"/>
      <c r="G164" s="531"/>
      <c r="H164" s="468"/>
      <c r="I164" s="468"/>
      <c r="J164" s="468"/>
      <c r="K164" s="468"/>
    </row>
    <row r="165" spans="1:11" ht="12.75" customHeight="1" thickTop="1" thickBot="1" x14ac:dyDescent="0.25">
      <c r="A165" s="1513" t="s">
        <v>1042</v>
      </c>
      <c r="B165" s="574">
        <v>3775</v>
      </c>
      <c r="C165" s="576"/>
      <c r="D165" s="573"/>
      <c r="E165" s="530"/>
      <c r="F165" s="573"/>
      <c r="G165" s="532"/>
      <c r="H165" s="530"/>
      <c r="I165" s="468"/>
      <c r="J165" s="468"/>
      <c r="K165" s="530"/>
    </row>
    <row r="166" spans="1:11" ht="12.75" customHeight="1" thickTop="1" thickBot="1" x14ac:dyDescent="0.25">
      <c r="A166" s="1513" t="s">
        <v>1523</v>
      </c>
      <c r="B166" s="574">
        <v>3780</v>
      </c>
      <c r="C166" s="531"/>
      <c r="D166" s="530"/>
      <c r="E166" s="531"/>
      <c r="F166" s="531"/>
      <c r="G166" s="531"/>
      <c r="H166" s="531"/>
      <c r="I166" s="468"/>
      <c r="J166" s="468"/>
      <c r="K166" s="531"/>
    </row>
    <row r="167" spans="1:11" ht="12.75" customHeight="1" thickTop="1" thickBot="1" x14ac:dyDescent="0.25">
      <c r="A167" s="1513" t="s">
        <v>912</v>
      </c>
      <c r="B167" s="574">
        <v>3815</v>
      </c>
      <c r="C167" s="576"/>
      <c r="D167" s="468"/>
      <c r="E167" s="561"/>
      <c r="F167" s="576"/>
      <c r="G167" s="468"/>
      <c r="H167" s="468"/>
      <c r="I167" s="468"/>
      <c r="J167" s="468"/>
      <c r="K167" s="468"/>
    </row>
    <row r="168" spans="1:11" ht="12.75" customHeight="1" thickTop="1" thickBot="1" x14ac:dyDescent="0.25">
      <c r="A168" s="1513" t="s">
        <v>416</v>
      </c>
      <c r="B168" s="574">
        <v>3825</v>
      </c>
      <c r="C168" s="576"/>
      <c r="D168" s="468"/>
      <c r="E168" s="561"/>
      <c r="F168" s="576"/>
      <c r="G168" s="468"/>
      <c r="H168" s="468"/>
      <c r="I168" s="468"/>
      <c r="J168" s="468"/>
      <c r="K168" s="468"/>
    </row>
    <row r="169" spans="1:11" ht="12.75" customHeight="1" thickTop="1" thickBot="1" x14ac:dyDescent="0.25">
      <c r="A169" s="1513" t="s">
        <v>365</v>
      </c>
      <c r="B169" s="574">
        <v>3920</v>
      </c>
      <c r="C169" s="566"/>
      <c r="D169" s="578"/>
      <c r="E169" s="468"/>
      <c r="F169" s="566"/>
      <c r="G169" s="468"/>
      <c r="H169" s="530"/>
      <c r="I169" s="468"/>
      <c r="J169" s="468"/>
      <c r="K169" s="468"/>
    </row>
    <row r="170" spans="1:11" ht="12.75" customHeight="1" thickTop="1" thickBot="1" x14ac:dyDescent="0.25">
      <c r="A170" s="1513" t="s">
        <v>366</v>
      </c>
      <c r="B170" s="574">
        <v>3925</v>
      </c>
      <c r="C170" s="521"/>
      <c r="D170" s="576"/>
      <c r="E170" s="521"/>
      <c r="F170" s="521"/>
      <c r="G170" s="468"/>
      <c r="H170" s="531"/>
      <c r="I170" s="468"/>
      <c r="J170" s="468"/>
      <c r="K170" s="530"/>
    </row>
    <row r="171" spans="1:11" ht="14.25" thickTop="1" thickBot="1" x14ac:dyDescent="0.25">
      <c r="A171" s="1513" t="s">
        <v>72</v>
      </c>
      <c r="B171" s="574">
        <v>3999</v>
      </c>
      <c r="C171" s="579">
        <v>4371</v>
      </c>
      <c r="D171" s="580"/>
      <c r="E171" s="580"/>
      <c r="F171" s="580"/>
      <c r="G171" s="581"/>
      <c r="H171" s="582"/>
      <c r="I171" s="581"/>
      <c r="J171" s="581"/>
      <c r="K171" s="582"/>
    </row>
    <row r="172" spans="1:11" ht="12.75" customHeight="1" thickTop="1" thickBot="1" x14ac:dyDescent="0.25">
      <c r="A172" s="2169" t="s">
        <v>417</v>
      </c>
      <c r="B172" s="2170"/>
      <c r="C172" s="1733">
        <f t="shared" ref="C172:K172" si="6">SUM(C131,C140,C144,C145:C149,C154,C155:C170,C171)</f>
        <v>1697149</v>
      </c>
      <c r="D172" s="1733">
        <f t="shared" si="6"/>
        <v>0</v>
      </c>
      <c r="E172" s="1733">
        <f t="shared" si="6"/>
        <v>0</v>
      </c>
      <c r="F172" s="1733">
        <f t="shared" si="6"/>
        <v>1375906</v>
      </c>
      <c r="G172" s="1733">
        <f t="shared" si="6"/>
        <v>0</v>
      </c>
      <c r="H172" s="1733">
        <f t="shared" si="6"/>
        <v>0</v>
      </c>
      <c r="I172" s="1733">
        <f t="shared" si="6"/>
        <v>0</v>
      </c>
      <c r="J172" s="1733">
        <f t="shared" si="6"/>
        <v>0</v>
      </c>
      <c r="K172" s="1714">
        <f t="shared" si="6"/>
        <v>0</v>
      </c>
    </row>
    <row r="173" spans="1:11" ht="12.75" customHeight="1" thickTop="1" thickBot="1" x14ac:dyDescent="0.25">
      <c r="A173" s="1719" t="s">
        <v>418</v>
      </c>
      <c r="B173" s="1725" t="s">
        <v>595</v>
      </c>
      <c r="C173" s="1726">
        <f>SUM(C121,C172)</f>
        <v>8733720</v>
      </c>
      <c r="D173" s="1726">
        <f>SUM(D121,D172)</f>
        <v>0</v>
      </c>
      <c r="E173" s="1726">
        <f>SUM(E121,E172)</f>
        <v>0</v>
      </c>
      <c r="F173" s="1726">
        <f t="shared" ref="F173:K173" si="7">SUM(F121,F172)</f>
        <v>1375906</v>
      </c>
      <c r="G173" s="1726">
        <f t="shared" si="7"/>
        <v>0</v>
      </c>
      <c r="H173" s="1726">
        <f t="shared" si="7"/>
        <v>0</v>
      </c>
      <c r="I173" s="1726">
        <f t="shared" si="7"/>
        <v>0</v>
      </c>
      <c r="J173" s="1726">
        <f t="shared" si="7"/>
        <v>0</v>
      </c>
      <c r="K173" s="1713">
        <f t="shared" si="7"/>
        <v>0</v>
      </c>
    </row>
    <row r="174" spans="1:11" ht="16.7" customHeight="1" thickTop="1" x14ac:dyDescent="0.2">
      <c r="A174" s="1602" t="s">
        <v>836</v>
      </c>
      <c r="B174" s="1580"/>
      <c r="C174" s="1583"/>
      <c r="D174" s="1584"/>
      <c r="E174" s="1584"/>
      <c r="F174" s="1584"/>
      <c r="G174" s="1584"/>
      <c r="H174" s="1584"/>
      <c r="I174" s="1584"/>
      <c r="J174" s="1584"/>
      <c r="K174" s="1585"/>
    </row>
    <row r="175" spans="1:11" ht="15.75" customHeight="1" x14ac:dyDescent="0.2">
      <c r="A175" s="2171" t="s">
        <v>1571</v>
      </c>
      <c r="B175" s="2172"/>
      <c r="C175" s="520"/>
      <c r="D175" s="520"/>
      <c r="E175" s="509"/>
      <c r="F175" s="468"/>
      <c r="G175" s="468"/>
      <c r="H175" s="468"/>
      <c r="I175" s="468"/>
      <c r="J175" s="468"/>
      <c r="K175" s="468"/>
    </row>
    <row r="176" spans="1:11" ht="12.6" customHeight="1" x14ac:dyDescent="0.2">
      <c r="A176" s="493" t="s">
        <v>1103</v>
      </c>
      <c r="B176" s="491">
        <v>4001</v>
      </c>
      <c r="C176" s="516"/>
      <c r="D176" s="481"/>
      <c r="E176" s="467"/>
      <c r="F176" s="466"/>
      <c r="G176" s="466"/>
      <c r="H176" s="467"/>
      <c r="I176" s="467"/>
      <c r="J176" s="467"/>
      <c r="K176" s="467"/>
    </row>
    <row r="177" spans="1:11" ht="22.5" x14ac:dyDescent="0.2">
      <c r="A177" s="563" t="s">
        <v>837</v>
      </c>
      <c r="B177" s="583">
        <v>4009</v>
      </c>
      <c r="C177" s="551"/>
      <c r="D177" s="466"/>
      <c r="E177" s="467"/>
      <c r="F177" s="466"/>
      <c r="G177" s="466"/>
      <c r="H177" s="467"/>
      <c r="I177" s="467"/>
      <c r="J177" s="467"/>
      <c r="K177" s="467"/>
    </row>
    <row r="178" spans="1:11" ht="13.5" thickBot="1" x14ac:dyDescent="0.25">
      <c r="A178" s="2175" t="s">
        <v>1763</v>
      </c>
      <c r="B178" s="2176"/>
      <c r="C178" s="1718">
        <f>SUM(C176:C177)</f>
        <v>0</v>
      </c>
      <c r="D178" s="1718">
        <f t="shared" ref="D178:K178" si="8">SUM(D176:D177)</f>
        <v>0</v>
      </c>
      <c r="E178" s="1718">
        <f t="shared" si="8"/>
        <v>0</v>
      </c>
      <c r="F178" s="1718">
        <f t="shared" si="8"/>
        <v>0</v>
      </c>
      <c r="G178" s="1718">
        <f t="shared" si="8"/>
        <v>0</v>
      </c>
      <c r="H178" s="1718">
        <f t="shared" si="8"/>
        <v>0</v>
      </c>
      <c r="I178" s="1718">
        <f t="shared" si="8"/>
        <v>0</v>
      </c>
      <c r="J178" s="1718">
        <f t="shared" si="8"/>
        <v>0</v>
      </c>
      <c r="K178" s="1699">
        <f t="shared" si="8"/>
        <v>0</v>
      </c>
    </row>
    <row r="179" spans="1:11" s="457" customFormat="1" ht="15.75" customHeight="1" thickTop="1" x14ac:dyDescent="0.2">
      <c r="A179" s="2179" t="s">
        <v>1762</v>
      </c>
      <c r="B179" s="2180"/>
      <c r="C179" s="599"/>
      <c r="D179" s="600"/>
      <c r="E179" s="601"/>
      <c r="F179" s="602"/>
      <c r="G179" s="602"/>
      <c r="H179" s="602"/>
      <c r="I179" s="602"/>
      <c r="J179" s="602"/>
      <c r="K179" s="602"/>
    </row>
    <row r="180" spans="1:11" ht="12.75" customHeight="1" x14ac:dyDescent="0.2">
      <c r="A180" s="463" t="s">
        <v>1104</v>
      </c>
      <c r="B180" s="470">
        <v>4045</v>
      </c>
      <c r="C180" s="551"/>
      <c r="D180" s="468"/>
      <c r="E180" s="561"/>
      <c r="F180" s="468"/>
      <c r="G180" s="468"/>
      <c r="H180" s="468"/>
      <c r="I180" s="468"/>
      <c r="J180" s="468"/>
      <c r="K180" s="468"/>
    </row>
    <row r="181" spans="1:11" ht="12.75" customHeight="1" x14ac:dyDescent="0.2">
      <c r="A181" s="463" t="s">
        <v>1105</v>
      </c>
      <c r="B181" s="470">
        <v>4050</v>
      </c>
      <c r="C181" s="551"/>
      <c r="D181" s="467"/>
      <c r="E181" s="561"/>
      <c r="F181" s="468"/>
      <c r="G181" s="468"/>
      <c r="H181" s="467"/>
      <c r="I181" s="468"/>
      <c r="J181" s="468"/>
      <c r="K181" s="468"/>
    </row>
    <row r="182" spans="1:11" ht="12.75" customHeight="1" x14ac:dyDescent="0.2">
      <c r="A182" s="463" t="s">
        <v>278</v>
      </c>
      <c r="B182" s="470">
        <v>4060</v>
      </c>
      <c r="C182" s="516"/>
      <c r="D182" s="466"/>
      <c r="E182" s="468"/>
      <c r="F182" s="466"/>
      <c r="G182" s="466"/>
      <c r="H182" s="466"/>
      <c r="I182" s="468"/>
      <c r="J182" s="468"/>
      <c r="K182" s="521"/>
    </row>
    <row r="183" spans="1:11" ht="22.5" x14ac:dyDescent="0.2">
      <c r="A183" s="563" t="s">
        <v>818</v>
      </c>
      <c r="B183" s="583">
        <v>4090</v>
      </c>
      <c r="C183" s="551"/>
      <c r="D183" s="466"/>
      <c r="E183" s="468"/>
      <c r="F183" s="466"/>
      <c r="G183" s="466"/>
      <c r="H183" s="466"/>
      <c r="I183" s="468"/>
      <c r="J183" s="468"/>
      <c r="K183" s="466"/>
    </row>
    <row r="184" spans="1:11" ht="13.5" thickBot="1" x14ac:dyDescent="0.25">
      <c r="A184" s="2177" t="s">
        <v>817</v>
      </c>
      <c r="B184" s="2178"/>
      <c r="C184" s="1718">
        <f>SUM(C180:C183)</f>
        <v>0</v>
      </c>
      <c r="D184" s="1718">
        <f>SUM(D180:D183)</f>
        <v>0</v>
      </c>
      <c r="E184" s="468"/>
      <c r="F184" s="1718">
        <f>SUM(F180:F183)</f>
        <v>0</v>
      </c>
      <c r="G184" s="1718">
        <f>SUM(G180:G183)</f>
        <v>0</v>
      </c>
      <c r="H184" s="1718">
        <f>SUM(H180:H183)</f>
        <v>0</v>
      </c>
      <c r="I184" s="468"/>
      <c r="J184" s="468"/>
      <c r="K184" s="1699">
        <f>SUM(K180:K183)</f>
        <v>0</v>
      </c>
    </row>
    <row r="185" spans="1:11" ht="22.5" customHeight="1" thickTop="1" x14ac:dyDescent="0.2">
      <c r="A185" s="2173" t="s">
        <v>1902</v>
      </c>
      <c r="B185" s="2174"/>
      <c r="C185" s="584"/>
      <c r="D185" s="566"/>
      <c r="E185" s="509"/>
      <c r="F185" s="566"/>
      <c r="G185" s="566"/>
      <c r="H185" s="468"/>
      <c r="I185" s="468"/>
      <c r="J185" s="468"/>
      <c r="K185" s="468"/>
    </row>
    <row r="186" spans="1:11" ht="15.75" customHeight="1" x14ac:dyDescent="0.2">
      <c r="A186" s="1616" t="s">
        <v>1691</v>
      </c>
      <c r="B186" s="1617"/>
      <c r="C186" s="522"/>
      <c r="D186" s="521"/>
      <c r="E186" s="509"/>
      <c r="F186" s="521"/>
      <c r="G186" s="521"/>
      <c r="H186" s="468"/>
      <c r="I186" s="468"/>
      <c r="J186" s="468"/>
      <c r="K186" s="468"/>
    </row>
    <row r="187" spans="1:11" ht="12.75" customHeight="1" x14ac:dyDescent="0.2">
      <c r="A187" s="463" t="s">
        <v>1692</v>
      </c>
      <c r="B187" s="470">
        <v>4100</v>
      </c>
      <c r="C187" s="516"/>
      <c r="D187" s="481"/>
      <c r="E187" s="561"/>
      <c r="F187" s="481"/>
      <c r="G187" s="481"/>
      <c r="H187" s="468"/>
      <c r="I187" s="468"/>
      <c r="J187" s="468"/>
      <c r="K187" s="468"/>
    </row>
    <row r="188" spans="1:11" ht="12.75" customHeight="1" x14ac:dyDescent="0.2">
      <c r="A188" s="463" t="s">
        <v>1693</v>
      </c>
      <c r="B188" s="470">
        <v>4105</v>
      </c>
      <c r="C188" s="551"/>
      <c r="D188" s="466"/>
      <c r="E188" s="561"/>
      <c r="F188" s="466"/>
      <c r="G188" s="466"/>
      <c r="H188" s="468"/>
      <c r="I188" s="468"/>
      <c r="J188" s="468"/>
      <c r="K188" s="468"/>
    </row>
    <row r="189" spans="1:11" ht="12.75" customHeight="1" x14ac:dyDescent="0.2">
      <c r="A189" s="463" t="s">
        <v>1695</v>
      </c>
      <c r="B189" s="470">
        <v>4107</v>
      </c>
      <c r="C189" s="551"/>
      <c r="D189" s="466"/>
      <c r="E189" s="561"/>
      <c r="F189" s="466"/>
      <c r="G189" s="466"/>
      <c r="H189" s="468"/>
      <c r="I189" s="468"/>
      <c r="J189" s="468"/>
      <c r="K189" s="468"/>
    </row>
    <row r="190" spans="1:11" ht="12.75" customHeight="1" x14ac:dyDescent="0.2">
      <c r="A190" s="463" t="s">
        <v>1694</v>
      </c>
      <c r="B190" s="470">
        <v>4199</v>
      </c>
      <c r="C190" s="551"/>
      <c r="D190" s="466"/>
      <c r="E190" s="561"/>
      <c r="F190" s="466"/>
      <c r="G190" s="466"/>
      <c r="H190" s="468"/>
      <c r="I190" s="468"/>
      <c r="J190" s="468"/>
      <c r="K190" s="468"/>
    </row>
    <row r="191" spans="1:11" ht="12.75" customHeight="1" thickBot="1" x14ac:dyDescent="0.25">
      <c r="A191" s="1719" t="s">
        <v>1696</v>
      </c>
      <c r="B191" s="1720"/>
      <c r="C191" s="1718">
        <f>SUM(C187:C190)</f>
        <v>0</v>
      </c>
      <c r="D191" s="1718">
        <f>SUM(D187:D190)</f>
        <v>0</v>
      </c>
      <c r="E191" s="561"/>
      <c r="F191" s="1718">
        <f>SUM(F187:F190)</f>
        <v>0</v>
      </c>
      <c r="G191" s="1718">
        <f>SUM(G187:G190)</f>
        <v>0</v>
      </c>
      <c r="H191" s="468"/>
      <c r="I191" s="468"/>
      <c r="J191" s="468"/>
      <c r="K191" s="468"/>
    </row>
    <row r="192" spans="1:11" ht="15.75" customHeight="1" thickTop="1" x14ac:dyDescent="0.2">
      <c r="A192" s="1613" t="s">
        <v>474</v>
      </c>
      <c r="B192" s="1618"/>
      <c r="C192" s="553"/>
      <c r="D192" s="566"/>
      <c r="E192" s="561"/>
      <c r="F192" s="553"/>
      <c r="G192" s="553"/>
      <c r="H192" s="468"/>
      <c r="I192" s="468"/>
      <c r="J192" s="468"/>
      <c r="K192" s="468"/>
    </row>
    <row r="193" spans="1:11" x14ac:dyDescent="0.2">
      <c r="A193" s="463" t="s">
        <v>1524</v>
      </c>
      <c r="B193" s="470">
        <v>4200</v>
      </c>
      <c r="C193" s="467"/>
      <c r="D193" s="468"/>
      <c r="E193" s="561"/>
      <c r="F193" s="553"/>
      <c r="G193" s="585"/>
      <c r="H193" s="468"/>
      <c r="I193" s="468"/>
      <c r="J193" s="468"/>
      <c r="K193" s="468"/>
    </row>
    <row r="194" spans="1:11" ht="12.75" customHeight="1" x14ac:dyDescent="0.2">
      <c r="A194" s="463" t="s">
        <v>1117</v>
      </c>
      <c r="B194" s="470">
        <v>4210</v>
      </c>
      <c r="C194" s="466">
        <v>397155</v>
      </c>
      <c r="D194" s="468"/>
      <c r="E194" s="561"/>
      <c r="F194" s="468"/>
      <c r="G194" s="585"/>
      <c r="H194" s="468"/>
      <c r="I194" s="468"/>
      <c r="J194" s="468"/>
      <c r="K194" s="468"/>
    </row>
    <row r="195" spans="1:11" ht="12.75" customHeight="1" x14ac:dyDescent="0.2">
      <c r="A195" s="463" t="s">
        <v>1106</v>
      </c>
      <c r="B195" s="470">
        <v>4215</v>
      </c>
      <c r="C195" s="551"/>
      <c r="D195" s="468"/>
      <c r="E195" s="561"/>
      <c r="F195" s="468"/>
      <c r="G195" s="585"/>
      <c r="H195" s="468"/>
      <c r="I195" s="468"/>
      <c r="J195" s="468"/>
      <c r="K195" s="468"/>
    </row>
    <row r="196" spans="1:11" ht="12.75" customHeight="1" x14ac:dyDescent="0.2">
      <c r="A196" s="463" t="s">
        <v>1118</v>
      </c>
      <c r="B196" s="470">
        <v>4220</v>
      </c>
      <c r="C196" s="551">
        <v>143441</v>
      </c>
      <c r="D196" s="468"/>
      <c r="E196" s="561"/>
      <c r="F196" s="468"/>
      <c r="G196" s="585"/>
      <c r="H196" s="468"/>
      <c r="I196" s="468"/>
      <c r="J196" s="468"/>
      <c r="K196" s="468"/>
    </row>
    <row r="197" spans="1:11" ht="12.75" customHeight="1" x14ac:dyDescent="0.2">
      <c r="A197" s="463" t="s">
        <v>1525</v>
      </c>
      <c r="B197" s="470">
        <v>4225</v>
      </c>
      <c r="C197" s="551"/>
      <c r="D197" s="468"/>
      <c r="E197" s="561"/>
      <c r="F197" s="468"/>
      <c r="G197" s="585"/>
      <c r="H197" s="468"/>
      <c r="I197" s="468"/>
      <c r="J197" s="468"/>
      <c r="K197" s="468"/>
    </row>
    <row r="198" spans="1:11" ht="12.75" customHeight="1" x14ac:dyDescent="0.2">
      <c r="A198" s="463" t="s">
        <v>1526</v>
      </c>
      <c r="B198" s="470">
        <v>4226</v>
      </c>
      <c r="C198" s="551"/>
      <c r="D198" s="468"/>
      <c r="E198" s="561"/>
      <c r="F198" s="468"/>
      <c r="G198" s="585"/>
      <c r="H198" s="468"/>
      <c r="I198" s="468"/>
      <c r="J198" s="468"/>
      <c r="K198" s="468"/>
    </row>
    <row r="199" spans="1:11" ht="12.75" customHeight="1" x14ac:dyDescent="0.2">
      <c r="A199" s="463" t="s">
        <v>824</v>
      </c>
      <c r="B199" s="470">
        <v>4240</v>
      </c>
      <c r="C199" s="489"/>
      <c r="D199" s="468"/>
      <c r="E199" s="561"/>
      <c r="F199" s="468"/>
      <c r="G199" s="586"/>
      <c r="H199" s="468"/>
      <c r="I199" s="468"/>
      <c r="J199" s="468"/>
      <c r="K199" s="468"/>
    </row>
    <row r="200" spans="1:11" ht="12.75" customHeight="1" x14ac:dyDescent="0.2">
      <c r="A200" s="463" t="s">
        <v>73</v>
      </c>
      <c r="B200" s="470">
        <v>4299</v>
      </c>
      <c r="C200" s="551"/>
      <c r="D200" s="468"/>
      <c r="E200" s="561"/>
      <c r="F200" s="468"/>
      <c r="G200" s="585"/>
      <c r="H200" s="468"/>
      <c r="I200" s="468"/>
      <c r="J200" s="468"/>
      <c r="K200" s="468"/>
    </row>
    <row r="201" spans="1:11" ht="12.75" customHeight="1" thickBot="1" x14ac:dyDescent="0.25">
      <c r="A201" s="1719" t="s">
        <v>568</v>
      </c>
      <c r="B201" s="1720"/>
      <c r="C201" s="1699">
        <f>SUM(C193:C200)</f>
        <v>540596</v>
      </c>
      <c r="D201" s="468"/>
      <c r="E201" s="468"/>
      <c r="F201" s="468"/>
      <c r="G201" s="1699">
        <f>SUM(G193:G200)</f>
        <v>0</v>
      </c>
      <c r="H201" s="468"/>
      <c r="I201" s="468"/>
      <c r="J201" s="468"/>
      <c r="K201" s="468"/>
    </row>
    <row r="202" spans="1:11" ht="15.75" customHeight="1" thickTop="1" x14ac:dyDescent="0.2">
      <c r="A202" s="1613" t="s">
        <v>1199</v>
      </c>
      <c r="B202" s="1618"/>
      <c r="C202" s="553"/>
      <c r="D202" s="468"/>
      <c r="E202" s="468"/>
      <c r="F202" s="468"/>
      <c r="G202" s="468"/>
      <c r="H202" s="468"/>
      <c r="I202" s="468"/>
      <c r="J202" s="468"/>
      <c r="K202" s="468"/>
    </row>
    <row r="203" spans="1:11" ht="12.75" customHeight="1" x14ac:dyDescent="0.2">
      <c r="A203" s="463" t="s">
        <v>973</v>
      </c>
      <c r="B203" s="470">
        <v>4300</v>
      </c>
      <c r="C203" s="466">
        <v>370729</v>
      </c>
      <c r="D203" s="466"/>
      <c r="E203" s="468"/>
      <c r="F203" s="466"/>
      <c r="G203" s="466"/>
      <c r="H203" s="468"/>
      <c r="I203" s="468"/>
      <c r="J203" s="468"/>
      <c r="K203" s="468"/>
    </row>
    <row r="204" spans="1:11" ht="12.75" customHeight="1" x14ac:dyDescent="0.2">
      <c r="A204" s="463" t="s">
        <v>974</v>
      </c>
      <c r="B204" s="470">
        <v>4305</v>
      </c>
      <c r="C204" s="551"/>
      <c r="D204" s="466"/>
      <c r="E204" s="468"/>
      <c r="F204" s="466"/>
      <c r="G204" s="466"/>
      <c r="H204" s="468"/>
      <c r="I204" s="468"/>
      <c r="J204" s="468"/>
      <c r="K204" s="468"/>
    </row>
    <row r="205" spans="1:11" ht="12.75" customHeight="1" x14ac:dyDescent="0.2">
      <c r="A205" s="463" t="s">
        <v>975</v>
      </c>
      <c r="B205" s="470">
        <v>4332</v>
      </c>
      <c r="C205" s="551"/>
      <c r="D205" s="466"/>
      <c r="E205" s="468"/>
      <c r="F205" s="466"/>
      <c r="G205" s="466"/>
      <c r="H205" s="468"/>
      <c r="I205" s="468"/>
      <c r="J205" s="468"/>
      <c r="K205" s="468"/>
    </row>
    <row r="206" spans="1:11" ht="12.75" customHeight="1" x14ac:dyDescent="0.2">
      <c r="A206" s="463" t="s">
        <v>1088</v>
      </c>
      <c r="B206" s="470">
        <v>4334</v>
      </c>
      <c r="C206" s="551"/>
      <c r="D206" s="466"/>
      <c r="E206" s="468"/>
      <c r="F206" s="466"/>
      <c r="G206" s="466"/>
      <c r="H206" s="468"/>
      <c r="I206" s="468"/>
      <c r="J206" s="468"/>
      <c r="K206" s="468"/>
    </row>
    <row r="207" spans="1:11" ht="12.75" customHeight="1" x14ac:dyDescent="0.2">
      <c r="A207" s="463" t="s">
        <v>1089</v>
      </c>
      <c r="B207" s="470">
        <v>4335</v>
      </c>
      <c r="C207" s="551"/>
      <c r="D207" s="466"/>
      <c r="E207" s="468"/>
      <c r="F207" s="466"/>
      <c r="G207" s="466"/>
      <c r="H207" s="468"/>
      <c r="I207" s="468"/>
      <c r="J207" s="468"/>
      <c r="K207" s="468"/>
    </row>
    <row r="208" spans="1:11" ht="12.75" customHeight="1" x14ac:dyDescent="0.2">
      <c r="A208" s="463" t="s">
        <v>1152</v>
      </c>
      <c r="B208" s="470">
        <v>4337</v>
      </c>
      <c r="C208" s="489"/>
      <c r="D208" s="467"/>
      <c r="E208" s="468"/>
      <c r="F208" s="467"/>
      <c r="G208" s="467"/>
      <c r="H208" s="468"/>
      <c r="I208" s="468"/>
      <c r="J208" s="468"/>
      <c r="K208" s="468"/>
    </row>
    <row r="209" spans="1:11" ht="12.75" customHeight="1" x14ac:dyDescent="0.2">
      <c r="A209" s="463" t="s">
        <v>1090</v>
      </c>
      <c r="B209" s="470">
        <v>4340</v>
      </c>
      <c r="C209" s="551"/>
      <c r="D209" s="466"/>
      <c r="E209" s="468"/>
      <c r="F209" s="466"/>
      <c r="G209" s="466"/>
      <c r="H209" s="468"/>
      <c r="I209" s="468"/>
      <c r="J209" s="468"/>
      <c r="K209" s="468"/>
    </row>
    <row r="210" spans="1:11" ht="12.75" customHeight="1" x14ac:dyDescent="0.2">
      <c r="A210" s="463" t="s">
        <v>74</v>
      </c>
      <c r="B210" s="470">
        <v>4399</v>
      </c>
      <c r="C210" s="551"/>
      <c r="D210" s="466"/>
      <c r="E210" s="468"/>
      <c r="F210" s="466"/>
      <c r="G210" s="466"/>
      <c r="H210" s="468"/>
      <c r="I210" s="468"/>
      <c r="J210" s="468"/>
      <c r="K210" s="468"/>
    </row>
    <row r="211" spans="1:11" ht="12.75" customHeight="1" thickBot="1" x14ac:dyDescent="0.25">
      <c r="A211" s="1719" t="s">
        <v>419</v>
      </c>
      <c r="B211" s="1720"/>
      <c r="C211" s="1718">
        <f>SUM(C203:C210)</f>
        <v>370729</v>
      </c>
      <c r="D211" s="1718">
        <f>SUM(D203:D210)</f>
        <v>0</v>
      </c>
      <c r="E211" s="468"/>
      <c r="F211" s="1718">
        <f>SUM(F203:F210)</f>
        <v>0</v>
      </c>
      <c r="G211" s="1718">
        <f>SUM(G203:G210)</f>
        <v>0</v>
      </c>
      <c r="H211" s="468"/>
      <c r="I211" s="468"/>
      <c r="J211" s="468"/>
      <c r="K211" s="468"/>
    </row>
    <row r="212" spans="1:11" ht="15.75" customHeight="1" thickTop="1" x14ac:dyDescent="0.2">
      <c r="A212" s="1613" t="s">
        <v>1200</v>
      </c>
      <c r="B212" s="1618"/>
      <c r="C212" s="553"/>
      <c r="D212" s="553"/>
      <c r="E212" s="468"/>
      <c r="F212" s="553"/>
      <c r="G212" s="553"/>
      <c r="H212" s="468"/>
      <c r="I212" s="468"/>
      <c r="J212" s="468"/>
      <c r="K212" s="468"/>
    </row>
    <row r="213" spans="1:11" ht="12.75" customHeight="1" x14ac:dyDescent="0.2">
      <c r="A213" s="463" t="s">
        <v>782</v>
      </c>
      <c r="B213" s="470">
        <v>4400</v>
      </c>
      <c r="C213" s="551"/>
      <c r="D213" s="466"/>
      <c r="E213" s="468"/>
      <c r="F213" s="466"/>
      <c r="G213" s="466"/>
      <c r="H213" s="468"/>
      <c r="I213" s="468"/>
      <c r="J213" s="468"/>
      <c r="K213" s="468"/>
    </row>
    <row r="214" spans="1:11" ht="12.75" customHeight="1" x14ac:dyDescent="0.2">
      <c r="A214" s="463" t="s">
        <v>1527</v>
      </c>
      <c r="B214" s="470">
        <v>4421</v>
      </c>
      <c r="C214" s="551"/>
      <c r="D214" s="466"/>
      <c r="E214" s="468"/>
      <c r="F214" s="466"/>
      <c r="G214" s="466"/>
      <c r="H214" s="468"/>
      <c r="I214" s="468"/>
      <c r="J214" s="468"/>
      <c r="K214" s="468"/>
    </row>
    <row r="215" spans="1:11" ht="12.75" customHeight="1" x14ac:dyDescent="0.2">
      <c r="A215" s="463" t="s">
        <v>75</v>
      </c>
      <c r="B215" s="470">
        <v>4499</v>
      </c>
      <c r="C215" s="551"/>
      <c r="D215" s="466"/>
      <c r="E215" s="468"/>
      <c r="F215" s="466"/>
      <c r="G215" s="466"/>
      <c r="H215" s="468"/>
      <c r="I215" s="468"/>
      <c r="J215" s="468"/>
      <c r="K215" s="468"/>
    </row>
    <row r="216" spans="1:11" ht="12.75" customHeight="1" thickBot="1" x14ac:dyDescent="0.25">
      <c r="A216" s="1719" t="s">
        <v>943</v>
      </c>
      <c r="B216" s="1720"/>
      <c r="C216" s="1718">
        <f>SUM(C213:C215)</f>
        <v>0</v>
      </c>
      <c r="D216" s="1718">
        <f>SUM(D213:D215)</f>
        <v>0</v>
      </c>
      <c r="E216" s="468" t="s">
        <v>1230</v>
      </c>
      <c r="F216" s="1718">
        <f>SUM(F213:F215)</f>
        <v>0</v>
      </c>
      <c r="G216" s="1718">
        <f>SUM(G213:G215)</f>
        <v>0</v>
      </c>
      <c r="H216" s="468"/>
      <c r="I216" s="468"/>
      <c r="J216" s="468"/>
      <c r="K216" s="468"/>
    </row>
    <row r="217" spans="1:11" ht="15.75" customHeight="1" thickTop="1" x14ac:dyDescent="0.2">
      <c r="A217" s="1613" t="s">
        <v>1153</v>
      </c>
      <c r="B217" s="1618"/>
      <c r="C217" s="553"/>
      <c r="D217" s="553"/>
      <c r="E217" s="468"/>
      <c r="F217" s="553"/>
      <c r="G217" s="553"/>
      <c r="H217" s="468"/>
      <c r="I217" s="468"/>
      <c r="J217" s="468"/>
      <c r="K217" s="468"/>
    </row>
    <row r="218" spans="1:11" ht="12.75" customHeight="1" x14ac:dyDescent="0.2">
      <c r="A218" s="463" t="s">
        <v>1111</v>
      </c>
      <c r="B218" s="470">
        <v>4600</v>
      </c>
      <c r="C218" s="551">
        <v>24967</v>
      </c>
      <c r="D218" s="466"/>
      <c r="E218" s="468"/>
      <c r="F218" s="466"/>
      <c r="G218" s="466"/>
      <c r="H218" s="468"/>
      <c r="I218" s="468"/>
      <c r="J218" s="468"/>
      <c r="K218" s="468"/>
    </row>
    <row r="219" spans="1:11" ht="12.75" customHeight="1" x14ac:dyDescent="0.2">
      <c r="A219" s="463" t="s">
        <v>1112</v>
      </c>
      <c r="B219" s="470">
        <v>4605</v>
      </c>
      <c r="C219" s="551"/>
      <c r="D219" s="466"/>
      <c r="E219" s="468"/>
      <c r="F219" s="466"/>
      <c r="G219" s="466"/>
      <c r="H219" s="468"/>
      <c r="I219" s="468"/>
      <c r="J219" s="468"/>
      <c r="K219" s="468"/>
    </row>
    <row r="220" spans="1:11" ht="12.75" customHeight="1" x14ac:dyDescent="0.2">
      <c r="A220" s="463" t="s">
        <v>1528</v>
      </c>
      <c r="B220" s="557">
        <v>4620</v>
      </c>
      <c r="C220" s="551">
        <v>580481</v>
      </c>
      <c r="D220" s="466"/>
      <c r="E220" s="468"/>
      <c r="F220" s="466"/>
      <c r="G220" s="466"/>
      <c r="H220" s="468"/>
      <c r="I220" s="468"/>
      <c r="J220" s="468"/>
      <c r="K220" s="468"/>
    </row>
    <row r="221" spans="1:11" ht="12.75" customHeight="1" x14ac:dyDescent="0.2">
      <c r="A221" s="463" t="s">
        <v>1113</v>
      </c>
      <c r="B221" s="470">
        <v>4625</v>
      </c>
      <c r="C221" s="551"/>
      <c r="D221" s="466"/>
      <c r="E221" s="468"/>
      <c r="F221" s="466"/>
      <c r="G221" s="466"/>
      <c r="H221" s="468"/>
      <c r="I221" s="468"/>
      <c r="J221" s="468"/>
      <c r="K221" s="468"/>
    </row>
    <row r="222" spans="1:11" ht="12.75" customHeight="1" x14ac:dyDescent="0.2">
      <c r="A222" s="463" t="s">
        <v>1114</v>
      </c>
      <c r="B222" s="470">
        <v>4630</v>
      </c>
      <c r="C222" s="551"/>
      <c r="D222" s="466"/>
      <c r="E222" s="468"/>
      <c r="F222" s="466"/>
      <c r="G222" s="466"/>
      <c r="H222" s="468"/>
      <c r="I222" s="468"/>
      <c r="J222" s="468"/>
      <c r="K222" s="468"/>
    </row>
    <row r="223" spans="1:11" ht="12.75" customHeight="1" x14ac:dyDescent="0.2">
      <c r="A223" s="1514" t="s">
        <v>76</v>
      </c>
      <c r="B223" s="557">
        <v>4699</v>
      </c>
      <c r="C223" s="551"/>
      <c r="D223" s="466"/>
      <c r="E223" s="468"/>
      <c r="F223" s="466"/>
      <c r="G223" s="466"/>
      <c r="H223" s="468"/>
      <c r="I223" s="468"/>
      <c r="J223" s="468"/>
      <c r="K223" s="468"/>
    </row>
    <row r="224" spans="1:11" ht="12.75" customHeight="1" thickBot="1" x14ac:dyDescent="0.25">
      <c r="A224" s="1719" t="s">
        <v>466</v>
      </c>
      <c r="B224" s="1720"/>
      <c r="C224" s="1718">
        <f>SUM(C218:C223)</f>
        <v>605448</v>
      </c>
      <c r="D224" s="1718">
        <f>SUM(D218:D223)</f>
        <v>0</v>
      </c>
      <c r="E224" s="468"/>
      <c r="F224" s="1718">
        <f>SUM(F218:F223)</f>
        <v>0</v>
      </c>
      <c r="G224" s="1718">
        <f>SUM(G218:G223)</f>
        <v>0</v>
      </c>
      <c r="H224" s="468"/>
      <c r="I224" s="468"/>
      <c r="J224" s="468"/>
      <c r="K224" s="468"/>
    </row>
    <row r="225" spans="1:11" ht="15.75" customHeight="1" thickTop="1" x14ac:dyDescent="0.2">
      <c r="A225" s="1613" t="s">
        <v>1154</v>
      </c>
      <c r="B225" s="1618"/>
      <c r="C225" s="553"/>
      <c r="D225" s="553"/>
      <c r="E225" s="468"/>
      <c r="F225" s="553"/>
      <c r="G225" s="553"/>
      <c r="H225" s="468"/>
      <c r="I225" s="468"/>
      <c r="J225" s="468"/>
      <c r="K225" s="468"/>
    </row>
    <row r="226" spans="1:11" ht="12.75" customHeight="1" x14ac:dyDescent="0.2">
      <c r="A226" s="463" t="s">
        <v>819</v>
      </c>
      <c r="B226" s="470">
        <v>4770</v>
      </c>
      <c r="C226" s="551">
        <v>28681</v>
      </c>
      <c r="D226" s="466"/>
      <c r="E226" s="468"/>
      <c r="F226" s="468"/>
      <c r="G226" s="466"/>
      <c r="H226" s="468"/>
      <c r="I226" s="468"/>
      <c r="J226" s="468"/>
      <c r="K226" s="468"/>
    </row>
    <row r="227" spans="1:11" ht="12.75" customHeight="1" x14ac:dyDescent="0.2">
      <c r="A227" s="463" t="s">
        <v>69</v>
      </c>
      <c r="B227" s="470">
        <v>4799</v>
      </c>
      <c r="C227" s="551"/>
      <c r="D227" s="466"/>
      <c r="E227" s="468"/>
      <c r="F227" s="468"/>
      <c r="G227" s="466"/>
      <c r="H227" s="468"/>
      <c r="I227" s="468"/>
      <c r="J227" s="468"/>
      <c r="K227" s="468"/>
    </row>
    <row r="228" spans="1:11" ht="12.75" customHeight="1" thickBot="1" x14ac:dyDescent="0.25">
      <c r="A228" s="1734" t="s">
        <v>1144</v>
      </c>
      <c r="B228" s="1735"/>
      <c r="C228" s="1718">
        <f>SUM(C226:C227)</f>
        <v>28681</v>
      </c>
      <c r="D228" s="1718">
        <f>SUM(D226:D227)</f>
        <v>0</v>
      </c>
      <c r="E228" s="468"/>
      <c r="F228" s="468"/>
      <c r="G228" s="1718">
        <f>SUM(G226:G227)</f>
        <v>0</v>
      </c>
      <c r="H228" s="468"/>
      <c r="I228" s="468"/>
      <c r="J228" s="468"/>
      <c r="K228" s="468"/>
    </row>
    <row r="229" spans="1:11" ht="12.75" customHeight="1" thickTop="1" thickBot="1" x14ac:dyDescent="0.25">
      <c r="A229" s="493" t="s">
        <v>780</v>
      </c>
      <c r="B229" s="491">
        <v>4810</v>
      </c>
      <c r="C229" s="575"/>
      <c r="D229" s="576"/>
      <c r="E229" s="468"/>
      <c r="F229" s="468"/>
      <c r="G229" s="576"/>
      <c r="H229" s="468"/>
      <c r="I229" s="468"/>
      <c r="J229" s="468"/>
      <c r="K229" s="468"/>
    </row>
    <row r="230" spans="1:11" ht="12.75" customHeight="1" thickTop="1" x14ac:dyDescent="0.2">
      <c r="A230" s="493" t="s">
        <v>367</v>
      </c>
      <c r="B230" s="491">
        <v>4850</v>
      </c>
      <c r="C230" s="489"/>
      <c r="D230" s="467"/>
      <c r="E230" s="467"/>
      <c r="F230" s="467"/>
      <c r="G230" s="467"/>
      <c r="H230" s="467"/>
      <c r="I230" s="468"/>
      <c r="J230" s="467"/>
      <c r="K230" s="467"/>
    </row>
    <row r="231" spans="1:11" ht="12.75" customHeight="1" x14ac:dyDescent="0.2">
      <c r="A231" s="493" t="s">
        <v>368</v>
      </c>
      <c r="B231" s="491">
        <v>4851</v>
      </c>
      <c r="C231" s="489"/>
      <c r="D231" s="467"/>
      <c r="E231" s="468"/>
      <c r="F231" s="474"/>
      <c r="G231" s="467"/>
      <c r="H231" s="468"/>
      <c r="I231" s="468"/>
      <c r="J231" s="468"/>
      <c r="K231" s="468"/>
    </row>
    <row r="232" spans="1:11" ht="12.75" customHeight="1" x14ac:dyDescent="0.2">
      <c r="A232" s="493" t="s">
        <v>369</v>
      </c>
      <c r="B232" s="491">
        <v>4852</v>
      </c>
      <c r="C232" s="489"/>
      <c r="D232" s="467"/>
      <c r="E232" s="467"/>
      <c r="F232" s="467"/>
      <c r="G232" s="467"/>
      <c r="H232" s="467"/>
      <c r="I232" s="468"/>
      <c r="J232" s="467"/>
      <c r="K232" s="467"/>
    </row>
    <row r="233" spans="1:11" ht="12.75" customHeight="1" x14ac:dyDescent="0.2">
      <c r="A233" s="493" t="s">
        <v>370</v>
      </c>
      <c r="B233" s="491">
        <v>4853</v>
      </c>
      <c r="C233" s="489"/>
      <c r="D233" s="467"/>
      <c r="E233" s="467"/>
      <c r="F233" s="467"/>
      <c r="G233" s="467"/>
      <c r="H233" s="467"/>
      <c r="I233" s="468"/>
      <c r="J233" s="467"/>
      <c r="K233" s="467"/>
    </row>
    <row r="234" spans="1:11" ht="12.75" customHeight="1" x14ac:dyDescent="0.2">
      <c r="A234" s="493" t="s">
        <v>371</v>
      </c>
      <c r="B234" s="491">
        <v>4854</v>
      </c>
      <c r="C234" s="489"/>
      <c r="D234" s="467"/>
      <c r="E234" s="467"/>
      <c r="F234" s="467"/>
      <c r="G234" s="467"/>
      <c r="H234" s="467"/>
      <c r="I234" s="468"/>
      <c r="J234" s="467"/>
      <c r="K234" s="467"/>
    </row>
    <row r="235" spans="1:11" ht="12.75" customHeight="1" x14ac:dyDescent="0.2">
      <c r="A235" s="493" t="s">
        <v>483</v>
      </c>
      <c r="B235" s="491">
        <v>4855</v>
      </c>
      <c r="C235" s="489"/>
      <c r="D235" s="467"/>
      <c r="E235" s="467"/>
      <c r="F235" s="467"/>
      <c r="G235" s="467"/>
      <c r="H235" s="467"/>
      <c r="I235" s="468"/>
      <c r="J235" s="467"/>
      <c r="K235" s="467"/>
    </row>
    <row r="236" spans="1:11" ht="12.75" customHeight="1" x14ac:dyDescent="0.2">
      <c r="A236" s="493" t="s">
        <v>372</v>
      </c>
      <c r="B236" s="491">
        <v>4856</v>
      </c>
      <c r="C236" s="489"/>
      <c r="D236" s="467"/>
      <c r="E236" s="467"/>
      <c r="F236" s="467"/>
      <c r="G236" s="467"/>
      <c r="H236" s="467"/>
      <c r="I236" s="468"/>
      <c r="J236" s="467"/>
      <c r="K236" s="467"/>
    </row>
    <row r="237" spans="1:11" ht="12.75" customHeight="1" x14ac:dyDescent="0.2">
      <c r="A237" s="493" t="s">
        <v>373</v>
      </c>
      <c r="B237" s="491">
        <v>4857</v>
      </c>
      <c r="C237" s="489"/>
      <c r="D237" s="467"/>
      <c r="E237" s="467"/>
      <c r="F237" s="467"/>
      <c r="G237" s="467"/>
      <c r="H237" s="467"/>
      <c r="I237" s="468"/>
      <c r="J237" s="467"/>
      <c r="K237" s="467"/>
    </row>
    <row r="238" spans="1:11" ht="12.75" customHeight="1" x14ac:dyDescent="0.2">
      <c r="A238" s="493" t="s">
        <v>374</v>
      </c>
      <c r="B238" s="491">
        <v>4860</v>
      </c>
      <c r="C238" s="489"/>
      <c r="D238" s="467"/>
      <c r="E238" s="467"/>
      <c r="F238" s="467"/>
      <c r="G238" s="467"/>
      <c r="H238" s="467"/>
      <c r="I238" s="468"/>
      <c r="J238" s="467"/>
      <c r="K238" s="467"/>
    </row>
    <row r="239" spans="1:11" ht="12.75" customHeight="1" x14ac:dyDescent="0.2">
      <c r="A239" s="493" t="s">
        <v>375</v>
      </c>
      <c r="B239" s="491">
        <v>4861</v>
      </c>
      <c r="C239" s="489"/>
      <c r="D239" s="467"/>
      <c r="E239" s="467"/>
      <c r="F239" s="467"/>
      <c r="G239" s="467"/>
      <c r="H239" s="467"/>
      <c r="I239" s="468"/>
      <c r="J239" s="467"/>
      <c r="K239" s="467"/>
    </row>
    <row r="240" spans="1:11" ht="12.75" customHeight="1" x14ac:dyDescent="0.2">
      <c r="A240" s="493" t="s">
        <v>376</v>
      </c>
      <c r="B240" s="491">
        <v>4862</v>
      </c>
      <c r="C240" s="489"/>
      <c r="D240" s="467"/>
      <c r="E240" s="475"/>
      <c r="F240" s="467"/>
      <c r="G240" s="467"/>
      <c r="H240" s="475"/>
      <c r="I240" s="468"/>
      <c r="J240" s="475"/>
      <c r="K240" s="475"/>
    </row>
    <row r="241" spans="1:11" ht="12.75" customHeight="1" x14ac:dyDescent="0.2">
      <c r="A241" s="493" t="s">
        <v>377</v>
      </c>
      <c r="B241" s="491">
        <v>4863</v>
      </c>
      <c r="C241" s="489"/>
      <c r="D241" s="467"/>
      <c r="E241" s="468"/>
      <c r="F241" s="475"/>
      <c r="G241" s="526"/>
      <c r="H241" s="468"/>
      <c r="I241" s="468"/>
      <c r="J241" s="468"/>
      <c r="K241" s="468"/>
    </row>
    <row r="242" spans="1:11" ht="12.75" customHeight="1" x14ac:dyDescent="0.2">
      <c r="A242" s="493" t="s">
        <v>488</v>
      </c>
      <c r="B242" s="491">
        <v>4864</v>
      </c>
      <c r="C242" s="489"/>
      <c r="D242" s="467"/>
      <c r="E242" s="467"/>
      <c r="F242" s="467"/>
      <c r="G242" s="467"/>
      <c r="H242" s="467"/>
      <c r="I242" s="468"/>
      <c r="J242" s="467"/>
      <c r="K242" s="467"/>
    </row>
    <row r="243" spans="1:11" ht="12.75" customHeight="1" x14ac:dyDescent="0.2">
      <c r="A243" s="493" t="s">
        <v>489</v>
      </c>
      <c r="B243" s="491">
        <v>4865</v>
      </c>
      <c r="C243" s="489"/>
      <c r="D243" s="467"/>
      <c r="E243" s="467"/>
      <c r="F243" s="467"/>
      <c r="G243" s="467"/>
      <c r="H243" s="467"/>
      <c r="I243" s="468"/>
      <c r="J243" s="467"/>
      <c r="K243" s="467"/>
    </row>
    <row r="244" spans="1:11" ht="12.75" customHeight="1" x14ac:dyDescent="0.2">
      <c r="A244" s="493" t="s">
        <v>487</v>
      </c>
      <c r="B244" s="491">
        <v>4866</v>
      </c>
      <c r="C244" s="489"/>
      <c r="D244" s="467"/>
      <c r="E244" s="467"/>
      <c r="F244" s="467"/>
      <c r="G244" s="467"/>
      <c r="H244" s="467"/>
      <c r="I244" s="468"/>
      <c r="J244" s="467"/>
      <c r="K244" s="467"/>
    </row>
    <row r="245" spans="1:11" ht="12.75" customHeight="1" x14ac:dyDescent="0.2">
      <c r="A245" s="493" t="s">
        <v>486</v>
      </c>
      <c r="B245" s="491">
        <v>4867</v>
      </c>
      <c r="C245" s="489"/>
      <c r="D245" s="467"/>
      <c r="E245" s="467"/>
      <c r="F245" s="467"/>
      <c r="G245" s="467"/>
      <c r="H245" s="467"/>
      <c r="I245" s="468"/>
      <c r="J245" s="467"/>
      <c r="K245" s="467"/>
    </row>
    <row r="246" spans="1:11" ht="12.75" customHeight="1" x14ac:dyDescent="0.2">
      <c r="A246" s="493" t="s">
        <v>485</v>
      </c>
      <c r="B246" s="491">
        <v>4868</v>
      </c>
      <c r="C246" s="489"/>
      <c r="D246" s="467"/>
      <c r="E246" s="467"/>
      <c r="F246" s="467"/>
      <c r="G246" s="467"/>
      <c r="H246" s="467"/>
      <c r="I246" s="468"/>
      <c r="J246" s="467"/>
      <c r="K246" s="467"/>
    </row>
    <row r="247" spans="1:11" ht="12.75" customHeight="1" x14ac:dyDescent="0.2">
      <c r="A247" s="493" t="s">
        <v>484</v>
      </c>
      <c r="B247" s="491">
        <v>4869</v>
      </c>
      <c r="C247" s="489"/>
      <c r="D247" s="467"/>
      <c r="E247" s="467"/>
      <c r="F247" s="467"/>
      <c r="G247" s="467"/>
      <c r="H247" s="467"/>
      <c r="I247" s="468"/>
      <c r="J247" s="467"/>
      <c r="K247" s="467"/>
    </row>
    <row r="248" spans="1:11" ht="12.75" customHeight="1" x14ac:dyDescent="0.2">
      <c r="A248" s="493" t="s">
        <v>1189</v>
      </c>
      <c r="B248" s="491">
        <v>4870</v>
      </c>
      <c r="C248" s="489"/>
      <c r="D248" s="467"/>
      <c r="E248" s="467"/>
      <c r="F248" s="467"/>
      <c r="G248" s="467"/>
      <c r="H248" s="467"/>
      <c r="I248" s="468"/>
      <c r="J248" s="467"/>
      <c r="K248" s="467"/>
    </row>
    <row r="249" spans="1:11" ht="12.75" customHeight="1" x14ac:dyDescent="0.2">
      <c r="A249" s="493" t="s">
        <v>820</v>
      </c>
      <c r="B249" s="491">
        <v>4871</v>
      </c>
      <c r="C249" s="489"/>
      <c r="D249" s="467"/>
      <c r="E249" s="467"/>
      <c r="F249" s="467"/>
      <c r="G249" s="467"/>
      <c r="H249" s="467"/>
      <c r="I249" s="468"/>
      <c r="J249" s="467"/>
      <c r="K249" s="467"/>
    </row>
    <row r="250" spans="1:11" ht="12.75" customHeight="1" x14ac:dyDescent="0.2">
      <c r="A250" s="493" t="s">
        <v>821</v>
      </c>
      <c r="B250" s="491">
        <v>4872</v>
      </c>
      <c r="C250" s="489"/>
      <c r="D250" s="467"/>
      <c r="E250" s="467"/>
      <c r="F250" s="467"/>
      <c r="G250" s="467"/>
      <c r="H250" s="467"/>
      <c r="I250" s="468"/>
      <c r="J250" s="467"/>
      <c r="K250" s="467"/>
    </row>
    <row r="251" spans="1:11" ht="12.75" customHeight="1" x14ac:dyDescent="0.2">
      <c r="A251" s="493" t="s">
        <v>822</v>
      </c>
      <c r="B251" s="491">
        <v>4873</v>
      </c>
      <c r="C251" s="489"/>
      <c r="D251" s="467"/>
      <c r="E251" s="467"/>
      <c r="F251" s="467"/>
      <c r="G251" s="467"/>
      <c r="H251" s="467"/>
      <c r="I251" s="468"/>
      <c r="J251" s="467"/>
      <c r="K251" s="467"/>
    </row>
    <row r="252" spans="1:11" ht="12.75" customHeight="1" x14ac:dyDescent="0.2">
      <c r="A252" s="493" t="s">
        <v>823</v>
      </c>
      <c r="B252" s="491">
        <v>4874</v>
      </c>
      <c r="C252" s="489"/>
      <c r="D252" s="467"/>
      <c r="E252" s="467"/>
      <c r="F252" s="467"/>
      <c r="G252" s="467"/>
      <c r="H252" s="467"/>
      <c r="I252" s="468"/>
      <c r="J252" s="467"/>
      <c r="K252" s="467"/>
    </row>
    <row r="253" spans="1:11" ht="12.75" customHeight="1" x14ac:dyDescent="0.2">
      <c r="A253" s="493" t="s">
        <v>490</v>
      </c>
      <c r="B253" s="491">
        <v>4875</v>
      </c>
      <c r="C253" s="489"/>
      <c r="D253" s="467"/>
      <c r="E253" s="467"/>
      <c r="F253" s="467"/>
      <c r="G253" s="467"/>
      <c r="H253" s="467"/>
      <c r="I253" s="468"/>
      <c r="J253" s="467"/>
      <c r="K253" s="467"/>
    </row>
    <row r="254" spans="1:11" ht="12.75" customHeight="1" x14ac:dyDescent="0.2">
      <c r="A254" s="493" t="s">
        <v>793</v>
      </c>
      <c r="B254" s="491">
        <v>4876</v>
      </c>
      <c r="C254" s="489"/>
      <c r="D254" s="467"/>
      <c r="E254" s="467"/>
      <c r="F254" s="467"/>
      <c r="G254" s="467"/>
      <c r="H254" s="467"/>
      <c r="I254" s="468"/>
      <c r="J254" s="467"/>
      <c r="K254" s="467"/>
    </row>
    <row r="255" spans="1:11" ht="12.75" customHeight="1" x14ac:dyDescent="0.2">
      <c r="A255" s="493" t="s">
        <v>794</v>
      </c>
      <c r="B255" s="491">
        <v>4877</v>
      </c>
      <c r="C255" s="489"/>
      <c r="D255" s="467"/>
      <c r="E255" s="467"/>
      <c r="F255" s="467"/>
      <c r="G255" s="467"/>
      <c r="H255" s="467"/>
      <c r="I255" s="468"/>
      <c r="J255" s="467"/>
      <c r="K255" s="467"/>
    </row>
    <row r="256" spans="1:11" ht="12.75" customHeight="1" x14ac:dyDescent="0.2">
      <c r="A256" s="493" t="s">
        <v>795</v>
      </c>
      <c r="B256" s="491">
        <v>4878</v>
      </c>
      <c r="C256" s="489"/>
      <c r="D256" s="467"/>
      <c r="E256" s="467"/>
      <c r="F256" s="467"/>
      <c r="G256" s="467"/>
      <c r="H256" s="467"/>
      <c r="I256" s="468"/>
      <c r="J256" s="467"/>
      <c r="K256" s="467"/>
    </row>
    <row r="257" spans="1:11" ht="12.75" customHeight="1" x14ac:dyDescent="0.2">
      <c r="A257" s="493" t="s">
        <v>796</v>
      </c>
      <c r="B257" s="491">
        <v>4879</v>
      </c>
      <c r="C257" s="489"/>
      <c r="D257" s="467"/>
      <c r="E257" s="467"/>
      <c r="F257" s="467"/>
      <c r="G257" s="467"/>
      <c r="H257" s="467"/>
      <c r="I257" s="468"/>
      <c r="J257" s="467"/>
      <c r="K257" s="467"/>
    </row>
    <row r="258" spans="1:11" ht="12.75" customHeight="1" x14ac:dyDescent="0.2">
      <c r="A258" s="225" t="s">
        <v>1529</v>
      </c>
      <c r="B258" s="587">
        <v>4880</v>
      </c>
      <c r="C258" s="489"/>
      <c r="D258" s="467"/>
      <c r="E258" s="467"/>
      <c r="F258" s="467"/>
      <c r="G258" s="467"/>
      <c r="H258" s="467"/>
      <c r="I258" s="468"/>
      <c r="J258" s="467"/>
      <c r="K258" s="467"/>
    </row>
    <row r="259" spans="1:11" ht="12.75" customHeight="1" thickBot="1" x14ac:dyDescent="0.25">
      <c r="A259" s="1736" t="s">
        <v>797</v>
      </c>
      <c r="B259" s="1737"/>
      <c r="C259" s="1729">
        <f t="shared" ref="C259:H259" si="9">SUM(C230:C258)</f>
        <v>0</v>
      </c>
      <c r="D259" s="1718">
        <f t="shared" si="9"/>
        <v>0</v>
      </c>
      <c r="E259" s="1718">
        <f t="shared" si="9"/>
        <v>0</v>
      </c>
      <c r="F259" s="1718">
        <f t="shared" si="9"/>
        <v>0</v>
      </c>
      <c r="G259" s="1718">
        <f t="shared" si="9"/>
        <v>0</v>
      </c>
      <c r="H259" s="1718">
        <f t="shared" si="9"/>
        <v>0</v>
      </c>
      <c r="I259" s="553"/>
      <c r="J259" s="1718">
        <f>SUM(J230:J258)</f>
        <v>0</v>
      </c>
      <c r="K259" s="1699">
        <f>SUM(K230:K258)</f>
        <v>0</v>
      </c>
    </row>
    <row r="260" spans="1:11" ht="12.75" customHeight="1" thickTop="1" thickBot="1" x14ac:dyDescent="0.25">
      <c r="A260" s="1515" t="s">
        <v>1492</v>
      </c>
      <c r="B260" s="588">
        <v>4901</v>
      </c>
      <c r="C260" s="589"/>
      <c r="D260" s="469"/>
      <c r="E260" s="468"/>
      <c r="F260" s="468"/>
      <c r="G260" s="468"/>
      <c r="H260" s="468"/>
      <c r="I260" s="468"/>
      <c r="J260" s="468"/>
      <c r="K260" s="468"/>
    </row>
    <row r="261" spans="1:11" ht="12.75" customHeight="1" thickTop="1" thickBot="1" x14ac:dyDescent="0.25">
      <c r="A261" s="1516" t="s">
        <v>1537</v>
      </c>
      <c r="B261" s="590">
        <v>4902</v>
      </c>
      <c r="C261" s="591"/>
      <c r="D261" s="592"/>
      <c r="E261" s="469"/>
      <c r="F261" s="592"/>
      <c r="G261" s="592"/>
      <c r="H261" s="469"/>
      <c r="I261" s="468"/>
      <c r="J261" s="469"/>
      <c r="K261" s="469"/>
    </row>
    <row r="262" spans="1:11" ht="12.75" customHeight="1" thickTop="1" thickBot="1" x14ac:dyDescent="0.25">
      <c r="A262" s="493" t="s">
        <v>1145</v>
      </c>
      <c r="B262" s="491">
        <v>4904</v>
      </c>
      <c r="C262" s="593"/>
      <c r="D262" s="591"/>
      <c r="E262" s="469"/>
      <c r="F262" s="553"/>
      <c r="G262" s="591"/>
      <c r="H262" s="469"/>
      <c r="I262" s="468"/>
      <c r="J262" s="468"/>
      <c r="K262" s="468"/>
    </row>
    <row r="263" spans="1:11" ht="12.75" customHeight="1" thickTop="1" thickBot="1" x14ac:dyDescent="0.25">
      <c r="A263" s="463" t="s">
        <v>1530</v>
      </c>
      <c r="B263" s="470">
        <v>4905</v>
      </c>
      <c r="C263" s="573"/>
      <c r="D263" s="468"/>
      <c r="E263" s="468"/>
      <c r="F263" s="578"/>
      <c r="G263" s="573"/>
      <c r="H263" s="468"/>
      <c r="I263" s="468"/>
      <c r="J263" s="468"/>
      <c r="K263" s="468"/>
    </row>
    <row r="264" spans="1:11" ht="12.75" customHeight="1" thickTop="1" thickBot="1" x14ac:dyDescent="0.25">
      <c r="A264" s="463" t="s">
        <v>1531</v>
      </c>
      <c r="B264" s="470">
        <v>4909</v>
      </c>
      <c r="C264" s="576"/>
      <c r="D264" s="468"/>
      <c r="E264" s="468"/>
      <c r="F264" s="576"/>
      <c r="G264" s="576"/>
      <c r="H264" s="468"/>
      <c r="I264" s="468"/>
      <c r="J264" s="468"/>
      <c r="K264" s="468"/>
    </row>
    <row r="265" spans="1:11" ht="12.75" customHeight="1" thickTop="1" thickBot="1" x14ac:dyDescent="0.25">
      <c r="A265" s="463" t="s">
        <v>944</v>
      </c>
      <c r="B265" s="470">
        <v>4910</v>
      </c>
      <c r="C265" s="576"/>
      <c r="D265" s="468"/>
      <c r="E265" s="468"/>
      <c r="F265" s="576"/>
      <c r="G265" s="576"/>
      <c r="H265" s="468"/>
      <c r="I265" s="468"/>
      <c r="J265" s="468"/>
      <c r="K265" s="468"/>
    </row>
    <row r="266" spans="1:11" ht="12.75" customHeight="1" thickTop="1" thickBot="1" x14ac:dyDescent="0.25">
      <c r="A266" s="463" t="s">
        <v>202</v>
      </c>
      <c r="B266" s="470">
        <v>4920</v>
      </c>
      <c r="C266" s="576"/>
      <c r="D266" s="578"/>
      <c r="E266" s="468"/>
      <c r="F266" s="573"/>
      <c r="G266" s="573"/>
      <c r="H266" s="468"/>
      <c r="I266" s="468"/>
      <c r="J266" s="468"/>
      <c r="K266" s="468"/>
    </row>
    <row r="267" spans="1:11" ht="12.75" customHeight="1" thickTop="1" thickBot="1" x14ac:dyDescent="0.25">
      <c r="A267" s="463" t="s">
        <v>440</v>
      </c>
      <c r="B267" s="470">
        <v>4930</v>
      </c>
      <c r="C267" s="576">
        <v>70237</v>
      </c>
      <c r="D267" s="576"/>
      <c r="E267" s="468"/>
      <c r="F267" s="576"/>
      <c r="G267" s="576"/>
      <c r="H267" s="468"/>
      <c r="I267" s="468"/>
      <c r="J267" s="468"/>
      <c r="K267" s="468"/>
    </row>
    <row r="268" spans="1:11" ht="12.75" customHeight="1" thickTop="1" thickBot="1" x14ac:dyDescent="0.25">
      <c r="A268" s="463" t="s">
        <v>781</v>
      </c>
      <c r="B268" s="470">
        <v>4932</v>
      </c>
      <c r="C268" s="576"/>
      <c r="D268" s="576"/>
      <c r="E268" s="468"/>
      <c r="F268" s="576"/>
      <c r="G268" s="576"/>
      <c r="H268" s="468"/>
      <c r="I268" s="468"/>
      <c r="J268" s="468"/>
      <c r="K268" s="468"/>
    </row>
    <row r="269" spans="1:11" ht="12.75" customHeight="1" thickTop="1" thickBot="1" x14ac:dyDescent="0.25">
      <c r="A269" s="463" t="s">
        <v>945</v>
      </c>
      <c r="B269" s="470">
        <v>4960</v>
      </c>
      <c r="C269" s="575"/>
      <c r="D269" s="576"/>
      <c r="E269" s="468"/>
      <c r="F269" s="576"/>
      <c r="G269" s="576"/>
      <c r="H269" s="468"/>
      <c r="I269" s="468"/>
      <c r="J269" s="468"/>
      <c r="K269" s="468"/>
    </row>
    <row r="270" spans="1:11" ht="12.75" customHeight="1" thickTop="1" thickBot="1" x14ac:dyDescent="0.25">
      <c r="A270" s="463" t="s">
        <v>588</v>
      </c>
      <c r="B270" s="470">
        <v>4991</v>
      </c>
      <c r="C270" s="575">
        <v>30766</v>
      </c>
      <c r="D270" s="576"/>
      <c r="E270" s="468"/>
      <c r="F270" s="576"/>
      <c r="G270" s="576"/>
      <c r="H270" s="468"/>
      <c r="I270" s="468"/>
      <c r="J270" s="468"/>
      <c r="K270" s="468"/>
    </row>
    <row r="271" spans="1:11" ht="12.75" customHeight="1" thickTop="1" thickBot="1" x14ac:dyDescent="0.25">
      <c r="A271" s="463" t="s">
        <v>394</v>
      </c>
      <c r="B271" s="470">
        <v>4992</v>
      </c>
      <c r="C271" s="575">
        <v>33063</v>
      </c>
      <c r="D271" s="576"/>
      <c r="E271" s="468"/>
      <c r="F271" s="576"/>
      <c r="G271" s="576"/>
      <c r="H271" s="468"/>
      <c r="I271" s="468"/>
      <c r="J271" s="468"/>
      <c r="K271" s="468"/>
    </row>
    <row r="272" spans="1:11" s="594" customFormat="1" ht="12.75" customHeight="1" thickTop="1" thickBot="1" x14ac:dyDescent="0.25">
      <c r="A272" s="563" t="s">
        <v>77</v>
      </c>
      <c r="B272" s="557">
        <v>4999</v>
      </c>
      <c r="C272" s="575">
        <v>97203</v>
      </c>
      <c r="D272" s="576"/>
      <c r="E272" s="468"/>
      <c r="F272" s="576"/>
      <c r="G272" s="576"/>
      <c r="H272" s="530"/>
      <c r="I272" s="468"/>
      <c r="J272" s="468"/>
      <c r="K272" s="530"/>
    </row>
    <row r="273" spans="1:11" ht="14.25" thickTop="1" thickBot="1" x14ac:dyDescent="0.25">
      <c r="A273" s="1719" t="s">
        <v>1764</v>
      </c>
      <c r="B273" s="1738"/>
      <c r="C273" s="1726">
        <f t="shared" ref="C273:H273" si="10">SUM(C191,C201,C211,C216,C224,C228,C229,C259:C272)</f>
        <v>1776723</v>
      </c>
      <c r="D273" s="1726">
        <f t="shared" si="10"/>
        <v>0</v>
      </c>
      <c r="E273" s="1726">
        <f t="shared" si="10"/>
        <v>0</v>
      </c>
      <c r="F273" s="1726">
        <f t="shared" si="10"/>
        <v>0</v>
      </c>
      <c r="G273" s="1726">
        <f t="shared" si="10"/>
        <v>0</v>
      </c>
      <c r="H273" s="1726">
        <f t="shared" si="10"/>
        <v>0</v>
      </c>
      <c r="I273" s="468"/>
      <c r="J273" s="1726">
        <f>SUM(J191,J201,J211,J216,J224,J228,J229,J259:J272)</f>
        <v>0</v>
      </c>
      <c r="K273" s="1713">
        <f>SUM(K191,K201,K211,K216,K224,K228,K229,K259:K272)</f>
        <v>0</v>
      </c>
    </row>
    <row r="274" spans="1:11" ht="14.25" thickTop="1" thickBot="1" x14ac:dyDescent="0.25">
      <c r="A274" s="1739" t="s">
        <v>1146</v>
      </c>
      <c r="B274" s="1740" t="s">
        <v>914</v>
      </c>
      <c r="C274" s="1726">
        <f>SUM(C178,C184,C273)</f>
        <v>1776723</v>
      </c>
      <c r="D274" s="1726">
        <f>SUM(D178,D184,D273)</f>
        <v>0</v>
      </c>
      <c r="E274" s="1726">
        <f>SUM(E178,E273)</f>
        <v>0</v>
      </c>
      <c r="F274" s="1726">
        <f t="shared" ref="F274:K274" si="11">SUM(F178,F184,F273)</f>
        <v>0</v>
      </c>
      <c r="G274" s="1726">
        <f t="shared" si="11"/>
        <v>0</v>
      </c>
      <c r="H274" s="1726">
        <f t="shared" si="11"/>
        <v>0</v>
      </c>
      <c r="I274" s="1726">
        <f t="shared" si="11"/>
        <v>0</v>
      </c>
      <c r="J274" s="1726">
        <f t="shared" si="11"/>
        <v>0</v>
      </c>
      <c r="K274" s="1713">
        <f t="shared" si="11"/>
        <v>0</v>
      </c>
    </row>
    <row r="275" spans="1:11" ht="14.25" thickTop="1" thickBot="1" x14ac:dyDescent="0.25">
      <c r="A275" s="1741" t="s">
        <v>269</v>
      </c>
      <c r="B275" s="1742"/>
      <c r="C275" s="1726">
        <f t="shared" ref="C275:K275" si="12">SUM(C109,C114,C173,C274)</f>
        <v>17296624</v>
      </c>
      <c r="D275" s="1726">
        <f t="shared" si="12"/>
        <v>1663639</v>
      </c>
      <c r="E275" s="1726">
        <f t="shared" si="12"/>
        <v>3143088</v>
      </c>
      <c r="F275" s="1726">
        <f t="shared" si="12"/>
        <v>2436852</v>
      </c>
      <c r="G275" s="1726">
        <f t="shared" si="12"/>
        <v>1254737</v>
      </c>
      <c r="H275" s="1726">
        <f t="shared" si="12"/>
        <v>1248217</v>
      </c>
      <c r="I275" s="1726">
        <f t="shared" si="12"/>
        <v>152462</v>
      </c>
      <c r="J275" s="1726">
        <f t="shared" si="12"/>
        <v>1495130</v>
      </c>
      <c r="K275" s="1713">
        <f t="shared" si="12"/>
        <v>152566</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4" type="noConversion"/>
  <printOptions headings="1" gridLines="1"/>
  <pageMargins left="0.25" right="0.15" top="1" bottom="0.46" header="0.5" footer="0.17"/>
  <pageSetup scale="74" firstPageNumber="9" orientation="landscape" useFirstPageNumber="1" r:id="rId1"/>
  <headerFooter>
    <oddHeader>&amp;L&amp;8Page &amp;P&amp;C&amp;"Arial,Bold"&amp;9STATEMENT OF REVENUES RECEIVED/REVENUES
FOR THE YEAR ENDING JUNE 30, 2018&amp;R&amp;8Page &amp;P</oddHeader>
    <oddFooter>&amp;L&amp;8See Notes to Financial Statements</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Normal="100" workbookViewId="0">
      <pane ySplit="2" topLeftCell="A78" activePane="bottomLeft" state="frozen"/>
      <selection activeCell="A47" sqref="A47"/>
      <selection pane="bottomLeft" activeCell="K116" sqref="K116"/>
    </sheetView>
  </sheetViews>
  <sheetFormatPr defaultColWidth="9.140625" defaultRowHeight="12.75" x14ac:dyDescent="0.2"/>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x14ac:dyDescent="0.2">
      <c r="A1" s="2149" t="s">
        <v>1901</v>
      </c>
      <c r="B1" s="603"/>
      <c r="C1" s="604" t="s">
        <v>798</v>
      </c>
      <c r="D1" s="604" t="s">
        <v>1137</v>
      </c>
      <c r="E1" s="604" t="s">
        <v>1138</v>
      </c>
      <c r="F1" s="604" t="s">
        <v>1139</v>
      </c>
      <c r="G1" s="604" t="s">
        <v>1140</v>
      </c>
      <c r="H1" s="604" t="s">
        <v>1141</v>
      </c>
      <c r="I1" s="604" t="s">
        <v>1142</v>
      </c>
      <c r="J1" s="604" t="s">
        <v>1143</v>
      </c>
      <c r="K1" s="604" t="s">
        <v>270</v>
      </c>
      <c r="L1" s="605"/>
    </row>
    <row r="2" spans="1:14" s="609" customFormat="1" ht="28.5" customHeight="1" x14ac:dyDescent="0.2">
      <c r="A2" s="2181"/>
      <c r="B2" s="606" t="s">
        <v>47</v>
      </c>
      <c r="C2" s="607" t="s">
        <v>203</v>
      </c>
      <c r="D2" s="608" t="s">
        <v>51</v>
      </c>
      <c r="E2" s="608" t="s">
        <v>1161</v>
      </c>
      <c r="F2" s="608" t="s">
        <v>1155</v>
      </c>
      <c r="G2" s="607" t="s">
        <v>1156</v>
      </c>
      <c r="H2" s="607" t="s">
        <v>1157</v>
      </c>
      <c r="I2" s="608" t="s">
        <v>308</v>
      </c>
      <c r="J2" s="608" t="s">
        <v>309</v>
      </c>
      <c r="K2" s="607" t="s">
        <v>158</v>
      </c>
      <c r="L2" s="607" t="s">
        <v>30</v>
      </c>
      <c r="M2" s="257"/>
      <c r="N2" s="257"/>
    </row>
    <row r="3" spans="1:14" s="343" customFormat="1" ht="16.7" customHeight="1" x14ac:dyDescent="0.2">
      <c r="A3" s="2187" t="s">
        <v>314</v>
      </c>
      <c r="B3" s="2188"/>
      <c r="C3" s="1561"/>
      <c r="D3" s="1561"/>
      <c r="E3" s="1561"/>
      <c r="F3" s="1561"/>
      <c r="G3" s="1561"/>
      <c r="H3" s="1561"/>
      <c r="I3" s="1561"/>
      <c r="J3" s="1561"/>
      <c r="K3" s="1562"/>
      <c r="L3" s="1563"/>
      <c r="M3" s="610"/>
      <c r="N3" s="610"/>
    </row>
    <row r="4" spans="1:14" s="259" customFormat="1" ht="15.75" customHeight="1" x14ac:dyDescent="0.2">
      <c r="A4" s="1619" t="s">
        <v>46</v>
      </c>
      <c r="B4" s="1620" t="s">
        <v>590</v>
      </c>
      <c r="C4" s="611"/>
      <c r="D4" s="611"/>
      <c r="E4" s="611"/>
      <c r="F4" s="611"/>
      <c r="G4" s="611"/>
      <c r="H4" s="611"/>
      <c r="I4" s="612"/>
      <c r="J4" s="611"/>
      <c r="K4" s="613"/>
      <c r="L4" s="611"/>
      <c r="M4" s="614"/>
      <c r="N4" s="614"/>
    </row>
    <row r="5" spans="1:14" x14ac:dyDescent="0.2">
      <c r="A5" s="1517" t="s">
        <v>1017</v>
      </c>
      <c r="B5" s="615">
        <v>1100</v>
      </c>
      <c r="C5" s="466">
        <f>2514369+1392050+2328035</f>
        <v>6234454</v>
      </c>
      <c r="D5" s="466">
        <f>223506+134020+219423</f>
        <v>576949</v>
      </c>
      <c r="E5" s="466">
        <f>43578+366+2486</f>
        <v>46430</v>
      </c>
      <c r="F5" s="466">
        <f>51613+26615+71617</f>
        <v>149845</v>
      </c>
      <c r="G5" s="466"/>
      <c r="H5" s="466"/>
      <c r="I5" s="467">
        <v>111356</v>
      </c>
      <c r="J5" s="467"/>
      <c r="K5" s="1682">
        <f>SUM(C5:J5)</f>
        <v>7119034</v>
      </c>
      <c r="L5" s="466">
        <v>6986963</v>
      </c>
    </row>
    <row r="6" spans="1:14" x14ac:dyDescent="0.2">
      <c r="A6" s="1517" t="s">
        <v>1507</v>
      </c>
      <c r="B6" s="615" t="s">
        <v>1505</v>
      </c>
      <c r="C6" s="477"/>
      <c r="D6" s="477"/>
      <c r="E6" s="466"/>
      <c r="F6" s="477"/>
      <c r="G6" s="477"/>
      <c r="H6" s="477"/>
      <c r="I6" s="477"/>
      <c r="J6" s="477"/>
      <c r="K6" s="1682">
        <f>SUM(C6,E6)</f>
        <v>0</v>
      </c>
      <c r="L6" s="466">
        <v>0</v>
      </c>
    </row>
    <row r="7" spans="1:14" x14ac:dyDescent="0.2">
      <c r="A7" s="1517" t="s">
        <v>165</v>
      </c>
      <c r="B7" s="615" t="s">
        <v>1023</v>
      </c>
      <c r="C7" s="467">
        <v>349380</v>
      </c>
      <c r="D7" s="467">
        <v>34655</v>
      </c>
      <c r="E7" s="467">
        <v>2654</v>
      </c>
      <c r="F7" s="467">
        <v>14956</v>
      </c>
      <c r="G7" s="467"/>
      <c r="H7" s="467"/>
      <c r="I7" s="467">
        <v>2796</v>
      </c>
      <c r="J7" s="467"/>
      <c r="K7" s="1682">
        <f t="shared" ref="K7:K32" si="0">SUM(C7:J7)</f>
        <v>404441</v>
      </c>
      <c r="L7" s="466">
        <v>431169</v>
      </c>
    </row>
    <row r="8" spans="1:14" x14ac:dyDescent="0.2">
      <c r="A8" s="1517" t="s">
        <v>166</v>
      </c>
      <c r="B8" s="615">
        <v>1200</v>
      </c>
      <c r="C8" s="466">
        <v>2264194</v>
      </c>
      <c r="D8" s="466">
        <v>265816</v>
      </c>
      <c r="E8" s="466">
        <v>10277</v>
      </c>
      <c r="F8" s="466">
        <v>14788</v>
      </c>
      <c r="G8" s="466"/>
      <c r="H8" s="466"/>
      <c r="I8" s="467"/>
      <c r="J8" s="467"/>
      <c r="K8" s="1682">
        <f t="shared" si="0"/>
        <v>2555075</v>
      </c>
      <c r="L8" s="466">
        <v>2459906</v>
      </c>
    </row>
    <row r="9" spans="1:14" x14ac:dyDescent="0.2">
      <c r="A9" s="1517" t="s">
        <v>744</v>
      </c>
      <c r="B9" s="615" t="s">
        <v>1024</v>
      </c>
      <c r="C9" s="467"/>
      <c r="D9" s="467"/>
      <c r="E9" s="467"/>
      <c r="F9" s="467"/>
      <c r="G9" s="467"/>
      <c r="H9" s="467"/>
      <c r="I9" s="467"/>
      <c r="J9" s="467"/>
      <c r="K9" s="1682">
        <f t="shared" si="0"/>
        <v>0</v>
      </c>
      <c r="L9" s="466">
        <v>0</v>
      </c>
    </row>
    <row r="10" spans="1:14" x14ac:dyDescent="0.2">
      <c r="A10" s="1517" t="s">
        <v>745</v>
      </c>
      <c r="B10" s="615">
        <v>1250</v>
      </c>
      <c r="C10" s="466">
        <v>255163</v>
      </c>
      <c r="D10" s="466">
        <v>30199</v>
      </c>
      <c r="E10" s="466">
        <v>2165</v>
      </c>
      <c r="F10" s="466">
        <v>40067</v>
      </c>
      <c r="G10" s="466"/>
      <c r="H10" s="466"/>
      <c r="I10" s="467"/>
      <c r="J10" s="467"/>
      <c r="K10" s="1682">
        <f t="shared" si="0"/>
        <v>327594</v>
      </c>
      <c r="L10" s="466">
        <v>340600</v>
      </c>
    </row>
    <row r="11" spans="1:14" x14ac:dyDescent="0.2">
      <c r="A11" s="1517" t="s">
        <v>1191</v>
      </c>
      <c r="B11" s="615" t="s">
        <v>163</v>
      </c>
      <c r="C11" s="467"/>
      <c r="D11" s="467"/>
      <c r="E11" s="467"/>
      <c r="F11" s="467"/>
      <c r="G11" s="467"/>
      <c r="H11" s="467"/>
      <c r="I11" s="467"/>
      <c r="J11" s="467"/>
      <c r="K11" s="1682">
        <f t="shared" si="0"/>
        <v>0</v>
      </c>
      <c r="L11" s="466">
        <v>0</v>
      </c>
    </row>
    <row r="12" spans="1:14" x14ac:dyDescent="0.2">
      <c r="A12" s="1517" t="s">
        <v>1018</v>
      </c>
      <c r="B12" s="615">
        <v>1300</v>
      </c>
      <c r="C12" s="466"/>
      <c r="D12" s="466"/>
      <c r="E12" s="466"/>
      <c r="F12" s="466"/>
      <c r="G12" s="466"/>
      <c r="H12" s="466"/>
      <c r="I12" s="467"/>
      <c r="J12" s="467"/>
      <c r="K12" s="1682">
        <f t="shared" si="0"/>
        <v>0</v>
      </c>
      <c r="L12" s="466">
        <v>0</v>
      </c>
    </row>
    <row r="13" spans="1:14" x14ac:dyDescent="0.2">
      <c r="A13" s="1517" t="s">
        <v>746</v>
      </c>
      <c r="B13" s="615">
        <v>1400</v>
      </c>
      <c r="C13" s="466">
        <v>467936</v>
      </c>
      <c r="D13" s="466">
        <v>52838</v>
      </c>
      <c r="E13" s="466">
        <v>2940</v>
      </c>
      <c r="F13" s="466">
        <v>39662</v>
      </c>
      <c r="G13" s="466">
        <v>23304</v>
      </c>
      <c r="H13" s="466"/>
      <c r="I13" s="467">
        <v>20146</v>
      </c>
      <c r="J13" s="467"/>
      <c r="K13" s="1682">
        <f t="shared" si="0"/>
        <v>606826</v>
      </c>
      <c r="L13" s="466">
        <v>586654</v>
      </c>
    </row>
    <row r="14" spans="1:14" x14ac:dyDescent="0.2">
      <c r="A14" s="1517" t="s">
        <v>1019</v>
      </c>
      <c r="B14" s="615">
        <v>1500</v>
      </c>
      <c r="C14" s="466">
        <v>267904</v>
      </c>
      <c r="D14" s="466">
        <v>5959</v>
      </c>
      <c r="E14" s="466">
        <v>32646</v>
      </c>
      <c r="F14" s="466">
        <v>31722</v>
      </c>
      <c r="G14" s="466"/>
      <c r="H14" s="466">
        <v>9786</v>
      </c>
      <c r="I14" s="467"/>
      <c r="J14" s="467"/>
      <c r="K14" s="1682">
        <f t="shared" si="0"/>
        <v>348017</v>
      </c>
      <c r="L14" s="466">
        <v>345573</v>
      </c>
    </row>
    <row r="15" spans="1:14" x14ac:dyDescent="0.2">
      <c r="A15" s="1517" t="s">
        <v>1020</v>
      </c>
      <c r="B15" s="615">
        <v>1600</v>
      </c>
      <c r="C15" s="466">
        <v>6674</v>
      </c>
      <c r="D15" s="466">
        <v>96</v>
      </c>
      <c r="E15" s="466"/>
      <c r="F15" s="466">
        <v>20</v>
      </c>
      <c r="G15" s="466"/>
      <c r="H15" s="466"/>
      <c r="I15" s="467"/>
      <c r="J15" s="467"/>
      <c r="K15" s="1682">
        <f t="shared" si="0"/>
        <v>6790</v>
      </c>
      <c r="L15" s="466">
        <v>6600</v>
      </c>
    </row>
    <row r="16" spans="1:14" x14ac:dyDescent="0.2">
      <c r="A16" s="1517" t="s">
        <v>1043</v>
      </c>
      <c r="B16" s="615" t="s">
        <v>443</v>
      </c>
      <c r="C16" s="466"/>
      <c r="D16" s="466"/>
      <c r="E16" s="466"/>
      <c r="F16" s="466"/>
      <c r="G16" s="466"/>
      <c r="H16" s="466"/>
      <c r="I16" s="467"/>
      <c r="J16" s="467"/>
      <c r="K16" s="1682">
        <f t="shared" si="0"/>
        <v>0</v>
      </c>
      <c r="L16" s="466">
        <v>0</v>
      </c>
    </row>
    <row r="17" spans="1:12" x14ac:dyDescent="0.2">
      <c r="A17" s="1517" t="s">
        <v>747</v>
      </c>
      <c r="B17" s="615" t="s">
        <v>164</v>
      </c>
      <c r="C17" s="467">
        <v>35361</v>
      </c>
      <c r="D17" s="467">
        <v>514</v>
      </c>
      <c r="E17" s="467">
        <v>9913</v>
      </c>
      <c r="F17" s="467">
        <v>4461</v>
      </c>
      <c r="G17" s="467"/>
      <c r="H17" s="467"/>
      <c r="I17" s="467"/>
      <c r="J17" s="467"/>
      <c r="K17" s="1682">
        <f t="shared" si="0"/>
        <v>50249</v>
      </c>
      <c r="L17" s="466">
        <v>62250</v>
      </c>
    </row>
    <row r="18" spans="1:12" x14ac:dyDescent="0.2">
      <c r="A18" s="1517" t="s">
        <v>1147</v>
      </c>
      <c r="B18" s="615">
        <v>1800</v>
      </c>
      <c r="C18" s="466"/>
      <c r="D18" s="466"/>
      <c r="E18" s="466"/>
      <c r="F18" s="466"/>
      <c r="G18" s="466"/>
      <c r="H18" s="466"/>
      <c r="I18" s="467"/>
      <c r="J18" s="467"/>
      <c r="K18" s="1682">
        <f t="shared" si="0"/>
        <v>0</v>
      </c>
      <c r="L18" s="466"/>
    </row>
    <row r="19" spans="1:12" x14ac:dyDescent="0.2">
      <c r="A19" s="1517" t="s">
        <v>136</v>
      </c>
      <c r="B19" s="615">
        <v>1900</v>
      </c>
      <c r="C19" s="466"/>
      <c r="D19" s="466"/>
      <c r="E19" s="466"/>
      <c r="F19" s="466"/>
      <c r="G19" s="466"/>
      <c r="H19" s="466"/>
      <c r="I19" s="467"/>
      <c r="J19" s="467"/>
      <c r="K19" s="1682">
        <f t="shared" si="0"/>
        <v>0</v>
      </c>
      <c r="L19" s="466"/>
    </row>
    <row r="20" spans="1:12" x14ac:dyDescent="0.2">
      <c r="A20" s="1518" t="s">
        <v>761</v>
      </c>
      <c r="B20" s="603" t="s">
        <v>748</v>
      </c>
      <c r="C20" s="477"/>
      <c r="D20" s="477"/>
      <c r="E20" s="477"/>
      <c r="F20" s="477"/>
      <c r="G20" s="477"/>
      <c r="H20" s="474"/>
      <c r="I20" s="617"/>
      <c r="J20" s="475"/>
      <c r="K20" s="1682">
        <f t="shared" si="0"/>
        <v>0</v>
      </c>
      <c r="L20" s="471"/>
    </row>
    <row r="21" spans="1:12" x14ac:dyDescent="0.2">
      <c r="A21" s="1518" t="s">
        <v>762</v>
      </c>
      <c r="B21" s="603" t="s">
        <v>749</v>
      </c>
      <c r="C21" s="477"/>
      <c r="D21" s="477"/>
      <c r="E21" s="477"/>
      <c r="F21" s="477"/>
      <c r="G21" s="477"/>
      <c r="H21" s="474"/>
      <c r="I21" s="617"/>
      <c r="J21" s="477"/>
      <c r="K21" s="1682">
        <f t="shared" si="0"/>
        <v>0</v>
      </c>
      <c r="L21" s="471"/>
    </row>
    <row r="22" spans="1:12" x14ac:dyDescent="0.2">
      <c r="A22" s="1518" t="s">
        <v>763</v>
      </c>
      <c r="B22" s="603" t="s">
        <v>750</v>
      </c>
      <c r="C22" s="477"/>
      <c r="D22" s="477"/>
      <c r="E22" s="477"/>
      <c r="F22" s="477"/>
      <c r="G22" s="477"/>
      <c r="H22" s="474">
        <v>100544</v>
      </c>
      <c r="I22" s="617"/>
      <c r="J22" s="477"/>
      <c r="K22" s="1682">
        <f t="shared" si="0"/>
        <v>100544</v>
      </c>
      <c r="L22" s="471">
        <v>160000</v>
      </c>
    </row>
    <row r="23" spans="1:12" x14ac:dyDescent="0.2">
      <c r="A23" s="1518" t="s">
        <v>764</v>
      </c>
      <c r="B23" s="603" t="s">
        <v>751</v>
      </c>
      <c r="C23" s="477"/>
      <c r="D23" s="477"/>
      <c r="E23" s="477"/>
      <c r="F23" s="477"/>
      <c r="G23" s="477"/>
      <c r="H23" s="474"/>
      <c r="I23" s="617"/>
      <c r="J23" s="477"/>
      <c r="K23" s="1682">
        <f t="shared" si="0"/>
        <v>0</v>
      </c>
      <c r="L23" s="471"/>
    </row>
    <row r="24" spans="1:12" ht="12.75" customHeight="1" x14ac:dyDescent="0.2">
      <c r="A24" s="1518" t="s">
        <v>765</v>
      </c>
      <c r="B24" s="603" t="s">
        <v>752</v>
      </c>
      <c r="C24" s="477"/>
      <c r="D24" s="477"/>
      <c r="E24" s="477"/>
      <c r="F24" s="477"/>
      <c r="G24" s="477"/>
      <c r="H24" s="474"/>
      <c r="I24" s="617"/>
      <c r="J24" s="477"/>
      <c r="K24" s="1682">
        <f t="shared" si="0"/>
        <v>0</v>
      </c>
      <c r="L24" s="471"/>
    </row>
    <row r="25" spans="1:12" ht="12.75" customHeight="1" x14ac:dyDescent="0.2">
      <c r="A25" s="1518" t="s">
        <v>834</v>
      </c>
      <c r="B25" s="603" t="s">
        <v>753</v>
      </c>
      <c r="C25" s="477"/>
      <c r="D25" s="477"/>
      <c r="E25" s="477"/>
      <c r="F25" s="477"/>
      <c r="G25" s="477"/>
      <c r="H25" s="474"/>
      <c r="I25" s="617"/>
      <c r="J25" s="477"/>
      <c r="K25" s="1682">
        <f t="shared" si="0"/>
        <v>0</v>
      </c>
      <c r="L25" s="471"/>
    </row>
    <row r="26" spans="1:12" x14ac:dyDescent="0.2">
      <c r="A26" s="1518" t="s">
        <v>642</v>
      </c>
      <c r="B26" s="603" t="s">
        <v>754</v>
      </c>
      <c r="C26" s="477"/>
      <c r="D26" s="477"/>
      <c r="E26" s="477"/>
      <c r="F26" s="477"/>
      <c r="G26" s="477"/>
      <c r="H26" s="474"/>
      <c r="I26" s="617"/>
      <c r="J26" s="477"/>
      <c r="K26" s="1682">
        <f t="shared" si="0"/>
        <v>0</v>
      </c>
      <c r="L26" s="471"/>
    </row>
    <row r="27" spans="1:12" x14ac:dyDescent="0.2">
      <c r="A27" s="1518" t="s">
        <v>643</v>
      </c>
      <c r="B27" s="603" t="s">
        <v>755</v>
      </c>
      <c r="C27" s="477"/>
      <c r="D27" s="477"/>
      <c r="E27" s="477"/>
      <c r="F27" s="477"/>
      <c r="G27" s="477"/>
      <c r="H27" s="474"/>
      <c r="I27" s="617"/>
      <c r="J27" s="477"/>
      <c r="K27" s="1682">
        <f t="shared" si="0"/>
        <v>0</v>
      </c>
      <c r="L27" s="471"/>
    </row>
    <row r="28" spans="1:12" x14ac:dyDescent="0.2">
      <c r="A28" s="1518" t="s">
        <v>152</v>
      </c>
      <c r="B28" s="603" t="s">
        <v>756</v>
      </c>
      <c r="C28" s="477"/>
      <c r="D28" s="477"/>
      <c r="E28" s="477"/>
      <c r="F28" s="477"/>
      <c r="G28" s="477"/>
      <c r="H28" s="474"/>
      <c r="I28" s="617"/>
      <c r="J28" s="477"/>
      <c r="K28" s="1682">
        <f t="shared" si="0"/>
        <v>0</v>
      </c>
      <c r="L28" s="471"/>
    </row>
    <row r="29" spans="1:12" x14ac:dyDescent="0.2">
      <c r="A29" s="1518" t="s">
        <v>153</v>
      </c>
      <c r="B29" s="603" t="s">
        <v>757</v>
      </c>
      <c r="C29" s="477"/>
      <c r="D29" s="477"/>
      <c r="E29" s="477"/>
      <c r="F29" s="477"/>
      <c r="G29" s="477"/>
      <c r="H29" s="474"/>
      <c r="I29" s="617"/>
      <c r="J29" s="477"/>
      <c r="K29" s="1682">
        <f t="shared" si="0"/>
        <v>0</v>
      </c>
      <c r="L29" s="471"/>
    </row>
    <row r="30" spans="1:12" x14ac:dyDescent="0.2">
      <c r="A30" s="1518" t="s">
        <v>154</v>
      </c>
      <c r="B30" s="603" t="s">
        <v>758</v>
      </c>
      <c r="C30" s="477"/>
      <c r="D30" s="477"/>
      <c r="E30" s="477"/>
      <c r="F30" s="477"/>
      <c r="G30" s="477"/>
      <c r="H30" s="474"/>
      <c r="I30" s="617"/>
      <c r="J30" s="477"/>
      <c r="K30" s="1682">
        <f t="shared" si="0"/>
        <v>0</v>
      </c>
      <c r="L30" s="471"/>
    </row>
    <row r="31" spans="1:12" x14ac:dyDescent="0.2">
      <c r="A31" s="1518" t="s">
        <v>155</v>
      </c>
      <c r="B31" s="603" t="s">
        <v>759</v>
      </c>
      <c r="C31" s="477"/>
      <c r="D31" s="477"/>
      <c r="E31" s="477"/>
      <c r="F31" s="477"/>
      <c r="G31" s="477"/>
      <c r="H31" s="474"/>
      <c r="I31" s="617"/>
      <c r="J31" s="477"/>
      <c r="K31" s="1682">
        <f t="shared" si="0"/>
        <v>0</v>
      </c>
      <c r="L31" s="471"/>
    </row>
    <row r="32" spans="1:12" x14ac:dyDescent="0.2">
      <c r="A32" s="1519" t="s">
        <v>1190</v>
      </c>
      <c r="B32" s="615" t="s">
        <v>760</v>
      </c>
      <c r="C32" s="477"/>
      <c r="D32" s="477"/>
      <c r="E32" s="477"/>
      <c r="F32" s="477"/>
      <c r="G32" s="477"/>
      <c r="H32" s="474"/>
      <c r="I32" s="617"/>
      <c r="J32" s="480"/>
      <c r="K32" s="1682">
        <f t="shared" si="0"/>
        <v>0</v>
      </c>
      <c r="L32" s="471"/>
    </row>
    <row r="33" spans="1:14" ht="12.75" customHeight="1" thickBot="1" x14ac:dyDescent="0.25">
      <c r="A33" s="1679" t="s">
        <v>1766</v>
      </c>
      <c r="B33" s="1680" t="s">
        <v>590</v>
      </c>
      <c r="C33" s="1681">
        <f>SUM(C5:C32)</f>
        <v>9881066</v>
      </c>
      <c r="D33" s="1681">
        <f t="shared" ref="D33:L33" si="1">SUM(D5:D32)</f>
        <v>967026</v>
      </c>
      <c r="E33" s="1681">
        <f t="shared" si="1"/>
        <v>107025</v>
      </c>
      <c r="F33" s="1681">
        <f t="shared" si="1"/>
        <v>295521</v>
      </c>
      <c r="G33" s="1681">
        <f t="shared" si="1"/>
        <v>23304</v>
      </c>
      <c r="H33" s="1681">
        <f t="shared" si="1"/>
        <v>110330</v>
      </c>
      <c r="I33" s="1681">
        <f t="shared" si="1"/>
        <v>134298</v>
      </c>
      <c r="J33" s="1681">
        <f t="shared" si="1"/>
        <v>0</v>
      </c>
      <c r="K33" s="1681">
        <f t="shared" si="1"/>
        <v>11518570</v>
      </c>
      <c r="L33" s="1681">
        <f t="shared" si="1"/>
        <v>11379715</v>
      </c>
    </row>
    <row r="34" spans="1:14" s="621" customFormat="1" ht="15.75" customHeight="1" thickTop="1" x14ac:dyDescent="0.2">
      <c r="A34" s="1621" t="s">
        <v>48</v>
      </c>
      <c r="B34" s="1622" t="s">
        <v>589</v>
      </c>
      <c r="C34" s="619"/>
      <c r="D34" s="619"/>
      <c r="E34" s="619"/>
      <c r="F34" s="619"/>
      <c r="G34" s="619"/>
      <c r="H34" s="619"/>
      <c r="I34" s="617"/>
      <c r="J34" s="617"/>
      <c r="K34" s="617"/>
      <c r="L34" s="617"/>
      <c r="M34" s="620"/>
      <c r="N34" s="620"/>
    </row>
    <row r="35" spans="1:14" s="621" customFormat="1" ht="15.75" customHeight="1" x14ac:dyDescent="0.2">
      <c r="A35" s="622" t="s">
        <v>611</v>
      </c>
      <c r="B35" s="623"/>
      <c r="C35" s="624"/>
      <c r="D35" s="624"/>
      <c r="E35" s="624"/>
      <c r="F35" s="624"/>
      <c r="G35" s="624"/>
      <c r="H35" s="624"/>
      <c r="I35" s="617"/>
      <c r="J35" s="617"/>
      <c r="K35" s="617"/>
      <c r="L35" s="617"/>
      <c r="M35" s="620"/>
      <c r="N35" s="620"/>
    </row>
    <row r="36" spans="1:14" x14ac:dyDescent="0.2">
      <c r="A36" s="1517" t="s">
        <v>1149</v>
      </c>
      <c r="B36" s="615">
        <v>2110</v>
      </c>
      <c r="C36" s="481">
        <v>52818</v>
      </c>
      <c r="D36" s="481">
        <v>6087</v>
      </c>
      <c r="E36" s="481"/>
      <c r="F36" s="481"/>
      <c r="G36" s="481"/>
      <c r="H36" s="481"/>
      <c r="I36" s="467"/>
      <c r="J36" s="467"/>
      <c r="K36" s="1682">
        <f t="shared" ref="K36:K41" si="2">SUM(C36:J36)</f>
        <v>58905</v>
      </c>
      <c r="L36" s="466">
        <v>53508</v>
      </c>
    </row>
    <row r="37" spans="1:14" x14ac:dyDescent="0.2">
      <c r="A37" s="1517" t="s">
        <v>1150</v>
      </c>
      <c r="B37" s="615">
        <v>2120</v>
      </c>
      <c r="C37" s="466">
        <v>279172</v>
      </c>
      <c r="D37" s="466">
        <v>38265</v>
      </c>
      <c r="E37" s="466"/>
      <c r="F37" s="466">
        <v>1209</v>
      </c>
      <c r="G37" s="466"/>
      <c r="H37" s="466"/>
      <c r="I37" s="467"/>
      <c r="J37" s="467"/>
      <c r="K37" s="1682">
        <f t="shared" si="2"/>
        <v>318646</v>
      </c>
      <c r="L37" s="466">
        <v>331155</v>
      </c>
    </row>
    <row r="38" spans="1:14" x14ac:dyDescent="0.2">
      <c r="A38" s="1517" t="s">
        <v>207</v>
      </c>
      <c r="B38" s="615">
        <v>2130</v>
      </c>
      <c r="C38" s="466">
        <v>88986</v>
      </c>
      <c r="D38" s="466">
        <v>9010</v>
      </c>
      <c r="E38" s="466">
        <v>994</v>
      </c>
      <c r="F38" s="466">
        <v>2387</v>
      </c>
      <c r="G38" s="466"/>
      <c r="H38" s="466"/>
      <c r="I38" s="467"/>
      <c r="J38" s="467"/>
      <c r="K38" s="1682">
        <f t="shared" si="2"/>
        <v>101377</v>
      </c>
      <c r="L38" s="466">
        <v>106907</v>
      </c>
    </row>
    <row r="39" spans="1:14" x14ac:dyDescent="0.2">
      <c r="A39" s="1517" t="s">
        <v>208</v>
      </c>
      <c r="B39" s="615">
        <v>2140</v>
      </c>
      <c r="C39" s="466">
        <v>130482</v>
      </c>
      <c r="D39" s="466">
        <v>10624</v>
      </c>
      <c r="E39" s="466">
        <v>758</v>
      </c>
      <c r="F39" s="466">
        <v>1382</v>
      </c>
      <c r="G39" s="466"/>
      <c r="H39" s="466"/>
      <c r="I39" s="467"/>
      <c r="J39" s="467"/>
      <c r="K39" s="1682">
        <f t="shared" si="2"/>
        <v>143246</v>
      </c>
      <c r="L39" s="466">
        <v>144529</v>
      </c>
    </row>
    <row r="40" spans="1:14" x14ac:dyDescent="0.2">
      <c r="A40" s="1517" t="s">
        <v>209</v>
      </c>
      <c r="B40" s="615">
        <v>2150</v>
      </c>
      <c r="C40" s="466"/>
      <c r="D40" s="466"/>
      <c r="E40" s="466"/>
      <c r="F40" s="466"/>
      <c r="G40" s="466"/>
      <c r="H40" s="466"/>
      <c r="I40" s="467"/>
      <c r="J40" s="467"/>
      <c r="K40" s="1682">
        <f t="shared" si="2"/>
        <v>0</v>
      </c>
      <c r="L40" s="466">
        <v>0</v>
      </c>
    </row>
    <row r="41" spans="1:14" x14ac:dyDescent="0.2">
      <c r="A41" s="1517" t="s">
        <v>1767</v>
      </c>
      <c r="B41" s="615">
        <v>2190</v>
      </c>
      <c r="C41" s="466">
        <v>50015</v>
      </c>
      <c r="D41" s="466">
        <v>8202</v>
      </c>
      <c r="E41" s="466">
        <v>4695</v>
      </c>
      <c r="F41" s="466">
        <v>7482</v>
      </c>
      <c r="G41" s="466"/>
      <c r="H41" s="466"/>
      <c r="I41" s="467"/>
      <c r="J41" s="467"/>
      <c r="K41" s="1682">
        <f t="shared" si="2"/>
        <v>70394</v>
      </c>
      <c r="L41" s="466">
        <v>70498</v>
      </c>
    </row>
    <row r="42" spans="1:14" ht="12.75" customHeight="1" thickBot="1" x14ac:dyDescent="0.25">
      <c r="A42" s="1679" t="s">
        <v>580</v>
      </c>
      <c r="B42" s="1680" t="s">
        <v>739</v>
      </c>
      <c r="C42" s="1681">
        <f>SUM(C36:C41)</f>
        <v>601473</v>
      </c>
      <c r="D42" s="1681">
        <f t="shared" ref="D42:L42" si="3">SUM(D36:D41)</f>
        <v>72188</v>
      </c>
      <c r="E42" s="1681">
        <f t="shared" si="3"/>
        <v>6447</v>
      </c>
      <c r="F42" s="1681">
        <f t="shared" si="3"/>
        <v>12460</v>
      </c>
      <c r="G42" s="1681">
        <f t="shared" si="3"/>
        <v>0</v>
      </c>
      <c r="H42" s="1681">
        <f t="shared" si="3"/>
        <v>0</v>
      </c>
      <c r="I42" s="1681">
        <f t="shared" si="3"/>
        <v>0</v>
      </c>
      <c r="J42" s="1681">
        <f t="shared" si="3"/>
        <v>0</v>
      </c>
      <c r="K42" s="1681">
        <f t="shared" si="3"/>
        <v>692568</v>
      </c>
      <c r="L42" s="1681">
        <f t="shared" si="3"/>
        <v>706597</v>
      </c>
    </row>
    <row r="43" spans="1:14" ht="15.75" customHeight="1" thickTop="1" x14ac:dyDescent="0.2">
      <c r="A43" s="625" t="s">
        <v>612</v>
      </c>
      <c r="B43" s="626"/>
      <c r="C43" s="627"/>
      <c r="D43" s="627"/>
      <c r="E43" s="627"/>
      <c r="F43" s="627"/>
      <c r="G43" s="627"/>
      <c r="H43" s="627"/>
      <c r="I43" s="617"/>
      <c r="J43" s="617"/>
      <c r="K43" s="627"/>
      <c r="L43" s="627"/>
    </row>
    <row r="44" spans="1:14" x14ac:dyDescent="0.2">
      <c r="A44" s="1517" t="s">
        <v>867</v>
      </c>
      <c r="B44" s="615">
        <v>2210</v>
      </c>
      <c r="C44" s="481">
        <f>53032+34168</f>
        <v>87200</v>
      </c>
      <c r="D44" s="481">
        <f>2107+5898</f>
        <v>8005</v>
      </c>
      <c r="E44" s="481">
        <f>36730+42480</f>
        <v>79210</v>
      </c>
      <c r="F44" s="481">
        <f>1377+95792</f>
        <v>97169</v>
      </c>
      <c r="G44" s="481"/>
      <c r="H44" s="481">
        <v>4170</v>
      </c>
      <c r="I44" s="467"/>
      <c r="J44" s="467"/>
      <c r="K44" s="1683">
        <f>SUM(C44:J44)</f>
        <v>275754</v>
      </c>
      <c r="L44" s="481">
        <v>374510</v>
      </c>
    </row>
    <row r="45" spans="1:14" x14ac:dyDescent="0.2">
      <c r="A45" s="1517" t="s">
        <v>868</v>
      </c>
      <c r="B45" s="615">
        <v>2220</v>
      </c>
      <c r="C45" s="466">
        <v>139216</v>
      </c>
      <c r="D45" s="466">
        <v>15805</v>
      </c>
      <c r="E45" s="466">
        <f>224+472</f>
        <v>696</v>
      </c>
      <c r="F45" s="466">
        <f>21530+4132</f>
        <v>25662</v>
      </c>
      <c r="G45" s="466"/>
      <c r="H45" s="466"/>
      <c r="I45" s="467"/>
      <c r="J45" s="467"/>
      <c r="K45" s="1683">
        <f>SUM(C45:J45)</f>
        <v>181379</v>
      </c>
      <c r="L45" s="466">
        <v>184039</v>
      </c>
    </row>
    <row r="46" spans="1:14" x14ac:dyDescent="0.2">
      <c r="A46" s="1517" t="s">
        <v>869</v>
      </c>
      <c r="B46" s="615">
        <v>2230</v>
      </c>
      <c r="C46" s="466"/>
      <c r="D46" s="466"/>
      <c r="E46" s="466">
        <v>29334</v>
      </c>
      <c r="F46" s="466">
        <v>3418</v>
      </c>
      <c r="G46" s="466"/>
      <c r="H46" s="466"/>
      <c r="I46" s="467"/>
      <c r="J46" s="467"/>
      <c r="K46" s="1683">
        <f>SUM(C46:J46)</f>
        <v>32752</v>
      </c>
      <c r="L46" s="466">
        <v>70900</v>
      </c>
    </row>
    <row r="47" spans="1:14" ht="12.75" customHeight="1" thickBot="1" x14ac:dyDescent="0.25">
      <c r="A47" s="1679" t="s">
        <v>581</v>
      </c>
      <c r="B47" s="1680" t="s">
        <v>32</v>
      </c>
      <c r="C47" s="1681">
        <f>SUM(C44:C46)</f>
        <v>226416</v>
      </c>
      <c r="D47" s="1681">
        <f t="shared" ref="D47:K47" si="4">SUM(D44:D46)</f>
        <v>23810</v>
      </c>
      <c r="E47" s="1681">
        <f t="shared" si="4"/>
        <v>109240</v>
      </c>
      <c r="F47" s="1681">
        <f t="shared" si="4"/>
        <v>126249</v>
      </c>
      <c r="G47" s="1681">
        <f t="shared" si="4"/>
        <v>0</v>
      </c>
      <c r="H47" s="1681">
        <f t="shared" si="4"/>
        <v>4170</v>
      </c>
      <c r="I47" s="1681">
        <f t="shared" si="4"/>
        <v>0</v>
      </c>
      <c r="J47" s="1681">
        <f t="shared" si="4"/>
        <v>0</v>
      </c>
      <c r="K47" s="1681">
        <f t="shared" si="4"/>
        <v>489885</v>
      </c>
      <c r="L47" s="1681">
        <f>SUM(L44:L46)</f>
        <v>629449</v>
      </c>
    </row>
    <row r="48" spans="1:14" ht="15.75" customHeight="1" thickTop="1" x14ac:dyDescent="0.2">
      <c r="A48" s="625" t="s">
        <v>630</v>
      </c>
      <c r="B48" s="626"/>
      <c r="C48" s="627"/>
      <c r="D48" s="627"/>
      <c r="E48" s="627"/>
      <c r="F48" s="627"/>
      <c r="G48" s="627"/>
      <c r="H48" s="627"/>
      <c r="I48" s="617"/>
      <c r="J48" s="617"/>
      <c r="K48" s="627"/>
      <c r="L48" s="627"/>
    </row>
    <row r="49" spans="1:14" x14ac:dyDescent="0.2">
      <c r="A49" s="1517" t="s">
        <v>870</v>
      </c>
      <c r="B49" s="615">
        <v>2310</v>
      </c>
      <c r="C49" s="481"/>
      <c r="D49" s="481"/>
      <c r="E49" s="481">
        <v>55384</v>
      </c>
      <c r="F49" s="481">
        <v>923</v>
      </c>
      <c r="G49" s="481"/>
      <c r="H49" s="481">
        <v>9921</v>
      </c>
      <c r="I49" s="467"/>
      <c r="J49" s="467"/>
      <c r="K49" s="1683">
        <f>SUM(C49:J49)</f>
        <v>66228</v>
      </c>
      <c r="L49" s="481">
        <v>93750</v>
      </c>
    </row>
    <row r="50" spans="1:14" x14ac:dyDescent="0.2">
      <c r="A50" s="1517" t="s">
        <v>871</v>
      </c>
      <c r="B50" s="615">
        <v>2320</v>
      </c>
      <c r="C50" s="466">
        <v>181258</v>
      </c>
      <c r="D50" s="466">
        <v>18593</v>
      </c>
      <c r="E50" s="466">
        <v>15309</v>
      </c>
      <c r="F50" s="466">
        <v>5581</v>
      </c>
      <c r="G50" s="466"/>
      <c r="H50" s="466">
        <v>7076</v>
      </c>
      <c r="I50" s="467"/>
      <c r="J50" s="467"/>
      <c r="K50" s="1683">
        <f>SUM(C50:J50)</f>
        <v>227817</v>
      </c>
      <c r="L50" s="466">
        <v>195772</v>
      </c>
    </row>
    <row r="51" spans="1:14" x14ac:dyDescent="0.2">
      <c r="A51" s="1517" t="s">
        <v>44</v>
      </c>
      <c r="B51" s="615">
        <v>2330</v>
      </c>
      <c r="C51" s="466">
        <v>35107</v>
      </c>
      <c r="D51" s="466">
        <v>174</v>
      </c>
      <c r="E51" s="466">
        <v>1727</v>
      </c>
      <c r="F51" s="466">
        <v>1622</v>
      </c>
      <c r="G51" s="466"/>
      <c r="H51" s="466"/>
      <c r="I51" s="467">
        <v>1458</v>
      </c>
      <c r="J51" s="467"/>
      <c r="K51" s="1683">
        <f>SUM(C51:J51)</f>
        <v>40088</v>
      </c>
      <c r="L51" s="466">
        <v>56930</v>
      </c>
    </row>
    <row r="52" spans="1:14" ht="22.5" x14ac:dyDescent="0.2">
      <c r="A52" s="1518" t="s">
        <v>315</v>
      </c>
      <c r="B52" s="628" t="s">
        <v>383</v>
      </c>
      <c r="C52" s="474"/>
      <c r="D52" s="474"/>
      <c r="E52" s="474"/>
      <c r="F52" s="474"/>
      <c r="G52" s="474"/>
      <c r="H52" s="474"/>
      <c r="I52" s="474"/>
      <c r="J52" s="474"/>
      <c r="K52" s="1683">
        <f>SUM(C52:J52)</f>
        <v>0</v>
      </c>
      <c r="L52" s="474">
        <v>0</v>
      </c>
    </row>
    <row r="53" spans="1:14" ht="12.75" customHeight="1" thickBot="1" x14ac:dyDescent="0.25">
      <c r="A53" s="1679" t="s">
        <v>740</v>
      </c>
      <c r="B53" s="1680" t="s">
        <v>33</v>
      </c>
      <c r="C53" s="1681">
        <f>SUM(C49:C52)</f>
        <v>216365</v>
      </c>
      <c r="D53" s="1681">
        <f t="shared" ref="D53:L53" si="5">SUM(D49:D52)</f>
        <v>18767</v>
      </c>
      <c r="E53" s="1681">
        <f t="shared" si="5"/>
        <v>72420</v>
      </c>
      <c r="F53" s="1681">
        <f t="shared" si="5"/>
        <v>8126</v>
      </c>
      <c r="G53" s="1681">
        <f t="shared" si="5"/>
        <v>0</v>
      </c>
      <c r="H53" s="1681">
        <f t="shared" si="5"/>
        <v>16997</v>
      </c>
      <c r="I53" s="1681">
        <f t="shared" si="5"/>
        <v>1458</v>
      </c>
      <c r="J53" s="1681">
        <f t="shared" si="5"/>
        <v>0</v>
      </c>
      <c r="K53" s="1681">
        <f t="shared" si="5"/>
        <v>334133</v>
      </c>
      <c r="L53" s="1681">
        <f t="shared" si="5"/>
        <v>346452</v>
      </c>
    </row>
    <row r="54" spans="1:14" ht="15.75" customHeight="1" thickTop="1" x14ac:dyDescent="0.2">
      <c r="A54" s="625" t="s">
        <v>631</v>
      </c>
      <c r="B54" s="626"/>
      <c r="C54" s="627"/>
      <c r="D54" s="627"/>
      <c r="E54" s="627"/>
      <c r="F54" s="627"/>
      <c r="G54" s="627"/>
      <c r="H54" s="627"/>
      <c r="I54" s="617"/>
      <c r="J54" s="617"/>
      <c r="K54" s="627"/>
      <c r="L54" s="627"/>
    </row>
    <row r="55" spans="1:14" x14ac:dyDescent="0.2">
      <c r="A55" s="1517" t="s">
        <v>1126</v>
      </c>
      <c r="B55" s="615">
        <v>2410</v>
      </c>
      <c r="C55" s="481">
        <v>776405</v>
      </c>
      <c r="D55" s="481">
        <v>79573</v>
      </c>
      <c r="E55" s="481">
        <v>129701</v>
      </c>
      <c r="F55" s="481">
        <v>3971</v>
      </c>
      <c r="G55" s="481"/>
      <c r="H55" s="481">
        <v>99</v>
      </c>
      <c r="I55" s="467"/>
      <c r="J55" s="467"/>
      <c r="K55" s="1683">
        <f>SUM(C55:J55)</f>
        <v>989749</v>
      </c>
      <c r="L55" s="481">
        <v>1020545</v>
      </c>
    </row>
    <row r="56" spans="1:14" ht="12.75" customHeight="1" x14ac:dyDescent="0.2">
      <c r="A56" s="1521" t="s">
        <v>393</v>
      </c>
      <c r="B56" s="629">
        <v>2490</v>
      </c>
      <c r="C56" s="466"/>
      <c r="D56" s="466"/>
      <c r="E56" s="466"/>
      <c r="F56" s="466"/>
      <c r="G56" s="466"/>
      <c r="H56" s="466"/>
      <c r="I56" s="467"/>
      <c r="J56" s="467"/>
      <c r="K56" s="1683">
        <f>SUM(C56:J56)</f>
        <v>0</v>
      </c>
      <c r="L56" s="466"/>
    </row>
    <row r="57" spans="1:14" s="343" customFormat="1" ht="12.75" customHeight="1" thickBot="1" x14ac:dyDescent="0.25">
      <c r="A57" s="1679" t="s">
        <v>281</v>
      </c>
      <c r="B57" s="1684" t="s">
        <v>34</v>
      </c>
      <c r="C57" s="1685">
        <f>SUM(C55:C56)</f>
        <v>776405</v>
      </c>
      <c r="D57" s="1685">
        <f t="shared" ref="D57:K57" si="6">SUM(D55:D56)</f>
        <v>79573</v>
      </c>
      <c r="E57" s="1685">
        <f t="shared" si="6"/>
        <v>129701</v>
      </c>
      <c r="F57" s="1685">
        <f t="shared" si="6"/>
        <v>3971</v>
      </c>
      <c r="G57" s="1685">
        <f t="shared" si="6"/>
        <v>0</v>
      </c>
      <c r="H57" s="1685">
        <f t="shared" si="6"/>
        <v>99</v>
      </c>
      <c r="I57" s="1685">
        <f t="shared" si="6"/>
        <v>0</v>
      </c>
      <c r="J57" s="1685">
        <f t="shared" si="6"/>
        <v>0</v>
      </c>
      <c r="K57" s="1685">
        <f t="shared" si="6"/>
        <v>989749</v>
      </c>
      <c r="L57" s="1681">
        <f>SUM(L55:L56)</f>
        <v>1020545</v>
      </c>
      <c r="M57" s="610"/>
      <c r="N57" s="610"/>
    </row>
    <row r="58" spans="1:14" s="343" customFormat="1" ht="15.75" customHeight="1" thickTop="1" x14ac:dyDescent="0.2">
      <c r="A58" s="625" t="s">
        <v>632</v>
      </c>
      <c r="B58" s="626"/>
      <c r="C58" s="630"/>
      <c r="D58" s="627"/>
      <c r="E58" s="627"/>
      <c r="F58" s="627"/>
      <c r="G58" s="627"/>
      <c r="H58" s="627"/>
      <c r="I58" s="617"/>
      <c r="J58" s="617"/>
      <c r="K58" s="627"/>
      <c r="L58" s="627"/>
      <c r="M58" s="610"/>
      <c r="N58" s="610"/>
    </row>
    <row r="59" spans="1:14" s="343" customFormat="1" x14ac:dyDescent="0.2">
      <c r="A59" s="1517" t="s">
        <v>1127</v>
      </c>
      <c r="B59" s="615">
        <v>2510</v>
      </c>
      <c r="C59" s="481"/>
      <c r="D59" s="481"/>
      <c r="E59" s="481"/>
      <c r="F59" s="481"/>
      <c r="G59" s="481"/>
      <c r="H59" s="481"/>
      <c r="I59" s="467"/>
      <c r="J59" s="467"/>
      <c r="K59" s="1683">
        <f t="shared" ref="K59:K64" si="7">SUM(C59:J59)</f>
        <v>0</v>
      </c>
      <c r="L59" s="481">
        <v>0</v>
      </c>
      <c r="M59" s="610"/>
      <c r="N59" s="610"/>
    </row>
    <row r="60" spans="1:14" s="343" customFormat="1" x14ac:dyDescent="0.2">
      <c r="A60" s="1517" t="s">
        <v>482</v>
      </c>
      <c r="B60" s="615">
        <v>2520</v>
      </c>
      <c r="C60" s="466">
        <v>201532</v>
      </c>
      <c r="D60" s="466">
        <v>22153</v>
      </c>
      <c r="E60" s="466">
        <v>33965</v>
      </c>
      <c r="F60" s="466">
        <v>2923</v>
      </c>
      <c r="G60" s="466"/>
      <c r="H60" s="466"/>
      <c r="I60" s="467"/>
      <c r="J60" s="467"/>
      <c r="K60" s="1683">
        <f t="shared" si="7"/>
        <v>260573</v>
      </c>
      <c r="L60" s="466">
        <v>247125</v>
      </c>
      <c r="M60" s="610"/>
      <c r="N60" s="610"/>
    </row>
    <row r="61" spans="1:14" s="343" customFormat="1" x14ac:dyDescent="0.2">
      <c r="A61" s="1517" t="s">
        <v>206</v>
      </c>
      <c r="B61" s="615">
        <v>2540</v>
      </c>
      <c r="C61" s="466"/>
      <c r="D61" s="466"/>
      <c r="E61" s="466">
        <v>40883</v>
      </c>
      <c r="F61" s="466">
        <v>738</v>
      </c>
      <c r="G61" s="466"/>
      <c r="H61" s="466"/>
      <c r="I61" s="467"/>
      <c r="J61" s="467"/>
      <c r="K61" s="1683">
        <f t="shared" si="7"/>
        <v>41621</v>
      </c>
      <c r="L61" s="466">
        <v>49000</v>
      </c>
      <c r="M61" s="610"/>
      <c r="N61" s="610"/>
    </row>
    <row r="62" spans="1:14" s="343" customFormat="1" x14ac:dyDescent="0.2">
      <c r="A62" s="1517" t="s">
        <v>1009</v>
      </c>
      <c r="B62" s="615">
        <v>2550</v>
      </c>
      <c r="C62" s="466">
        <v>196755</v>
      </c>
      <c r="D62" s="466">
        <v>19839</v>
      </c>
      <c r="E62" s="466"/>
      <c r="F62" s="466">
        <v>16752</v>
      </c>
      <c r="G62" s="466"/>
      <c r="H62" s="466"/>
      <c r="I62" s="467"/>
      <c r="J62" s="467"/>
      <c r="K62" s="1683">
        <f t="shared" si="7"/>
        <v>233346</v>
      </c>
      <c r="L62" s="466">
        <v>217826</v>
      </c>
      <c r="M62" s="610"/>
      <c r="N62" s="610"/>
    </row>
    <row r="63" spans="1:14" s="610" customFormat="1" x14ac:dyDescent="0.2">
      <c r="A63" s="1517" t="s">
        <v>102</v>
      </c>
      <c r="B63" s="615">
        <v>2560</v>
      </c>
      <c r="C63" s="466">
        <v>424356</v>
      </c>
      <c r="D63" s="466">
        <v>80034</v>
      </c>
      <c r="E63" s="466">
        <v>14941</v>
      </c>
      <c r="F63" s="466">
        <v>454367</v>
      </c>
      <c r="G63" s="466"/>
      <c r="H63" s="466"/>
      <c r="I63" s="467"/>
      <c r="J63" s="467"/>
      <c r="K63" s="1683">
        <f t="shared" si="7"/>
        <v>973698</v>
      </c>
      <c r="L63" s="466">
        <v>1102289</v>
      </c>
    </row>
    <row r="64" spans="1:14" s="610" customFormat="1" x14ac:dyDescent="0.2">
      <c r="A64" s="1522" t="s">
        <v>103</v>
      </c>
      <c r="B64" s="631">
        <v>2570</v>
      </c>
      <c r="C64" s="481"/>
      <c r="D64" s="481"/>
      <c r="E64" s="481"/>
      <c r="F64" s="481"/>
      <c r="G64" s="481"/>
      <c r="H64" s="481"/>
      <c r="I64" s="467"/>
      <c r="J64" s="467"/>
      <c r="K64" s="1683">
        <f t="shared" si="7"/>
        <v>0</v>
      </c>
      <c r="L64" s="481">
        <v>0</v>
      </c>
    </row>
    <row r="65" spans="1:14" s="343" customFormat="1" ht="12.75" customHeight="1" thickBot="1" x14ac:dyDescent="0.25">
      <c r="A65" s="1679" t="s">
        <v>742</v>
      </c>
      <c r="B65" s="1680" t="s">
        <v>35</v>
      </c>
      <c r="C65" s="1681">
        <f>SUM(C59:C64)</f>
        <v>822643</v>
      </c>
      <c r="D65" s="1681">
        <f t="shared" ref="D65:L65" si="8">SUM(D59:D64)</f>
        <v>122026</v>
      </c>
      <c r="E65" s="1681">
        <f t="shared" si="8"/>
        <v>89789</v>
      </c>
      <c r="F65" s="1681">
        <f t="shared" si="8"/>
        <v>474780</v>
      </c>
      <c r="G65" s="1681">
        <f t="shared" si="8"/>
        <v>0</v>
      </c>
      <c r="H65" s="1681">
        <f t="shared" si="8"/>
        <v>0</v>
      </c>
      <c r="I65" s="1681">
        <f t="shared" si="8"/>
        <v>0</v>
      </c>
      <c r="J65" s="1681">
        <f t="shared" si="8"/>
        <v>0</v>
      </c>
      <c r="K65" s="1681">
        <f t="shared" si="8"/>
        <v>1509238</v>
      </c>
      <c r="L65" s="1681">
        <f t="shared" si="8"/>
        <v>1616240</v>
      </c>
      <c r="M65" s="610"/>
      <c r="N65" s="610"/>
    </row>
    <row r="66" spans="1:14" s="343" customFormat="1" ht="15.75" customHeight="1" thickTop="1" x14ac:dyDescent="0.2">
      <c r="A66" s="625" t="s">
        <v>633</v>
      </c>
      <c r="B66" s="632"/>
      <c r="C66" s="617"/>
      <c r="D66" s="617"/>
      <c r="E66" s="617"/>
      <c r="F66" s="617"/>
      <c r="G66" s="617"/>
      <c r="H66" s="617"/>
      <c r="I66" s="617"/>
      <c r="J66" s="617"/>
      <c r="K66" s="627"/>
      <c r="L66" s="627"/>
      <c r="M66" s="610"/>
      <c r="N66" s="610"/>
    </row>
    <row r="67" spans="1:14" s="343" customFormat="1" x14ac:dyDescent="0.2">
      <c r="A67" s="1517" t="s">
        <v>1119</v>
      </c>
      <c r="B67" s="615">
        <v>2610</v>
      </c>
      <c r="C67" s="466"/>
      <c r="D67" s="466"/>
      <c r="E67" s="466"/>
      <c r="F67" s="466"/>
      <c r="G67" s="466"/>
      <c r="H67" s="466"/>
      <c r="I67" s="467"/>
      <c r="J67" s="467"/>
      <c r="K67" s="1683">
        <f>SUM(C67:J67)</f>
        <v>0</v>
      </c>
      <c r="L67" s="481"/>
      <c r="M67" s="610"/>
      <c r="N67" s="610"/>
    </row>
    <row r="68" spans="1:14" s="343" customFormat="1" x14ac:dyDescent="0.2">
      <c r="A68" s="1517" t="s">
        <v>627</v>
      </c>
      <c r="B68" s="615">
        <v>2620</v>
      </c>
      <c r="C68" s="466"/>
      <c r="D68" s="466"/>
      <c r="E68" s="466"/>
      <c r="F68" s="466"/>
      <c r="G68" s="466"/>
      <c r="H68" s="466"/>
      <c r="I68" s="467"/>
      <c r="J68" s="467"/>
      <c r="K68" s="1683">
        <f>SUM(C68:J68)</f>
        <v>0</v>
      </c>
      <c r="L68" s="466"/>
      <c r="M68" s="610"/>
      <c r="N68" s="610"/>
    </row>
    <row r="69" spans="1:14" s="343" customFormat="1" x14ac:dyDescent="0.2">
      <c r="A69" s="1517" t="s">
        <v>1120</v>
      </c>
      <c r="B69" s="615">
        <v>2630</v>
      </c>
      <c r="C69" s="466"/>
      <c r="D69" s="466"/>
      <c r="E69" s="466"/>
      <c r="F69" s="466"/>
      <c r="G69" s="466"/>
      <c r="H69" s="466"/>
      <c r="I69" s="467"/>
      <c r="J69" s="467"/>
      <c r="K69" s="1683">
        <f>SUM(C69:J69)</f>
        <v>0</v>
      </c>
      <c r="L69" s="466"/>
      <c r="M69" s="610"/>
      <c r="N69" s="610"/>
    </row>
    <row r="70" spans="1:14" s="343" customFormat="1" x14ac:dyDescent="0.2">
      <c r="A70" s="1517" t="s">
        <v>422</v>
      </c>
      <c r="B70" s="615">
        <v>2640</v>
      </c>
      <c r="C70" s="466"/>
      <c r="D70" s="466"/>
      <c r="E70" s="466"/>
      <c r="F70" s="466"/>
      <c r="G70" s="466"/>
      <c r="H70" s="466"/>
      <c r="I70" s="467"/>
      <c r="J70" s="467"/>
      <c r="K70" s="1683">
        <f>SUM(C70:J70)</f>
        <v>0</v>
      </c>
      <c r="L70" s="466"/>
      <c r="M70" s="610"/>
      <c r="N70" s="610"/>
    </row>
    <row r="71" spans="1:14" s="343" customFormat="1" x14ac:dyDescent="0.2">
      <c r="A71" s="1517" t="s">
        <v>423</v>
      </c>
      <c r="B71" s="615">
        <v>2660</v>
      </c>
      <c r="C71" s="466">
        <v>317978</v>
      </c>
      <c r="D71" s="466">
        <v>36390</v>
      </c>
      <c r="E71" s="466">
        <v>546</v>
      </c>
      <c r="F71" s="466"/>
      <c r="G71" s="466"/>
      <c r="H71" s="466"/>
      <c r="I71" s="467"/>
      <c r="J71" s="467"/>
      <c r="K71" s="1683">
        <f>SUM(C71:J71)</f>
        <v>354914</v>
      </c>
      <c r="L71" s="466">
        <v>316914</v>
      </c>
      <c r="M71" s="610"/>
      <c r="N71" s="610"/>
    </row>
    <row r="72" spans="1:14" s="343" customFormat="1" ht="12.75" customHeight="1" thickBot="1" x14ac:dyDescent="0.25">
      <c r="A72" s="1679" t="s">
        <v>37</v>
      </c>
      <c r="B72" s="1686" t="s">
        <v>36</v>
      </c>
      <c r="C72" s="1681">
        <f>SUM(C67:C71)</f>
        <v>317978</v>
      </c>
      <c r="D72" s="1681">
        <f t="shared" ref="D72:K72" si="9">SUM(D67:D71)</f>
        <v>36390</v>
      </c>
      <c r="E72" s="1681">
        <f t="shared" si="9"/>
        <v>546</v>
      </c>
      <c r="F72" s="1681">
        <f t="shared" si="9"/>
        <v>0</v>
      </c>
      <c r="G72" s="1681">
        <f t="shared" si="9"/>
        <v>0</v>
      </c>
      <c r="H72" s="1681">
        <f t="shared" si="9"/>
        <v>0</v>
      </c>
      <c r="I72" s="1681">
        <f t="shared" si="9"/>
        <v>0</v>
      </c>
      <c r="J72" s="1681">
        <f t="shared" si="9"/>
        <v>0</v>
      </c>
      <c r="K72" s="1681">
        <f t="shared" si="9"/>
        <v>354914</v>
      </c>
      <c r="L72" s="1681">
        <f>SUM(L67:L71)</f>
        <v>316914</v>
      </c>
      <c r="M72" s="610"/>
      <c r="N72" s="610"/>
    </row>
    <row r="73" spans="1:14" s="343" customFormat="1" ht="14.25" thickTop="1" thickBot="1" x14ac:dyDescent="0.25">
      <c r="A73" s="1523" t="s">
        <v>1036</v>
      </c>
      <c r="B73" s="633" t="s">
        <v>594</v>
      </c>
      <c r="C73" s="573"/>
      <c r="D73" s="573"/>
      <c r="E73" s="573">
        <v>200</v>
      </c>
      <c r="F73" s="573"/>
      <c r="G73" s="573"/>
      <c r="H73" s="573"/>
      <c r="I73" s="531"/>
      <c r="J73" s="531"/>
      <c r="K73" s="1681">
        <f>SUM(C73:J73)</f>
        <v>200</v>
      </c>
      <c r="L73" s="576">
        <v>3000</v>
      </c>
      <c r="M73" s="610"/>
      <c r="N73" s="610"/>
    </row>
    <row r="74" spans="1:14" ht="12.75" customHeight="1" thickTop="1" thickBot="1" x14ac:dyDescent="0.25">
      <c r="A74" s="1679" t="s">
        <v>864</v>
      </c>
      <c r="B74" s="1687">
        <v>2000</v>
      </c>
      <c r="C74" s="1688">
        <f>SUM(C42,C47,C53,C57,C65,C72,C73)</f>
        <v>2961280</v>
      </c>
      <c r="D74" s="1688">
        <f t="shared" ref="D74:K74" si="10">SUM(D42,D47,D53,D57,D65,D72,D73)</f>
        <v>352754</v>
      </c>
      <c r="E74" s="1688">
        <f t="shared" si="10"/>
        <v>408343</v>
      </c>
      <c r="F74" s="1688">
        <f t="shared" si="10"/>
        <v>625586</v>
      </c>
      <c r="G74" s="1688">
        <f t="shared" si="10"/>
        <v>0</v>
      </c>
      <c r="H74" s="1688">
        <f t="shared" si="10"/>
        <v>21266</v>
      </c>
      <c r="I74" s="1688">
        <f t="shared" si="10"/>
        <v>1458</v>
      </c>
      <c r="J74" s="1688">
        <f t="shared" si="10"/>
        <v>0</v>
      </c>
      <c r="K74" s="1688">
        <f t="shared" si="10"/>
        <v>4370687</v>
      </c>
      <c r="L74" s="1688">
        <f>SUM(L42,L47,L53,L57,L65,L72,L73)</f>
        <v>4639197</v>
      </c>
    </row>
    <row r="75" spans="1:14" s="259" customFormat="1" ht="15.75" customHeight="1" thickTop="1" thickBot="1" x14ac:dyDescent="0.25">
      <c r="A75" s="1623" t="s">
        <v>49</v>
      </c>
      <c r="B75" s="1624" t="s">
        <v>595</v>
      </c>
      <c r="C75" s="573">
        <v>113576</v>
      </c>
      <c r="D75" s="573">
        <v>19053</v>
      </c>
      <c r="E75" s="573">
        <v>24223</v>
      </c>
      <c r="F75" s="573">
        <v>21045</v>
      </c>
      <c r="G75" s="573"/>
      <c r="H75" s="573"/>
      <c r="I75" s="531"/>
      <c r="J75" s="531"/>
      <c r="K75" s="1681">
        <f>SUM(C75:J75)</f>
        <v>177897</v>
      </c>
      <c r="L75" s="576">
        <v>142176</v>
      </c>
      <c r="M75" s="614"/>
      <c r="N75" s="614"/>
    </row>
    <row r="76" spans="1:14" s="634" customFormat="1" ht="15.75" customHeight="1" thickTop="1" x14ac:dyDescent="0.2">
      <c r="A76" s="1625" t="s">
        <v>382</v>
      </c>
      <c r="B76" s="1622" t="s">
        <v>914</v>
      </c>
      <c r="C76" s="619"/>
      <c r="D76" s="619"/>
      <c r="E76" s="617"/>
      <c r="F76" s="619"/>
      <c r="G76" s="619"/>
      <c r="H76" s="617"/>
      <c r="I76" s="617"/>
      <c r="J76" s="617"/>
      <c r="K76" s="617"/>
      <c r="L76" s="617"/>
      <c r="M76" s="184"/>
      <c r="N76" s="184"/>
    </row>
    <row r="77" spans="1:14" s="259" customFormat="1" ht="15.75" customHeight="1" x14ac:dyDescent="0.2">
      <c r="A77" s="622" t="s">
        <v>634</v>
      </c>
      <c r="B77" s="623"/>
      <c r="C77" s="617"/>
      <c r="D77" s="617"/>
      <c r="E77" s="624"/>
      <c r="F77" s="617"/>
      <c r="G77" s="617"/>
      <c r="H77" s="624"/>
      <c r="I77" s="617"/>
      <c r="J77" s="617"/>
      <c r="K77" s="624"/>
      <c r="L77" s="624"/>
      <c r="M77" s="614"/>
      <c r="N77" s="614"/>
    </row>
    <row r="78" spans="1:14" x14ac:dyDescent="0.2">
      <c r="A78" s="1517" t="s">
        <v>516</v>
      </c>
      <c r="B78" s="615">
        <v>4110</v>
      </c>
      <c r="C78" s="617"/>
      <c r="D78" s="617"/>
      <c r="E78" s="481">
        <v>4556</v>
      </c>
      <c r="F78" s="617"/>
      <c r="G78" s="617"/>
      <c r="H78" s="635"/>
      <c r="I78" s="477"/>
      <c r="J78" s="477"/>
      <c r="K78" s="1682">
        <f t="shared" ref="K78:K83" si="11">SUM(C78:J78)</f>
        <v>4556</v>
      </c>
      <c r="L78" s="481"/>
    </row>
    <row r="79" spans="1:14" x14ac:dyDescent="0.2">
      <c r="A79" s="1517" t="s">
        <v>321</v>
      </c>
      <c r="B79" s="615">
        <v>4120</v>
      </c>
      <c r="C79" s="617"/>
      <c r="D79" s="617"/>
      <c r="E79" s="466"/>
      <c r="F79" s="617"/>
      <c r="G79" s="617"/>
      <c r="H79" s="466"/>
      <c r="I79" s="477"/>
      <c r="J79" s="477"/>
      <c r="K79" s="1682">
        <f t="shared" si="11"/>
        <v>0</v>
      </c>
      <c r="L79" s="466"/>
    </row>
    <row r="80" spans="1:14" x14ac:dyDescent="0.2">
      <c r="A80" s="1517" t="s">
        <v>322</v>
      </c>
      <c r="B80" s="615">
        <v>4130</v>
      </c>
      <c r="C80" s="617"/>
      <c r="D80" s="617"/>
      <c r="E80" s="466"/>
      <c r="F80" s="617"/>
      <c r="G80" s="617"/>
      <c r="H80" s="466"/>
      <c r="I80" s="477"/>
      <c r="J80" s="477"/>
      <c r="K80" s="1682">
        <f t="shared" si="11"/>
        <v>0</v>
      </c>
      <c r="L80" s="466"/>
    </row>
    <row r="81" spans="1:12" x14ac:dyDescent="0.2">
      <c r="A81" s="1517" t="s">
        <v>720</v>
      </c>
      <c r="B81" s="615">
        <v>4140</v>
      </c>
      <c r="C81" s="617"/>
      <c r="D81" s="617"/>
      <c r="E81" s="466"/>
      <c r="F81" s="617"/>
      <c r="G81" s="617"/>
      <c r="H81" s="466"/>
      <c r="I81" s="477"/>
      <c r="J81" s="477"/>
      <c r="K81" s="1682">
        <f t="shared" si="11"/>
        <v>0</v>
      </c>
      <c r="L81" s="466"/>
    </row>
    <row r="82" spans="1:12" x14ac:dyDescent="0.2">
      <c r="A82" s="1517" t="s">
        <v>88</v>
      </c>
      <c r="B82" s="615">
        <v>4170</v>
      </c>
      <c r="C82" s="617"/>
      <c r="D82" s="617"/>
      <c r="E82" s="466"/>
      <c r="F82" s="617"/>
      <c r="G82" s="617"/>
      <c r="H82" s="466"/>
      <c r="I82" s="477"/>
      <c r="J82" s="477"/>
      <c r="K82" s="1682">
        <f t="shared" si="11"/>
        <v>0</v>
      </c>
      <c r="L82" s="466"/>
    </row>
    <row r="83" spans="1:12" x14ac:dyDescent="0.2">
      <c r="A83" s="1521" t="s">
        <v>721</v>
      </c>
      <c r="B83" s="629">
        <v>4190</v>
      </c>
      <c r="C83" s="617"/>
      <c r="D83" s="617"/>
      <c r="E83" s="466"/>
      <c r="F83" s="617"/>
      <c r="G83" s="617"/>
      <c r="H83" s="466"/>
      <c r="I83" s="477"/>
      <c r="J83" s="477"/>
      <c r="K83" s="1682">
        <f t="shared" si="11"/>
        <v>0</v>
      </c>
      <c r="L83" s="466"/>
    </row>
    <row r="84" spans="1:12" ht="13.5" thickBot="1" x14ac:dyDescent="0.25">
      <c r="A84" s="1679" t="s">
        <v>1564</v>
      </c>
      <c r="B84" s="1689">
        <v>4100</v>
      </c>
      <c r="C84" s="617"/>
      <c r="D84" s="617"/>
      <c r="E84" s="1681">
        <f>SUM(E78:E83)</f>
        <v>4556</v>
      </c>
      <c r="F84" s="617"/>
      <c r="G84" s="617"/>
      <c r="H84" s="1681">
        <f>SUM(H78:H83)</f>
        <v>0</v>
      </c>
      <c r="I84" s="477"/>
      <c r="J84" s="477"/>
      <c r="K84" s="1681">
        <f>SUM(K78:K83)</f>
        <v>4556</v>
      </c>
      <c r="L84" s="1681">
        <f>SUM(L78:L83)</f>
        <v>0</v>
      </c>
    </row>
    <row r="85" spans="1:12" ht="12.75" customHeight="1" thickTop="1" thickBot="1" x14ac:dyDescent="0.25">
      <c r="A85" s="1524" t="s">
        <v>273</v>
      </c>
      <c r="B85" s="636">
        <v>4210</v>
      </c>
      <c r="C85" s="617"/>
      <c r="D85" s="617"/>
      <c r="E85" s="637"/>
      <c r="F85" s="617"/>
      <c r="G85" s="617"/>
      <c r="H85" s="535"/>
      <c r="I85" s="477"/>
      <c r="J85" s="477"/>
      <c r="K85" s="1688">
        <f>H85</f>
        <v>0</v>
      </c>
      <c r="L85" s="530"/>
    </row>
    <row r="86" spans="1:12" ht="12.75" customHeight="1" thickTop="1" thickBot="1" x14ac:dyDescent="0.25">
      <c r="A86" s="1525" t="s">
        <v>722</v>
      </c>
      <c r="B86" s="638">
        <v>4220</v>
      </c>
      <c r="C86" s="617"/>
      <c r="D86" s="617"/>
      <c r="E86" s="639"/>
      <c r="F86" s="617"/>
      <c r="G86" s="617"/>
      <c r="H86" s="467">
        <v>550520</v>
      </c>
      <c r="I86" s="477"/>
      <c r="J86" s="477"/>
      <c r="K86" s="1688">
        <f t="shared" ref="K86:K98" si="12">H86</f>
        <v>550520</v>
      </c>
      <c r="L86" s="530">
        <v>722482</v>
      </c>
    </row>
    <row r="87" spans="1:12" ht="14.25" thickTop="1" thickBot="1" x14ac:dyDescent="0.25">
      <c r="A87" s="1526" t="s">
        <v>723</v>
      </c>
      <c r="B87" s="640">
        <v>4230</v>
      </c>
      <c r="C87" s="617"/>
      <c r="D87" s="617"/>
      <c r="E87" s="639"/>
      <c r="F87" s="617"/>
      <c r="G87" s="617"/>
      <c r="H87" s="467"/>
      <c r="I87" s="477"/>
      <c r="J87" s="477"/>
      <c r="K87" s="1688">
        <f t="shared" si="12"/>
        <v>0</v>
      </c>
      <c r="L87" s="530"/>
    </row>
    <row r="88" spans="1:12" ht="12.75" customHeight="1" thickTop="1" thickBot="1" x14ac:dyDescent="0.25">
      <c r="A88" s="1526" t="s">
        <v>788</v>
      </c>
      <c r="B88" s="640">
        <v>4240</v>
      </c>
      <c r="C88" s="617"/>
      <c r="D88" s="617"/>
      <c r="E88" s="639"/>
      <c r="F88" s="617"/>
      <c r="G88" s="617"/>
      <c r="H88" s="467"/>
      <c r="I88" s="477"/>
      <c r="J88" s="477"/>
      <c r="K88" s="1688">
        <f t="shared" si="12"/>
        <v>0</v>
      </c>
      <c r="L88" s="530"/>
    </row>
    <row r="89" spans="1:12" ht="12.75" customHeight="1" thickTop="1" thickBot="1" x14ac:dyDescent="0.25">
      <c r="A89" s="1526" t="s">
        <v>724</v>
      </c>
      <c r="B89" s="640">
        <v>4270</v>
      </c>
      <c r="C89" s="617"/>
      <c r="D89" s="617"/>
      <c r="E89" s="639"/>
      <c r="F89" s="617"/>
      <c r="G89" s="617"/>
      <c r="H89" s="467"/>
      <c r="I89" s="477"/>
      <c r="J89" s="477"/>
      <c r="K89" s="1688">
        <f t="shared" si="12"/>
        <v>0</v>
      </c>
      <c r="L89" s="530"/>
    </row>
    <row r="90" spans="1:12" ht="12.75" customHeight="1" thickTop="1" thickBot="1" x14ac:dyDescent="0.25">
      <c r="A90" s="1526" t="s">
        <v>709</v>
      </c>
      <c r="B90" s="640">
        <v>4280</v>
      </c>
      <c r="C90" s="617"/>
      <c r="D90" s="617"/>
      <c r="E90" s="639"/>
      <c r="F90" s="617"/>
      <c r="G90" s="617"/>
      <c r="H90" s="467"/>
      <c r="I90" s="477"/>
      <c r="J90" s="477"/>
      <c r="K90" s="1688">
        <f t="shared" si="12"/>
        <v>0</v>
      </c>
      <c r="L90" s="530"/>
    </row>
    <row r="91" spans="1:12" ht="12.75" customHeight="1" thickTop="1" thickBot="1" x14ac:dyDescent="0.25">
      <c r="A91" s="1526" t="s">
        <v>710</v>
      </c>
      <c r="B91" s="640">
        <v>4290</v>
      </c>
      <c r="C91" s="617"/>
      <c r="D91" s="617"/>
      <c r="E91" s="639"/>
      <c r="F91" s="617"/>
      <c r="G91" s="617"/>
      <c r="H91" s="467"/>
      <c r="I91" s="477"/>
      <c r="J91" s="477"/>
      <c r="K91" s="1688">
        <f t="shared" si="12"/>
        <v>0</v>
      </c>
      <c r="L91" s="530"/>
    </row>
    <row r="92" spans="1:12" ht="14.25" thickTop="1" thickBot="1" x14ac:dyDescent="0.25">
      <c r="A92" s="1691" t="s">
        <v>1640</v>
      </c>
      <c r="B92" s="1689">
        <v>4200</v>
      </c>
      <c r="C92" s="617"/>
      <c r="D92" s="617"/>
      <c r="E92" s="639"/>
      <c r="F92" s="617"/>
      <c r="G92" s="617"/>
      <c r="H92" s="1681">
        <f>SUM(H85:H91)</f>
        <v>550520</v>
      </c>
      <c r="I92" s="477"/>
      <c r="J92" s="477"/>
      <c r="K92" s="1688">
        <f t="shared" si="12"/>
        <v>550520</v>
      </c>
      <c r="L92" s="1681">
        <f>SUM(L85:L91)</f>
        <v>722482</v>
      </c>
    </row>
    <row r="93" spans="1:12" ht="14.25" thickTop="1" thickBot="1" x14ac:dyDescent="0.25">
      <c r="A93" s="1525" t="s">
        <v>711</v>
      </c>
      <c r="B93" s="641">
        <v>4310</v>
      </c>
      <c r="C93" s="617"/>
      <c r="D93" s="617"/>
      <c r="E93" s="639"/>
      <c r="F93" s="617"/>
      <c r="G93" s="617"/>
      <c r="H93" s="642"/>
      <c r="I93" s="477"/>
      <c r="J93" s="477"/>
      <c r="K93" s="1688">
        <f t="shared" si="12"/>
        <v>0</v>
      </c>
      <c r="L93" s="532"/>
    </row>
    <row r="94" spans="1:12" ht="12.75" customHeight="1" thickTop="1" thickBot="1" x14ac:dyDescent="0.25">
      <c r="A94" s="1526" t="s">
        <v>712</v>
      </c>
      <c r="B94" s="640">
        <v>4320</v>
      </c>
      <c r="C94" s="617"/>
      <c r="D94" s="617"/>
      <c r="E94" s="639"/>
      <c r="F94" s="617"/>
      <c r="G94" s="617"/>
      <c r="H94" s="467"/>
      <c r="I94" s="477"/>
      <c r="J94" s="477"/>
      <c r="K94" s="1688">
        <f t="shared" si="12"/>
        <v>0</v>
      </c>
      <c r="L94" s="530"/>
    </row>
    <row r="95" spans="1:12" ht="15" customHeight="1" thickTop="1" thickBot="1" x14ac:dyDescent="0.25">
      <c r="A95" s="1526" t="s">
        <v>1567</v>
      </c>
      <c r="B95" s="640">
        <v>4330</v>
      </c>
      <c r="C95" s="617"/>
      <c r="D95" s="617"/>
      <c r="E95" s="639"/>
      <c r="F95" s="617"/>
      <c r="G95" s="617"/>
      <c r="H95" s="467"/>
      <c r="I95" s="477"/>
      <c r="J95" s="477"/>
      <c r="K95" s="1688">
        <f t="shared" si="12"/>
        <v>0</v>
      </c>
      <c r="L95" s="530"/>
    </row>
    <row r="96" spans="1:12" ht="14.25" thickTop="1" thickBot="1" x14ac:dyDescent="0.25">
      <c r="A96" s="1526" t="s">
        <v>713</v>
      </c>
      <c r="B96" s="640">
        <v>4340</v>
      </c>
      <c r="C96" s="617"/>
      <c r="D96" s="617"/>
      <c r="E96" s="639"/>
      <c r="F96" s="617"/>
      <c r="G96" s="617"/>
      <c r="H96" s="467"/>
      <c r="I96" s="477"/>
      <c r="J96" s="477"/>
      <c r="K96" s="1688">
        <f t="shared" si="12"/>
        <v>0</v>
      </c>
      <c r="L96" s="530"/>
    </row>
    <row r="97" spans="1:14" ht="12.75" customHeight="1" thickTop="1" thickBot="1" x14ac:dyDescent="0.25">
      <c r="A97" s="1526" t="s">
        <v>786</v>
      </c>
      <c r="B97" s="640">
        <v>4370</v>
      </c>
      <c r="C97" s="617"/>
      <c r="D97" s="617"/>
      <c r="E97" s="639"/>
      <c r="F97" s="617"/>
      <c r="G97" s="617"/>
      <c r="H97" s="467"/>
      <c r="I97" s="477"/>
      <c r="J97" s="477"/>
      <c r="K97" s="1688">
        <f t="shared" si="12"/>
        <v>0</v>
      </c>
      <c r="L97" s="530"/>
    </row>
    <row r="98" spans="1:14" ht="14.25" thickTop="1" thickBot="1" x14ac:dyDescent="0.25">
      <c r="A98" s="1526" t="s">
        <v>787</v>
      </c>
      <c r="B98" s="640">
        <v>4380</v>
      </c>
      <c r="C98" s="617"/>
      <c r="D98" s="617"/>
      <c r="E98" s="643"/>
      <c r="F98" s="617"/>
      <c r="G98" s="617"/>
      <c r="H98" s="467"/>
      <c r="I98" s="477"/>
      <c r="J98" s="477"/>
      <c r="K98" s="1688">
        <f t="shared" si="12"/>
        <v>0</v>
      </c>
      <c r="L98" s="530"/>
    </row>
    <row r="99" spans="1:14" ht="14.25" thickTop="1" thickBot="1" x14ac:dyDescent="0.25">
      <c r="A99" s="1526" t="s">
        <v>384</v>
      </c>
      <c r="B99" s="640">
        <v>4390</v>
      </c>
      <c r="C99" s="617"/>
      <c r="D99" s="617"/>
      <c r="E99" s="532"/>
      <c r="F99" s="617"/>
      <c r="G99" s="617"/>
      <c r="H99" s="467">
        <v>16755</v>
      </c>
      <c r="I99" s="477"/>
      <c r="J99" s="477"/>
      <c r="K99" s="1688">
        <f>SUM(E99,H99)</f>
        <v>16755</v>
      </c>
      <c r="L99" s="530"/>
    </row>
    <row r="100" spans="1:14" ht="14.25" thickTop="1" thickBot="1" x14ac:dyDescent="0.25">
      <c r="A100" s="1691" t="s">
        <v>1565</v>
      </c>
      <c r="B100" s="1692">
        <v>4300</v>
      </c>
      <c r="C100" s="617"/>
      <c r="D100" s="617"/>
      <c r="E100" s="1688">
        <f>SUM(E93:E99)</f>
        <v>0</v>
      </c>
      <c r="F100" s="617"/>
      <c r="G100" s="617"/>
      <c r="H100" s="1688">
        <f>SUM(H93:H99)</f>
        <v>16755</v>
      </c>
      <c r="I100" s="477"/>
      <c r="J100" s="477"/>
      <c r="K100" s="1688">
        <f>SUM(K93:K99)</f>
        <v>16755</v>
      </c>
      <c r="L100" s="1688">
        <f>SUM(L93:L99)</f>
        <v>0</v>
      </c>
    </row>
    <row r="101" spans="1:14" ht="12.75" customHeight="1" thickTop="1" thickBot="1" x14ac:dyDescent="0.25">
      <c r="A101" s="1523" t="s">
        <v>1568</v>
      </c>
      <c r="B101" s="644" t="s">
        <v>987</v>
      </c>
      <c r="C101" s="617"/>
      <c r="D101" s="617"/>
      <c r="E101" s="531"/>
      <c r="F101" s="617"/>
      <c r="G101" s="617"/>
      <c r="H101" s="531"/>
      <c r="I101" s="477"/>
      <c r="J101" s="477"/>
      <c r="K101" s="1690">
        <f>SUM(C101:J101)</f>
        <v>0</v>
      </c>
      <c r="L101" s="530"/>
    </row>
    <row r="102" spans="1:14" ht="12.75" customHeight="1" thickTop="1" thickBot="1" x14ac:dyDescent="0.25">
      <c r="A102" s="1679" t="s">
        <v>1566</v>
      </c>
      <c r="B102" s="1689">
        <v>4000</v>
      </c>
      <c r="C102" s="617"/>
      <c r="D102" s="617"/>
      <c r="E102" s="1688">
        <f>SUM(E84,E92,E100,E101)</f>
        <v>4556</v>
      </c>
      <c r="F102" s="617"/>
      <c r="G102" s="617"/>
      <c r="H102" s="1688">
        <f>SUM(H84,H92,H100,H101)</f>
        <v>567275</v>
      </c>
      <c r="I102" s="477"/>
      <c r="J102" s="477"/>
      <c r="K102" s="1688">
        <f>SUM(K84,K92,K100,K101)</f>
        <v>571831</v>
      </c>
      <c r="L102" s="1688">
        <f>SUM(L84,L92,L100,L101)</f>
        <v>722482</v>
      </c>
    </row>
    <row r="103" spans="1:14" s="634" customFormat="1" ht="15.75" customHeight="1" thickTop="1" x14ac:dyDescent="0.2">
      <c r="A103" s="1625" t="s">
        <v>533</v>
      </c>
      <c r="B103" s="1622" t="s">
        <v>512</v>
      </c>
      <c r="C103" s="617"/>
      <c r="D103" s="617"/>
      <c r="E103" s="617"/>
      <c r="F103" s="617"/>
      <c r="G103" s="617"/>
      <c r="H103" s="619"/>
      <c r="I103" s="468"/>
      <c r="J103" s="468"/>
      <c r="K103" s="619"/>
      <c r="L103" s="619"/>
      <c r="M103" s="184"/>
      <c r="N103" s="184"/>
    </row>
    <row r="104" spans="1:14" s="647" customFormat="1" ht="15.75" customHeight="1" x14ac:dyDescent="0.2">
      <c r="A104" s="645" t="s">
        <v>635</v>
      </c>
      <c r="B104" s="646"/>
      <c r="C104" s="617"/>
      <c r="D104" s="617"/>
      <c r="E104" s="617"/>
      <c r="F104" s="617"/>
      <c r="G104" s="617"/>
      <c r="H104" s="624"/>
      <c r="I104" s="468"/>
      <c r="J104" s="468"/>
      <c r="K104" s="624"/>
      <c r="L104" s="624"/>
      <c r="M104" s="614"/>
      <c r="N104" s="614"/>
    </row>
    <row r="105" spans="1:14" s="598" customFormat="1" x14ac:dyDescent="0.2">
      <c r="A105" s="1517" t="s">
        <v>89</v>
      </c>
      <c r="B105" s="615">
        <v>5110</v>
      </c>
      <c r="C105" s="617"/>
      <c r="D105" s="617"/>
      <c r="E105" s="617"/>
      <c r="F105" s="617"/>
      <c r="G105" s="617"/>
      <c r="H105" s="481"/>
      <c r="I105" s="468"/>
      <c r="J105" s="468"/>
      <c r="K105" s="1682">
        <f>H105</f>
        <v>0</v>
      </c>
      <c r="L105" s="481"/>
      <c r="M105" s="210"/>
      <c r="N105" s="210"/>
    </row>
    <row r="106" spans="1:14" s="598" customFormat="1" x14ac:dyDescent="0.2">
      <c r="A106" s="1517" t="s">
        <v>90</v>
      </c>
      <c r="B106" s="615">
        <v>5120</v>
      </c>
      <c r="C106" s="617"/>
      <c r="D106" s="617"/>
      <c r="E106" s="617"/>
      <c r="F106" s="617"/>
      <c r="G106" s="617"/>
      <c r="H106" s="466"/>
      <c r="I106" s="468"/>
      <c r="J106" s="468"/>
      <c r="K106" s="1682">
        <f>H106</f>
        <v>0</v>
      </c>
      <c r="L106" s="466"/>
      <c r="M106" s="210"/>
      <c r="N106" s="210"/>
    </row>
    <row r="107" spans="1:14" s="598" customFormat="1" ht="12.75" customHeight="1" x14ac:dyDescent="0.2">
      <c r="A107" s="1517" t="s">
        <v>1231</v>
      </c>
      <c r="B107" s="615">
        <v>5130</v>
      </c>
      <c r="C107" s="617"/>
      <c r="D107" s="617"/>
      <c r="E107" s="617"/>
      <c r="F107" s="617"/>
      <c r="G107" s="617"/>
      <c r="H107" s="466"/>
      <c r="I107" s="468"/>
      <c r="J107" s="468"/>
      <c r="K107" s="1682">
        <f>H107</f>
        <v>0</v>
      </c>
      <c r="L107" s="466"/>
      <c r="M107" s="210"/>
      <c r="N107" s="210"/>
    </row>
    <row r="108" spans="1:14" s="598" customFormat="1" x14ac:dyDescent="0.2">
      <c r="A108" s="1517" t="s">
        <v>91</v>
      </c>
      <c r="B108" s="615" t="s">
        <v>609</v>
      </c>
      <c r="C108" s="617"/>
      <c r="D108" s="617"/>
      <c r="E108" s="617"/>
      <c r="F108" s="617"/>
      <c r="G108" s="617"/>
      <c r="H108" s="466"/>
      <c r="I108" s="468"/>
      <c r="J108" s="468"/>
      <c r="K108" s="1682">
        <f>H108</f>
        <v>0</v>
      </c>
      <c r="L108" s="466"/>
      <c r="M108" s="210"/>
      <c r="N108" s="210"/>
    </row>
    <row r="109" spans="1:14" s="598" customFormat="1" x14ac:dyDescent="0.2">
      <c r="A109" s="1517" t="s">
        <v>272</v>
      </c>
      <c r="B109" s="629">
        <v>5150</v>
      </c>
      <c r="C109" s="617"/>
      <c r="D109" s="617"/>
      <c r="E109" s="617"/>
      <c r="F109" s="617"/>
      <c r="G109" s="617"/>
      <c r="H109" s="466"/>
      <c r="I109" s="468"/>
      <c r="J109" s="468"/>
      <c r="K109" s="1682">
        <f>H109</f>
        <v>0</v>
      </c>
      <c r="L109" s="466"/>
      <c r="M109" s="210"/>
      <c r="N109" s="210"/>
    </row>
    <row r="110" spans="1:14" s="598" customFormat="1" ht="12.75" customHeight="1" thickBot="1" x14ac:dyDescent="0.25">
      <c r="A110" s="1679" t="s">
        <v>1163</v>
      </c>
      <c r="B110" s="1686" t="s">
        <v>741</v>
      </c>
      <c r="C110" s="617"/>
      <c r="D110" s="617"/>
      <c r="E110" s="617"/>
      <c r="F110" s="617"/>
      <c r="G110" s="617"/>
      <c r="H110" s="1681">
        <f>SUM(H105:H109)</f>
        <v>0</v>
      </c>
      <c r="I110" s="468"/>
      <c r="J110" s="468"/>
      <c r="K110" s="1681">
        <f>SUM(K105:K109)</f>
        <v>0</v>
      </c>
      <c r="L110" s="1681">
        <f>SUM(L105:L109)</f>
        <v>0</v>
      </c>
      <c r="M110" s="210"/>
      <c r="N110" s="210"/>
    </row>
    <row r="111" spans="1:14" s="598" customFormat="1" ht="12.75" customHeight="1" thickTop="1" thickBot="1" x14ac:dyDescent="0.25">
      <c r="A111" s="1527" t="s">
        <v>385</v>
      </c>
      <c r="B111" s="648" t="s">
        <v>38</v>
      </c>
      <c r="C111" s="617"/>
      <c r="D111" s="617"/>
      <c r="E111" s="617"/>
      <c r="F111" s="617"/>
      <c r="G111" s="617"/>
      <c r="H111" s="535"/>
      <c r="I111" s="468"/>
      <c r="J111" s="468"/>
      <c r="K111" s="1694">
        <f>H111</f>
        <v>0</v>
      </c>
      <c r="L111" s="532"/>
      <c r="M111" s="210"/>
      <c r="N111" s="210"/>
    </row>
    <row r="112" spans="1:14" s="598" customFormat="1" ht="12.75" customHeight="1" thickTop="1" thickBot="1" x14ac:dyDescent="0.25">
      <c r="A112" s="1679" t="s">
        <v>658</v>
      </c>
      <c r="B112" s="1680" t="s">
        <v>512</v>
      </c>
      <c r="C112" s="617"/>
      <c r="D112" s="617"/>
      <c r="E112" s="617"/>
      <c r="F112" s="617"/>
      <c r="G112" s="617"/>
      <c r="H112" s="1681">
        <f>SUM(H110:H111)</f>
        <v>0</v>
      </c>
      <c r="I112" s="468"/>
      <c r="J112" s="468"/>
      <c r="K112" s="1681">
        <f>SUM(K110:K111)</f>
        <v>0</v>
      </c>
      <c r="L112" s="1688">
        <f>SUM(L110,L111)</f>
        <v>0</v>
      </c>
      <c r="M112" s="210"/>
      <c r="N112" s="210"/>
    </row>
    <row r="113" spans="1:14" s="259" customFormat="1" ht="15.75" customHeight="1" thickTop="1" thickBot="1" x14ac:dyDescent="0.25">
      <c r="A113" s="1619" t="s">
        <v>534</v>
      </c>
      <c r="B113" s="1626" t="s">
        <v>915</v>
      </c>
      <c r="C113" s="624"/>
      <c r="D113" s="624"/>
      <c r="E113" s="617"/>
      <c r="F113" s="617"/>
      <c r="G113" s="617"/>
      <c r="H113" s="624"/>
      <c r="I113" s="468"/>
      <c r="J113" s="468"/>
      <c r="K113" s="624"/>
      <c r="L113" s="531"/>
      <c r="M113" s="614"/>
      <c r="N113" s="614"/>
    </row>
    <row r="114" spans="1:14" ht="12.75" customHeight="1" thickTop="1" thickBot="1" x14ac:dyDescent="0.25">
      <c r="A114" s="1679" t="s">
        <v>50</v>
      </c>
      <c r="B114" s="1693"/>
      <c r="C114" s="1681">
        <f>SUM(C33,C74,C75,C102,C112,C113)</f>
        <v>12955922</v>
      </c>
      <c r="D114" s="1681">
        <f t="shared" ref="D114:K114" si="13">SUM(D33,D74,D75,D102,D112,D113)</f>
        <v>1338833</v>
      </c>
      <c r="E114" s="1681">
        <f t="shared" si="13"/>
        <v>544147</v>
      </c>
      <c r="F114" s="1681">
        <f t="shared" si="13"/>
        <v>942152</v>
      </c>
      <c r="G114" s="1681">
        <f t="shared" si="13"/>
        <v>23304</v>
      </c>
      <c r="H114" s="1681">
        <f>SUM(H33,H74,H75,H102,H112,H113)</f>
        <v>698871</v>
      </c>
      <c r="I114" s="1681">
        <f t="shared" si="13"/>
        <v>135756</v>
      </c>
      <c r="J114" s="1681">
        <f t="shared" si="13"/>
        <v>0</v>
      </c>
      <c r="K114" s="1681">
        <f t="shared" si="13"/>
        <v>16638985</v>
      </c>
      <c r="L114" s="1681">
        <f>SUM(L33,L74,L75,L102,L112,L113)</f>
        <v>16883570</v>
      </c>
    </row>
    <row r="115" spans="1:14" ht="13.5" thickTop="1" x14ac:dyDescent="0.2">
      <c r="A115" s="2206" t="s">
        <v>1052</v>
      </c>
      <c r="B115" s="2207"/>
      <c r="C115" s="619"/>
      <c r="D115" s="619"/>
      <c r="E115" s="619"/>
      <c r="F115" s="619"/>
      <c r="G115" s="619"/>
      <c r="H115" s="619"/>
      <c r="I115" s="619"/>
      <c r="J115" s="619"/>
      <c r="K115" s="1695">
        <f>'Revenues 9-14'!C275-'Expenditures 15-22'!K114</f>
        <v>657639</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7" customHeight="1" x14ac:dyDescent="0.2">
      <c r="A117" s="2184" t="s">
        <v>313</v>
      </c>
      <c r="B117" s="2185"/>
      <c r="C117" s="1639"/>
      <c r="D117" s="1640"/>
      <c r="E117" s="1640"/>
      <c r="F117" s="1640"/>
      <c r="G117" s="1640"/>
      <c r="H117" s="1640"/>
      <c r="I117" s="1640"/>
      <c r="J117" s="1640"/>
      <c r="K117" s="1640"/>
      <c r="L117" s="1641"/>
      <c r="M117" s="175"/>
      <c r="N117" s="175"/>
    </row>
    <row r="118" spans="1:14" ht="15.75" customHeight="1" x14ac:dyDescent="0.2">
      <c r="A118" s="1627" t="s">
        <v>1094</v>
      </c>
      <c r="B118" s="1628" t="s">
        <v>589</v>
      </c>
      <c r="C118" s="617"/>
      <c r="D118" s="617"/>
      <c r="E118" s="617"/>
      <c r="F118" s="617"/>
      <c r="G118" s="617"/>
      <c r="H118" s="617"/>
      <c r="I118" s="617"/>
      <c r="J118" s="617"/>
      <c r="K118" s="617"/>
      <c r="L118" s="617"/>
    </row>
    <row r="119" spans="1:14" ht="15.75" customHeight="1" x14ac:dyDescent="0.2">
      <c r="A119" s="653" t="s">
        <v>611</v>
      </c>
      <c r="B119" s="623"/>
      <c r="C119" s="624"/>
      <c r="D119" s="624"/>
      <c r="E119" s="624"/>
      <c r="F119" s="617"/>
      <c r="G119" s="617"/>
      <c r="H119" s="624"/>
      <c r="I119" s="617"/>
      <c r="J119" s="617"/>
      <c r="K119" s="624"/>
      <c r="L119" s="624"/>
    </row>
    <row r="120" spans="1:14" ht="12.75" customHeight="1" x14ac:dyDescent="0.2">
      <c r="A120" s="1521" t="s">
        <v>167</v>
      </c>
      <c r="B120" s="629">
        <v>2190</v>
      </c>
      <c r="C120" s="466"/>
      <c r="D120" s="466"/>
      <c r="E120" s="466"/>
      <c r="F120" s="466"/>
      <c r="G120" s="466"/>
      <c r="H120" s="466"/>
      <c r="I120" s="467"/>
      <c r="J120" s="467"/>
      <c r="K120" s="1682">
        <f>SUM(C120:J120)</f>
        <v>0</v>
      </c>
      <c r="L120" s="466"/>
    </row>
    <row r="121" spans="1:14" ht="15.75" customHeight="1" x14ac:dyDescent="0.2">
      <c r="A121" s="654" t="s">
        <v>632</v>
      </c>
      <c r="B121" s="623"/>
      <c r="C121" s="521"/>
      <c r="D121" s="521"/>
      <c r="E121" s="521"/>
      <c r="F121" s="521"/>
      <c r="G121" s="521"/>
      <c r="H121" s="521"/>
      <c r="I121" s="617"/>
      <c r="J121" s="617"/>
      <c r="K121" s="624"/>
      <c r="L121" s="521"/>
    </row>
    <row r="122" spans="1:14" ht="13.5" thickBot="1" x14ac:dyDescent="0.25">
      <c r="A122" s="1517" t="s">
        <v>1127</v>
      </c>
      <c r="B122" s="615">
        <v>2510</v>
      </c>
      <c r="C122" s="466"/>
      <c r="D122" s="466"/>
      <c r="E122" s="466"/>
      <c r="F122" s="466"/>
      <c r="G122" s="466"/>
      <c r="H122" s="466"/>
      <c r="I122" s="467"/>
      <c r="J122" s="467"/>
      <c r="K122" s="1681">
        <f>SUM(C122:J122)</f>
        <v>0</v>
      </c>
      <c r="L122" s="466"/>
    </row>
    <row r="123" spans="1:14" ht="14.25" thickTop="1" thickBot="1" x14ac:dyDescent="0.25">
      <c r="A123" s="1517" t="s">
        <v>4</v>
      </c>
      <c r="B123" s="615">
        <v>2530</v>
      </c>
      <c r="C123" s="466"/>
      <c r="D123" s="466"/>
      <c r="E123" s="466"/>
      <c r="F123" s="466"/>
      <c r="G123" s="466">
        <v>7272</v>
      </c>
      <c r="H123" s="466"/>
      <c r="I123" s="467"/>
      <c r="J123" s="467"/>
      <c r="K123" s="1681">
        <f>SUM(C123:J123)</f>
        <v>7272</v>
      </c>
      <c r="L123" s="466"/>
    </row>
    <row r="124" spans="1:14" ht="14.25" thickTop="1" thickBot="1" x14ac:dyDescent="0.25">
      <c r="A124" s="1517" t="s">
        <v>206</v>
      </c>
      <c r="B124" s="615">
        <v>2540</v>
      </c>
      <c r="C124" s="466">
        <v>906276</v>
      </c>
      <c r="D124" s="466">
        <v>125561</v>
      </c>
      <c r="E124" s="466">
        <v>161730</v>
      </c>
      <c r="F124" s="466">
        <v>646810</v>
      </c>
      <c r="G124" s="466">
        <v>20488</v>
      </c>
      <c r="H124" s="466">
        <v>9019</v>
      </c>
      <c r="I124" s="467"/>
      <c r="J124" s="467"/>
      <c r="K124" s="1681">
        <f>SUM(C124:J124)</f>
        <v>1869884</v>
      </c>
      <c r="L124" s="466">
        <v>1904460</v>
      </c>
    </row>
    <row r="125" spans="1:14" ht="14.25" thickTop="1" thickBot="1" x14ac:dyDescent="0.25">
      <c r="A125" s="1517" t="s">
        <v>1009</v>
      </c>
      <c r="B125" s="615">
        <v>2550</v>
      </c>
      <c r="C125" s="466"/>
      <c r="D125" s="466"/>
      <c r="E125" s="466"/>
      <c r="F125" s="466"/>
      <c r="G125" s="466"/>
      <c r="H125" s="466"/>
      <c r="I125" s="467"/>
      <c r="J125" s="467"/>
      <c r="K125" s="1681">
        <f>SUM(C125:J125)</f>
        <v>0</v>
      </c>
      <c r="L125" s="466"/>
    </row>
    <row r="126" spans="1:14" ht="14.25" thickTop="1" thickBot="1" x14ac:dyDescent="0.25">
      <c r="A126" s="1517" t="s">
        <v>102</v>
      </c>
      <c r="B126" s="615">
        <v>2560</v>
      </c>
      <c r="C126" s="655"/>
      <c r="D126" s="655"/>
      <c r="E126" s="655"/>
      <c r="F126" s="655"/>
      <c r="G126" s="466"/>
      <c r="H126" s="655"/>
      <c r="I126" s="474"/>
      <c r="J126" s="617"/>
      <c r="K126" s="1681">
        <f>SUM(C126:J126)</f>
        <v>0</v>
      </c>
      <c r="L126" s="466"/>
    </row>
    <row r="127" spans="1:14" ht="12.75" customHeight="1" thickTop="1" thickBot="1" x14ac:dyDescent="0.25">
      <c r="A127" s="1679" t="s">
        <v>742</v>
      </c>
      <c r="B127" s="1680" t="s">
        <v>35</v>
      </c>
      <c r="C127" s="1681">
        <f>SUM(C122:C126)</f>
        <v>906276</v>
      </c>
      <c r="D127" s="1681">
        <f t="shared" ref="D127:L127" si="14">SUM(D122:D126)</f>
        <v>125561</v>
      </c>
      <c r="E127" s="1681">
        <f t="shared" si="14"/>
        <v>161730</v>
      </c>
      <c r="F127" s="1681">
        <f t="shared" si="14"/>
        <v>646810</v>
      </c>
      <c r="G127" s="1681">
        <f t="shared" si="14"/>
        <v>27760</v>
      </c>
      <c r="H127" s="1681">
        <f t="shared" si="14"/>
        <v>9019</v>
      </c>
      <c r="I127" s="1681">
        <f t="shared" si="14"/>
        <v>0</v>
      </c>
      <c r="J127" s="1681">
        <f t="shared" si="14"/>
        <v>0</v>
      </c>
      <c r="K127" s="1681">
        <f t="shared" si="14"/>
        <v>1877156</v>
      </c>
      <c r="L127" s="1681">
        <f t="shared" si="14"/>
        <v>1904460</v>
      </c>
    </row>
    <row r="128" spans="1:14" ht="12.75" customHeight="1" thickTop="1" x14ac:dyDescent="0.2">
      <c r="A128" s="1524" t="s">
        <v>1036</v>
      </c>
      <c r="B128" s="656" t="s">
        <v>594</v>
      </c>
      <c r="C128" s="657"/>
      <c r="D128" s="657"/>
      <c r="E128" s="657"/>
      <c r="F128" s="657"/>
      <c r="G128" s="657"/>
      <c r="H128" s="657"/>
      <c r="I128" s="535"/>
      <c r="J128" s="535"/>
      <c r="K128" s="1696">
        <f>SUM(C128:J128)</f>
        <v>0</v>
      </c>
      <c r="L128" s="657"/>
    </row>
    <row r="129" spans="1:14" ht="12.75" customHeight="1" thickBot="1" x14ac:dyDescent="0.25">
      <c r="A129" s="1697" t="s">
        <v>864</v>
      </c>
      <c r="B129" s="1698" t="s">
        <v>589</v>
      </c>
      <c r="C129" s="1688">
        <f>SUM(C120,C127,C128)</f>
        <v>906276</v>
      </c>
      <c r="D129" s="1688">
        <f t="shared" ref="D129:L129" si="15">SUM(D120,D127,D128)</f>
        <v>125561</v>
      </c>
      <c r="E129" s="1688">
        <f t="shared" si="15"/>
        <v>161730</v>
      </c>
      <c r="F129" s="1688">
        <f t="shared" si="15"/>
        <v>646810</v>
      </c>
      <c r="G129" s="1688">
        <f t="shared" si="15"/>
        <v>27760</v>
      </c>
      <c r="H129" s="1688">
        <f t="shared" si="15"/>
        <v>9019</v>
      </c>
      <c r="I129" s="1688">
        <f t="shared" si="15"/>
        <v>0</v>
      </c>
      <c r="J129" s="1688">
        <f t="shared" si="15"/>
        <v>0</v>
      </c>
      <c r="K129" s="1688">
        <f t="shared" si="15"/>
        <v>1877156</v>
      </c>
      <c r="L129" s="1688">
        <f t="shared" si="15"/>
        <v>1904460</v>
      </c>
    </row>
    <row r="130" spans="1:14" ht="15.75" customHeight="1" thickTop="1" thickBot="1" x14ac:dyDescent="0.25">
      <c r="A130" s="1623" t="s">
        <v>1095</v>
      </c>
      <c r="B130" s="1624" t="s">
        <v>595</v>
      </c>
      <c r="C130" s="576"/>
      <c r="D130" s="576"/>
      <c r="E130" s="576"/>
      <c r="F130" s="576"/>
      <c r="G130" s="576"/>
      <c r="H130" s="576"/>
      <c r="I130" s="531"/>
      <c r="J130" s="531"/>
      <c r="K130" s="1681">
        <f>SUM(C130:J130)</f>
        <v>0</v>
      </c>
      <c r="L130" s="576"/>
    </row>
    <row r="131" spans="1:14" ht="15.75" customHeight="1" thickTop="1" x14ac:dyDescent="0.2">
      <c r="A131" s="1629" t="s">
        <v>636</v>
      </c>
      <c r="B131" s="1622" t="s">
        <v>914</v>
      </c>
      <c r="C131" s="468"/>
      <c r="D131" s="468"/>
      <c r="E131" s="566"/>
      <c r="F131" s="468"/>
      <c r="G131" s="468"/>
      <c r="H131" s="566"/>
      <c r="I131" s="468"/>
      <c r="J131" s="468"/>
      <c r="K131" s="566"/>
      <c r="L131" s="566"/>
    </row>
    <row r="132" spans="1:14" s="384" customFormat="1" ht="13.5" customHeight="1" x14ac:dyDescent="0.2">
      <c r="A132" s="658" t="s">
        <v>634</v>
      </c>
      <c r="B132" s="659"/>
      <c r="C132" s="468"/>
      <c r="D132" s="468"/>
      <c r="E132" s="521"/>
      <c r="F132" s="468"/>
      <c r="G132" s="468"/>
      <c r="H132" s="521"/>
      <c r="I132" s="468"/>
      <c r="J132" s="468"/>
      <c r="K132" s="521"/>
      <c r="L132" s="521"/>
      <c r="M132" s="206"/>
      <c r="N132" s="206"/>
    </row>
    <row r="133" spans="1:14" s="384" customFormat="1" ht="13.5" customHeight="1" x14ac:dyDescent="0.2">
      <c r="A133" s="1503" t="s">
        <v>516</v>
      </c>
      <c r="B133" s="1852" t="s">
        <v>1953</v>
      </c>
      <c r="C133" s="468"/>
      <c r="D133" s="468"/>
      <c r="E133" s="642"/>
      <c r="F133" s="468"/>
      <c r="G133" s="468"/>
      <c r="H133" s="642"/>
      <c r="I133" s="468"/>
      <c r="J133" s="468"/>
      <c r="K133" s="1833">
        <f>SUM(E133,H133)</f>
        <v>0</v>
      </c>
      <c r="L133" s="642"/>
      <c r="M133" s="206"/>
      <c r="N133" s="206"/>
    </row>
    <row r="134" spans="1:14" x14ac:dyDescent="0.2">
      <c r="A134" s="1517" t="s">
        <v>321</v>
      </c>
      <c r="B134" s="615">
        <v>4120</v>
      </c>
      <c r="C134" s="617"/>
      <c r="D134" s="617"/>
      <c r="E134" s="478"/>
      <c r="F134" s="617"/>
      <c r="G134" s="617"/>
      <c r="H134" s="481"/>
      <c r="I134" s="477"/>
      <c r="J134" s="617"/>
      <c r="K134" s="1683">
        <f>SUM(E134,H134)</f>
        <v>0</v>
      </c>
      <c r="L134" s="481"/>
    </row>
    <row r="135" spans="1:14" x14ac:dyDescent="0.2">
      <c r="A135" s="1517" t="s">
        <v>720</v>
      </c>
      <c r="B135" s="615">
        <v>4140</v>
      </c>
      <c r="C135" s="617"/>
      <c r="D135" s="617"/>
      <c r="E135" s="467"/>
      <c r="F135" s="617"/>
      <c r="G135" s="617"/>
      <c r="H135" s="466"/>
      <c r="I135" s="477"/>
      <c r="J135" s="617"/>
      <c r="K135" s="1683">
        <f>SUM(E135,H135)</f>
        <v>0</v>
      </c>
      <c r="L135" s="466"/>
    </row>
    <row r="136" spans="1:14" x14ac:dyDescent="0.2">
      <c r="A136" s="1521" t="s">
        <v>721</v>
      </c>
      <c r="B136" s="629">
        <v>4190</v>
      </c>
      <c r="C136" s="617"/>
      <c r="D136" s="617"/>
      <c r="E136" s="467"/>
      <c r="F136" s="617"/>
      <c r="G136" s="617"/>
      <c r="H136" s="466"/>
      <c r="I136" s="477"/>
      <c r="J136" s="617"/>
      <c r="K136" s="1683">
        <f>SUM(E136,H136)</f>
        <v>0</v>
      </c>
      <c r="L136" s="466"/>
    </row>
    <row r="137" spans="1:14" ht="12.75" customHeight="1" thickBot="1" x14ac:dyDescent="0.25">
      <c r="A137" s="1679" t="s">
        <v>500</v>
      </c>
      <c r="B137" s="1689">
        <v>4100</v>
      </c>
      <c r="C137" s="617"/>
      <c r="D137" s="617"/>
      <c r="E137" s="1681">
        <f>SUM(E133:E136)</f>
        <v>0</v>
      </c>
      <c r="F137" s="617"/>
      <c r="G137" s="617"/>
      <c r="H137" s="1681">
        <f>SUM(H133:H136)</f>
        <v>0</v>
      </c>
      <c r="I137" s="477"/>
      <c r="J137" s="617"/>
      <c r="K137" s="1681">
        <f>SUM(K133:K136)</f>
        <v>0</v>
      </c>
      <c r="L137" s="1681">
        <f>SUM(L133:L136)</f>
        <v>0</v>
      </c>
    </row>
    <row r="138" spans="1:14" ht="12.75" customHeight="1" thickTop="1" thickBot="1" x14ac:dyDescent="0.25">
      <c r="A138" s="1523" t="s">
        <v>98</v>
      </c>
      <c r="B138" s="644" t="s">
        <v>987</v>
      </c>
      <c r="C138" s="617"/>
      <c r="D138" s="617"/>
      <c r="E138" s="479"/>
      <c r="F138" s="617"/>
      <c r="G138" s="617"/>
      <c r="H138" s="576"/>
      <c r="I138" s="477"/>
      <c r="J138" s="617"/>
      <c r="K138" s="1683">
        <f>SUM(E138,H138)</f>
        <v>0</v>
      </c>
      <c r="L138" s="576"/>
    </row>
    <row r="139" spans="1:14" ht="12.75" customHeight="1" thickTop="1" thickBot="1" x14ac:dyDescent="0.25">
      <c r="A139" s="1679" t="s">
        <v>1566</v>
      </c>
      <c r="B139" s="1689">
        <v>4000</v>
      </c>
      <c r="C139" s="617"/>
      <c r="D139" s="617"/>
      <c r="E139" s="1681">
        <f>SUM(E137,E138)</f>
        <v>0</v>
      </c>
      <c r="F139" s="617"/>
      <c r="G139" s="617"/>
      <c r="H139" s="1690">
        <f>SUM(H137:H138)</f>
        <v>0</v>
      </c>
      <c r="I139" s="477"/>
      <c r="J139" s="617"/>
      <c r="K139" s="1683">
        <f>SUM(K137,K138)</f>
        <v>0</v>
      </c>
      <c r="L139" s="1690">
        <f>SUM(L137,L138)</f>
        <v>0</v>
      </c>
    </row>
    <row r="140" spans="1:14" ht="15.75" customHeight="1" thickTop="1" x14ac:dyDescent="0.2">
      <c r="A140" s="1625" t="s">
        <v>1096</v>
      </c>
      <c r="B140" s="1626" t="s">
        <v>512</v>
      </c>
      <c r="C140" s="617"/>
      <c r="D140" s="617"/>
      <c r="E140" s="639"/>
      <c r="F140" s="639"/>
      <c r="G140" s="639"/>
      <c r="H140" s="637"/>
      <c r="I140" s="477"/>
      <c r="J140" s="639"/>
      <c r="K140" s="637"/>
      <c r="L140" s="637"/>
    </row>
    <row r="141" spans="1:14" ht="15.75" customHeight="1" x14ac:dyDescent="0.2">
      <c r="A141" s="654" t="s">
        <v>635</v>
      </c>
      <c r="B141" s="623"/>
      <c r="C141" s="617"/>
      <c r="D141" s="617"/>
      <c r="E141" s="617"/>
      <c r="F141" s="617"/>
      <c r="G141" s="617"/>
      <c r="H141" s="624"/>
      <c r="I141" s="468"/>
      <c r="J141" s="617"/>
      <c r="K141" s="624"/>
      <c r="L141" s="624"/>
    </row>
    <row r="142" spans="1:14" x14ac:dyDescent="0.2">
      <c r="A142" s="1517" t="s">
        <v>89</v>
      </c>
      <c r="B142" s="615">
        <v>5110</v>
      </c>
      <c r="C142" s="617"/>
      <c r="D142" s="617"/>
      <c r="E142" s="617"/>
      <c r="F142" s="617"/>
      <c r="G142" s="617"/>
      <c r="H142" s="481"/>
      <c r="I142" s="468"/>
      <c r="J142" s="617"/>
      <c r="K142" s="1683">
        <f>SUM(H142)</f>
        <v>0</v>
      </c>
      <c r="L142" s="481"/>
    </row>
    <row r="143" spans="1:14" x14ac:dyDescent="0.2">
      <c r="A143" s="1517" t="s">
        <v>90</v>
      </c>
      <c r="B143" s="615">
        <v>5120</v>
      </c>
      <c r="C143" s="617"/>
      <c r="D143" s="617"/>
      <c r="E143" s="617"/>
      <c r="F143" s="617"/>
      <c r="G143" s="617"/>
      <c r="H143" s="466"/>
      <c r="I143" s="468"/>
      <c r="J143" s="617"/>
      <c r="K143" s="1683">
        <f>SUM(H143)</f>
        <v>0</v>
      </c>
      <c r="L143" s="466"/>
    </row>
    <row r="144" spans="1:14" ht="12.75" customHeight="1" x14ac:dyDescent="0.2">
      <c r="A144" s="1517" t="s">
        <v>1231</v>
      </c>
      <c r="B144" s="629" t="s">
        <v>637</v>
      </c>
      <c r="C144" s="617"/>
      <c r="D144" s="617"/>
      <c r="E144" s="617"/>
      <c r="F144" s="617"/>
      <c r="G144" s="617"/>
      <c r="H144" s="466"/>
      <c r="I144" s="468"/>
      <c r="J144" s="617"/>
      <c r="K144" s="1683">
        <f>SUM(H144)</f>
        <v>0</v>
      </c>
      <c r="L144" s="466"/>
    </row>
    <row r="145" spans="1:14" x14ac:dyDescent="0.2">
      <c r="A145" s="1517" t="s">
        <v>91</v>
      </c>
      <c r="B145" s="615" t="s">
        <v>609</v>
      </c>
      <c r="C145" s="617"/>
      <c r="D145" s="617"/>
      <c r="E145" s="617"/>
      <c r="F145" s="617"/>
      <c r="G145" s="617"/>
      <c r="H145" s="466"/>
      <c r="I145" s="468"/>
      <c r="J145" s="617"/>
      <c r="K145" s="1683">
        <f>SUM(H145)</f>
        <v>0</v>
      </c>
      <c r="L145" s="466"/>
    </row>
    <row r="146" spans="1:14" ht="12.75" customHeight="1" x14ac:dyDescent="0.2">
      <c r="A146" s="1517" t="s">
        <v>639</v>
      </c>
      <c r="B146" s="615" t="s">
        <v>638</v>
      </c>
      <c r="C146" s="617"/>
      <c r="D146" s="617"/>
      <c r="E146" s="617"/>
      <c r="F146" s="617"/>
      <c r="G146" s="617"/>
      <c r="H146" s="466"/>
      <c r="I146" s="468"/>
      <c r="J146" s="617"/>
      <c r="K146" s="1683">
        <f>SUM(H146)</f>
        <v>0</v>
      </c>
      <c r="L146" s="466"/>
    </row>
    <row r="147" spans="1:14" ht="12.75" customHeight="1" thickBot="1" x14ac:dyDescent="0.25">
      <c r="A147" s="1528" t="s">
        <v>646</v>
      </c>
      <c r="B147" s="660" t="s">
        <v>741</v>
      </c>
      <c r="C147" s="617"/>
      <c r="D147" s="617"/>
      <c r="E147" s="617"/>
      <c r="F147" s="617"/>
      <c r="G147" s="617"/>
      <c r="H147" s="1699">
        <f>SUM(H142:H146)</f>
        <v>0</v>
      </c>
      <c r="I147" s="468"/>
      <c r="J147" s="617"/>
      <c r="K147" s="1681">
        <f>SUM(K142:K146)</f>
        <v>0</v>
      </c>
      <c r="L147" s="1699">
        <f>SUM(L142:L146)</f>
        <v>0</v>
      </c>
    </row>
    <row r="148" spans="1:14" ht="15.75" customHeight="1" thickTop="1" x14ac:dyDescent="0.2">
      <c r="A148" s="661" t="s">
        <v>1164</v>
      </c>
      <c r="B148" s="662" t="s">
        <v>38</v>
      </c>
      <c r="C148" s="617"/>
      <c r="D148" s="617"/>
      <c r="E148" s="617"/>
      <c r="F148" s="617"/>
      <c r="G148" s="617"/>
      <c r="H148" s="479">
        <v>665</v>
      </c>
      <c r="I148" s="468"/>
      <c r="J148" s="617"/>
      <c r="K148" s="1683">
        <f>SUM(H148)</f>
        <v>665</v>
      </c>
      <c r="L148" s="492">
        <v>700</v>
      </c>
    </row>
    <row r="149" spans="1:14" ht="12.75" customHeight="1" thickBot="1" x14ac:dyDescent="0.25">
      <c r="A149" s="1520" t="s">
        <v>658</v>
      </c>
      <c r="B149" s="618" t="s">
        <v>512</v>
      </c>
      <c r="C149" s="617"/>
      <c r="D149" s="617"/>
      <c r="E149" s="617"/>
      <c r="F149" s="617"/>
      <c r="G149" s="617"/>
      <c r="H149" s="1681">
        <f>SUM(H147,H148)</f>
        <v>665</v>
      </c>
      <c r="I149" s="468"/>
      <c r="J149" s="617"/>
      <c r="K149" s="1681">
        <f>SUM(K147:K148)</f>
        <v>665</v>
      </c>
      <c r="L149" s="1681">
        <f>SUM(L142:L146,L148)</f>
        <v>700</v>
      </c>
    </row>
    <row r="150" spans="1:14" ht="15.75" customHeight="1" thickTop="1" thickBot="1" x14ac:dyDescent="0.25">
      <c r="A150" s="1619" t="s">
        <v>1097</v>
      </c>
      <c r="B150" s="1626" t="s">
        <v>915</v>
      </c>
      <c r="C150" s="617"/>
      <c r="D150" s="617"/>
      <c r="E150" s="617"/>
      <c r="F150" s="617"/>
      <c r="G150" s="617"/>
      <c r="H150" s="663"/>
      <c r="I150" s="521"/>
      <c r="J150" s="617"/>
      <c r="K150" s="624"/>
      <c r="L150" s="573"/>
    </row>
    <row r="151" spans="1:14" ht="12.75" customHeight="1" thickTop="1" thickBot="1" x14ac:dyDescent="0.25">
      <c r="A151" s="2196" t="s">
        <v>640</v>
      </c>
      <c r="B151" s="2178"/>
      <c r="C151" s="1681">
        <f>SUM(C129,C130,C139,C149,C150)</f>
        <v>906276</v>
      </c>
      <c r="D151" s="1681">
        <f t="shared" ref="D151:K151" si="16">SUM(D129,D130,D139,D149,D150)</f>
        <v>125561</v>
      </c>
      <c r="E151" s="1681">
        <f t="shared" si="16"/>
        <v>161730</v>
      </c>
      <c r="F151" s="1681">
        <f t="shared" si="16"/>
        <v>646810</v>
      </c>
      <c r="G151" s="1681">
        <f t="shared" si="16"/>
        <v>27760</v>
      </c>
      <c r="H151" s="1681">
        <f t="shared" si="16"/>
        <v>9684</v>
      </c>
      <c r="I151" s="1681">
        <f t="shared" si="16"/>
        <v>0</v>
      </c>
      <c r="J151" s="1681">
        <f t="shared" si="16"/>
        <v>0</v>
      </c>
      <c r="K151" s="1681">
        <f t="shared" si="16"/>
        <v>1877821</v>
      </c>
      <c r="L151" s="1681">
        <f>SUM(L129,L130,L139,L149,L150)</f>
        <v>1905160</v>
      </c>
    </row>
    <row r="152" spans="1:14" ht="12.75" customHeight="1" thickTop="1" x14ac:dyDescent="0.2">
      <c r="A152" s="2199" t="s">
        <v>1239</v>
      </c>
      <c r="B152" s="2200"/>
      <c r="C152" s="619"/>
      <c r="D152" s="619"/>
      <c r="E152" s="619"/>
      <c r="F152" s="619"/>
      <c r="G152" s="619"/>
      <c r="H152" s="619"/>
      <c r="I152" s="619"/>
      <c r="J152" s="617"/>
      <c r="K152" s="1695">
        <f>'Revenues 9-14'!D275-'Expenditures 15-22'!K151</f>
        <v>-214182</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7" customHeight="1" x14ac:dyDescent="0.2">
      <c r="A154" s="2184" t="s">
        <v>641</v>
      </c>
      <c r="B154" s="2186"/>
      <c r="C154" s="1639"/>
      <c r="D154" s="1640"/>
      <c r="E154" s="1640"/>
      <c r="F154" s="1640"/>
      <c r="G154" s="1640"/>
      <c r="H154" s="1640"/>
      <c r="I154" s="1640"/>
      <c r="J154" s="1640"/>
      <c r="K154" s="1640"/>
      <c r="L154" s="1641"/>
      <c r="M154" s="668"/>
      <c r="N154" s="668"/>
    </row>
    <row r="155" spans="1:14" s="621" customFormat="1" ht="15.75" customHeight="1" thickBot="1" x14ac:dyDescent="0.25">
      <c r="A155" s="1630" t="s">
        <v>83</v>
      </c>
      <c r="B155" s="1631" t="s">
        <v>914</v>
      </c>
      <c r="C155" s="617"/>
      <c r="D155" s="617"/>
      <c r="E155" s="617"/>
      <c r="F155" s="617"/>
      <c r="G155" s="617"/>
      <c r="H155" s="1853"/>
      <c r="I155" s="617"/>
      <c r="J155" s="617"/>
      <c r="K155" s="1837"/>
      <c r="L155" s="1853"/>
      <c r="M155" s="620"/>
      <c r="N155" s="620"/>
    </row>
    <row r="156" spans="1:14" s="621" customFormat="1" ht="15.75" customHeight="1" thickTop="1" x14ac:dyDescent="0.2">
      <c r="A156" s="1834" t="s">
        <v>1954</v>
      </c>
      <c r="B156" s="1835"/>
      <c r="C156" s="617"/>
      <c r="D156" s="617"/>
      <c r="E156" s="617"/>
      <c r="F156" s="617"/>
      <c r="G156" s="617"/>
      <c r="H156" s="1854"/>
      <c r="I156" s="617"/>
      <c r="J156" s="617"/>
      <c r="K156" s="1836"/>
      <c r="L156" s="1854"/>
      <c r="M156" s="620"/>
      <c r="N156" s="620"/>
    </row>
    <row r="157" spans="1:14" s="621" customFormat="1" ht="12" x14ac:dyDescent="0.2">
      <c r="A157" s="1838" t="s">
        <v>516</v>
      </c>
      <c r="B157" s="1839" t="s">
        <v>1953</v>
      </c>
      <c r="C157" s="617"/>
      <c r="D157" s="617"/>
      <c r="E157" s="617"/>
      <c r="F157" s="617"/>
      <c r="G157" s="617"/>
      <c r="H157" s="642"/>
      <c r="I157" s="617"/>
      <c r="J157" s="617"/>
      <c r="K157" s="1682">
        <f>H157</f>
        <v>0</v>
      </c>
      <c r="L157" s="467"/>
      <c r="M157" s="620"/>
      <c r="N157" s="620"/>
    </row>
    <row r="158" spans="1:14" s="621" customFormat="1" ht="12" x14ac:dyDescent="0.2">
      <c r="A158" s="1838" t="s">
        <v>321</v>
      </c>
      <c r="B158" s="1839" t="s">
        <v>1955</v>
      </c>
      <c r="C158" s="617"/>
      <c r="D158" s="617"/>
      <c r="E158" s="617"/>
      <c r="F158" s="617"/>
      <c r="G158" s="617"/>
      <c r="H158" s="467"/>
      <c r="I158" s="617"/>
      <c r="J158" s="617"/>
      <c r="K158" s="1682">
        <f>H158</f>
        <v>0</v>
      </c>
      <c r="L158" s="467"/>
      <c r="M158" s="620"/>
      <c r="N158" s="620"/>
    </row>
    <row r="159" spans="1:14" s="621" customFormat="1" ht="12" x14ac:dyDescent="0.2">
      <c r="A159" s="1838" t="s">
        <v>1956</v>
      </c>
      <c r="B159" s="1839" t="s">
        <v>578</v>
      </c>
      <c r="C159" s="617"/>
      <c r="D159" s="617"/>
      <c r="E159" s="617"/>
      <c r="F159" s="617"/>
      <c r="G159" s="617"/>
      <c r="H159" s="467"/>
      <c r="I159" s="617"/>
      <c r="J159" s="617"/>
      <c r="K159" s="1682">
        <f>H159</f>
        <v>0</v>
      </c>
      <c r="L159" s="467"/>
      <c r="M159" s="620"/>
      <c r="N159" s="620"/>
    </row>
    <row r="160" spans="1:14" s="621" customFormat="1" ht="15.75" customHeight="1" thickBot="1" x14ac:dyDescent="0.25">
      <c r="A160" s="1840" t="s">
        <v>1957</v>
      </c>
      <c r="B160" s="1841" t="s">
        <v>914</v>
      </c>
      <c r="C160" s="617"/>
      <c r="D160" s="617"/>
      <c r="E160" s="617"/>
      <c r="F160" s="617"/>
      <c r="G160" s="617"/>
      <c r="H160" s="1699">
        <f>SUM(H157:H159)</f>
        <v>0</v>
      </c>
      <c r="I160" s="617"/>
      <c r="J160" s="617"/>
      <c r="K160" s="1681">
        <f>SUM(K157:K159)</f>
        <v>0</v>
      </c>
      <c r="L160" s="1699">
        <f>SUM(L157:L159)</f>
        <v>0</v>
      </c>
      <c r="M160" s="620"/>
      <c r="N160" s="620"/>
    </row>
    <row r="161" spans="1:14" s="259" customFormat="1" ht="15.75" customHeight="1" thickTop="1" x14ac:dyDescent="0.2">
      <c r="A161" s="1625" t="s">
        <v>84</v>
      </c>
      <c r="B161" s="1626" t="s">
        <v>512</v>
      </c>
      <c r="C161" s="617"/>
      <c r="D161" s="617"/>
      <c r="E161" s="617"/>
      <c r="F161" s="617"/>
      <c r="G161" s="617"/>
      <c r="H161" s="617"/>
      <c r="I161" s="617"/>
      <c r="J161" s="617"/>
      <c r="K161" s="617"/>
      <c r="L161" s="617"/>
      <c r="M161" s="614"/>
      <c r="N161" s="614"/>
    </row>
    <row r="162" spans="1:14" s="259" customFormat="1" ht="15.75" customHeight="1" x14ac:dyDescent="0.2">
      <c r="A162" s="654" t="s">
        <v>635</v>
      </c>
      <c r="B162" s="623"/>
      <c r="C162" s="617"/>
      <c r="D162" s="617"/>
      <c r="E162" s="617"/>
      <c r="F162" s="617"/>
      <c r="G162" s="617"/>
      <c r="H162" s="617"/>
      <c r="I162" s="617"/>
      <c r="J162" s="617"/>
      <c r="K162" s="624"/>
      <c r="L162" s="624"/>
      <c r="M162" s="614"/>
      <c r="N162" s="614"/>
    </row>
    <row r="163" spans="1:14" x14ac:dyDescent="0.2">
      <c r="A163" s="1517" t="s">
        <v>89</v>
      </c>
      <c r="B163" s="615">
        <v>5110</v>
      </c>
      <c r="C163" s="617"/>
      <c r="D163" s="617"/>
      <c r="E163" s="617"/>
      <c r="F163" s="617"/>
      <c r="G163" s="617"/>
      <c r="H163" s="466"/>
      <c r="I163" s="617"/>
      <c r="J163" s="617"/>
      <c r="K163" s="1682">
        <f>SUM(C163:J163)</f>
        <v>0</v>
      </c>
      <c r="L163" s="466"/>
    </row>
    <row r="164" spans="1:14" x14ac:dyDescent="0.2">
      <c r="A164" s="1517" t="s">
        <v>90</v>
      </c>
      <c r="B164" s="615">
        <v>5120</v>
      </c>
      <c r="C164" s="617"/>
      <c r="D164" s="617"/>
      <c r="E164" s="617"/>
      <c r="F164" s="617"/>
      <c r="G164" s="617"/>
      <c r="H164" s="466"/>
      <c r="I164" s="617"/>
      <c r="J164" s="617"/>
      <c r="K164" s="1682">
        <f>SUM(C164:J164)</f>
        <v>0</v>
      </c>
      <c r="L164" s="466"/>
    </row>
    <row r="165" spans="1:14" ht="12.75" customHeight="1" x14ac:dyDescent="0.2">
      <c r="A165" s="1517" t="s">
        <v>1231</v>
      </c>
      <c r="B165" s="615" t="s">
        <v>637</v>
      </c>
      <c r="C165" s="617"/>
      <c r="D165" s="617"/>
      <c r="E165" s="617"/>
      <c r="F165" s="617"/>
      <c r="G165" s="617"/>
      <c r="H165" s="466"/>
      <c r="I165" s="617"/>
      <c r="J165" s="617"/>
      <c r="K165" s="1682">
        <f>SUM(C165:J165)</f>
        <v>0</v>
      </c>
      <c r="L165" s="466"/>
    </row>
    <row r="166" spans="1:14" x14ac:dyDescent="0.2">
      <c r="A166" s="1517" t="s">
        <v>91</v>
      </c>
      <c r="B166" s="629" t="s">
        <v>609</v>
      </c>
      <c r="C166" s="617"/>
      <c r="D166" s="617"/>
      <c r="E166" s="617"/>
      <c r="F166" s="617"/>
      <c r="G166" s="617"/>
      <c r="H166" s="466"/>
      <c r="I166" s="617"/>
      <c r="J166" s="617"/>
      <c r="K166" s="1682">
        <f>SUM(C166:J166)</f>
        <v>0</v>
      </c>
      <c r="L166" s="466"/>
    </row>
    <row r="167" spans="1:14" ht="12.75" customHeight="1" x14ac:dyDescent="0.2">
      <c r="A167" s="1517" t="s">
        <v>639</v>
      </c>
      <c r="B167" s="615" t="s">
        <v>638</v>
      </c>
      <c r="C167" s="617"/>
      <c r="D167" s="617"/>
      <c r="E167" s="617"/>
      <c r="F167" s="617"/>
      <c r="G167" s="617"/>
      <c r="H167" s="466"/>
      <c r="I167" s="617"/>
      <c r="J167" s="617"/>
      <c r="K167" s="1682">
        <f>SUM(C167:J167)</f>
        <v>0</v>
      </c>
      <c r="L167" s="466"/>
    </row>
    <row r="168" spans="1:14" ht="13.5" thickBot="1" x14ac:dyDescent="0.25">
      <c r="A168" s="1679" t="s">
        <v>293</v>
      </c>
      <c r="B168" s="1686" t="s">
        <v>741</v>
      </c>
      <c r="C168" s="617"/>
      <c r="D168" s="617"/>
      <c r="E168" s="617"/>
      <c r="F168" s="617"/>
      <c r="G168" s="617"/>
      <c r="H168" s="1681">
        <f>SUM(H163:H167)</f>
        <v>0</v>
      </c>
      <c r="I168" s="617"/>
      <c r="J168" s="617"/>
      <c r="K168" s="1681">
        <f>SUM(K163:K167)</f>
        <v>0</v>
      </c>
      <c r="L168" s="1681">
        <f>SUM(L163:L167)</f>
        <v>0</v>
      </c>
    </row>
    <row r="169" spans="1:14" ht="15.75" customHeight="1" thickTop="1" x14ac:dyDescent="0.2">
      <c r="A169" s="670" t="s">
        <v>85</v>
      </c>
      <c r="B169" s="671" t="s">
        <v>38</v>
      </c>
      <c r="C169" s="617"/>
      <c r="D169" s="617"/>
      <c r="E169" s="617"/>
      <c r="F169" s="617"/>
      <c r="G169" s="617"/>
      <c r="H169" s="657">
        <f>1448755-520</f>
        <v>1448235</v>
      </c>
      <c r="I169" s="617"/>
      <c r="J169" s="617"/>
      <c r="K169" s="1682">
        <f>SUM(C169:H169)</f>
        <v>1448235</v>
      </c>
      <c r="L169" s="657">
        <v>1448306</v>
      </c>
    </row>
    <row r="170" spans="1:14" ht="33.75" customHeight="1" x14ac:dyDescent="0.2">
      <c r="A170" s="670" t="s">
        <v>1768</v>
      </c>
      <c r="B170" s="672" t="s">
        <v>31</v>
      </c>
      <c r="C170" s="617"/>
      <c r="D170" s="617"/>
      <c r="E170" s="617"/>
      <c r="F170" s="617"/>
      <c r="G170" s="617"/>
      <c r="H170" s="569">
        <v>1659297</v>
      </c>
      <c r="I170" s="617"/>
      <c r="J170" s="617"/>
      <c r="K170" s="1682">
        <f>SUM(C170:J170)</f>
        <v>1659297</v>
      </c>
      <c r="L170" s="569">
        <v>1667998</v>
      </c>
    </row>
    <row r="171" spans="1:14" ht="15.75" customHeight="1" x14ac:dyDescent="0.2">
      <c r="A171" s="622" t="s">
        <v>789</v>
      </c>
      <c r="B171" s="673" t="s">
        <v>86</v>
      </c>
      <c r="C171" s="617"/>
      <c r="D171" s="617"/>
      <c r="E171" s="466">
        <f>270508+520</f>
        <v>271028</v>
      </c>
      <c r="F171" s="617"/>
      <c r="G171" s="617"/>
      <c r="H171" s="569"/>
      <c r="I171" s="477"/>
      <c r="J171" s="617"/>
      <c r="K171" s="1682">
        <f>SUM(C171:J171)</f>
        <v>271028</v>
      </c>
      <c r="L171" s="569"/>
    </row>
    <row r="172" spans="1:14" ht="12.75" customHeight="1" thickBot="1" x14ac:dyDescent="0.25">
      <c r="A172" s="1679" t="s">
        <v>658</v>
      </c>
      <c r="B172" s="1680" t="s">
        <v>512</v>
      </c>
      <c r="C172" s="617"/>
      <c r="D172" s="617"/>
      <c r="E172" s="1688">
        <f>SUM(E168,E169,E170,E171)</f>
        <v>271028</v>
      </c>
      <c r="F172" s="617"/>
      <c r="G172" s="617"/>
      <c r="H172" s="1688">
        <f>SUM(H168,H169,H170,H171)</f>
        <v>3107532</v>
      </c>
      <c r="I172" s="639"/>
      <c r="J172" s="617"/>
      <c r="K172" s="1688">
        <f>SUM(K168,K169,K170,K171)</f>
        <v>3378560</v>
      </c>
      <c r="L172" s="1688">
        <f>SUM(L168,L169,L170,L171)</f>
        <v>3116304</v>
      </c>
    </row>
    <row r="173" spans="1:14" ht="15.75" customHeight="1" thickTop="1" thickBot="1" x14ac:dyDescent="0.25">
      <c r="A173" s="1632" t="s">
        <v>87</v>
      </c>
      <c r="B173" s="1624" t="s">
        <v>915</v>
      </c>
      <c r="C173" s="617"/>
      <c r="D173" s="617"/>
      <c r="E173" s="624"/>
      <c r="F173" s="617"/>
      <c r="G173" s="617"/>
      <c r="H173" s="627"/>
      <c r="I173" s="639"/>
      <c r="J173" s="617"/>
      <c r="K173" s="624"/>
      <c r="L173" s="576"/>
    </row>
    <row r="174" spans="1:14" ht="12.75" customHeight="1" thickTop="1" thickBot="1" x14ac:dyDescent="0.25">
      <c r="A174" s="1700" t="s">
        <v>92</v>
      </c>
      <c r="B174" s="1701"/>
      <c r="C174" s="617"/>
      <c r="D174" s="617"/>
      <c r="E174" s="1688">
        <f>SUM(E155,E172,E173)</f>
        <v>271028</v>
      </c>
      <c r="F174" s="617"/>
      <c r="G174" s="617"/>
      <c r="H174" s="1688">
        <f>SUM(H160,H172,H173)</f>
        <v>3107532</v>
      </c>
      <c r="I174" s="639"/>
      <c r="J174" s="617"/>
      <c r="K174" s="1688">
        <f>SUM(K160,K172,K173)</f>
        <v>3378560</v>
      </c>
      <c r="L174" s="1688">
        <f>SUM(L160,L172,L173)</f>
        <v>3116304</v>
      </c>
    </row>
    <row r="175" spans="1:14" ht="13.5" thickTop="1" x14ac:dyDescent="0.2">
      <c r="A175" s="2206" t="s">
        <v>1052</v>
      </c>
      <c r="B175" s="2207"/>
      <c r="C175" s="617"/>
      <c r="D175" s="617"/>
      <c r="E175" s="617"/>
      <c r="F175" s="617"/>
      <c r="G175" s="617"/>
      <c r="H175" s="619"/>
      <c r="I175" s="617"/>
      <c r="J175" s="617"/>
      <c r="K175" s="1695">
        <f>'Revenues 9-14'!E275-'Expenditures 15-22'!K174</f>
        <v>-235472</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7" customHeight="1" x14ac:dyDescent="0.2">
      <c r="A177" s="1567" t="s">
        <v>993</v>
      </c>
      <c r="B177" s="1568"/>
      <c r="C177" s="1564"/>
      <c r="D177" s="1565"/>
      <c r="E177" s="1565"/>
      <c r="F177" s="1565"/>
      <c r="G177" s="1565"/>
      <c r="H177" s="1565"/>
      <c r="I177" s="1565"/>
      <c r="J177" s="1565"/>
      <c r="K177" s="1565"/>
      <c r="L177" s="1566"/>
      <c r="M177" s="610"/>
      <c r="N177" s="610"/>
    </row>
    <row r="178" spans="1:14" s="675" customFormat="1" ht="15.75" customHeight="1" x14ac:dyDescent="0.2">
      <c r="A178" s="1633" t="s">
        <v>994</v>
      </c>
      <c r="B178" s="1634"/>
      <c r="C178" s="617"/>
      <c r="D178" s="617"/>
      <c r="E178" s="617"/>
      <c r="F178" s="617"/>
      <c r="G178" s="617"/>
      <c r="H178" s="617"/>
      <c r="I178" s="617"/>
      <c r="J178" s="617"/>
      <c r="K178" s="617"/>
      <c r="L178" s="617"/>
      <c r="M178" s="666"/>
      <c r="N178" s="666"/>
    </row>
    <row r="179" spans="1:14" s="675" customFormat="1" ht="15.75" customHeight="1" x14ac:dyDescent="0.2">
      <c r="A179" s="676" t="s">
        <v>611</v>
      </c>
      <c r="B179" s="623"/>
      <c r="C179" s="624"/>
      <c r="D179" s="624"/>
      <c r="E179" s="624"/>
      <c r="F179" s="617"/>
      <c r="G179" s="617"/>
      <c r="H179" s="624"/>
      <c r="I179" s="617"/>
      <c r="J179" s="617"/>
      <c r="K179" s="624"/>
      <c r="L179" s="624"/>
      <c r="M179" s="666"/>
      <c r="N179" s="666"/>
    </row>
    <row r="180" spans="1:14" ht="12.75" customHeight="1" x14ac:dyDescent="0.2">
      <c r="A180" s="1517" t="s">
        <v>167</v>
      </c>
      <c r="B180" s="615">
        <v>2190</v>
      </c>
      <c r="C180" s="466"/>
      <c r="D180" s="466"/>
      <c r="E180" s="466"/>
      <c r="F180" s="466"/>
      <c r="G180" s="466"/>
      <c r="H180" s="466"/>
      <c r="I180" s="467"/>
      <c r="J180" s="467"/>
      <c r="K180" s="1682">
        <f>SUM(C180:J180)</f>
        <v>0</v>
      </c>
      <c r="L180" s="466"/>
    </row>
    <row r="181" spans="1:14" ht="15.75" customHeight="1" x14ac:dyDescent="0.2">
      <c r="A181" s="625" t="s">
        <v>632</v>
      </c>
      <c r="B181" s="677"/>
      <c r="C181" s="570"/>
      <c r="D181" s="570"/>
      <c r="E181" s="570"/>
      <c r="F181" s="570"/>
      <c r="G181" s="570"/>
      <c r="H181" s="570"/>
      <c r="I181" s="468"/>
      <c r="J181" s="468"/>
      <c r="K181" s="570"/>
      <c r="L181" s="570"/>
    </row>
    <row r="182" spans="1:14" ht="12.75" customHeight="1" x14ac:dyDescent="0.2">
      <c r="A182" s="1517" t="s">
        <v>1009</v>
      </c>
      <c r="B182" s="615">
        <v>2550</v>
      </c>
      <c r="C182" s="466">
        <v>1300274</v>
      </c>
      <c r="D182" s="466">
        <v>191723</v>
      </c>
      <c r="E182" s="466">
        <v>67858</v>
      </c>
      <c r="F182" s="466">
        <v>229859</v>
      </c>
      <c r="G182" s="466">
        <v>19135</v>
      </c>
      <c r="H182" s="466"/>
      <c r="I182" s="467"/>
      <c r="J182" s="467"/>
      <c r="K182" s="1682">
        <f>SUM(C182:J182)</f>
        <v>1808849</v>
      </c>
      <c r="L182" s="466">
        <v>1731456</v>
      </c>
    </row>
    <row r="183" spans="1:14" ht="12.75" customHeight="1" thickBot="1" x14ac:dyDescent="0.25">
      <c r="A183" s="1522" t="s">
        <v>1036</v>
      </c>
      <c r="B183" s="678">
        <v>2900</v>
      </c>
      <c r="C183" s="573"/>
      <c r="D183" s="573"/>
      <c r="E183" s="573"/>
      <c r="F183" s="573"/>
      <c r="G183" s="573"/>
      <c r="H183" s="573"/>
      <c r="I183" s="532"/>
      <c r="J183" s="532"/>
      <c r="K183" s="1688">
        <f>SUM(C183:J183)</f>
        <v>0</v>
      </c>
      <c r="L183" s="573"/>
    </row>
    <row r="184" spans="1:14" ht="12.75" customHeight="1" thickTop="1" thickBot="1" x14ac:dyDescent="0.25">
      <c r="A184" s="1702" t="s">
        <v>864</v>
      </c>
      <c r="B184" s="1680" t="s">
        <v>589</v>
      </c>
      <c r="C184" s="1688">
        <f>SUM(C180,C182,C183)</f>
        <v>1300274</v>
      </c>
      <c r="D184" s="1688">
        <f t="shared" ref="D184:J184" si="17">SUM(D180,D182,D183)</f>
        <v>191723</v>
      </c>
      <c r="E184" s="1688">
        <f t="shared" si="17"/>
        <v>67858</v>
      </c>
      <c r="F184" s="1688">
        <f t="shared" si="17"/>
        <v>229859</v>
      </c>
      <c r="G184" s="1688">
        <f t="shared" si="17"/>
        <v>19135</v>
      </c>
      <c r="H184" s="1688">
        <f t="shared" si="17"/>
        <v>0</v>
      </c>
      <c r="I184" s="1688">
        <f t="shared" si="17"/>
        <v>0</v>
      </c>
      <c r="J184" s="1688">
        <f t="shared" si="17"/>
        <v>0</v>
      </c>
      <c r="K184" s="1688">
        <f>SUM(K180,K182,K183)</f>
        <v>1808849</v>
      </c>
      <c r="L184" s="1688">
        <f>SUM(L180, L182:L183)</f>
        <v>1731456</v>
      </c>
    </row>
    <row r="185" spans="1:14" ht="15.75" customHeight="1" thickTop="1" thickBot="1" x14ac:dyDescent="0.25">
      <c r="A185" s="1635" t="s">
        <v>995</v>
      </c>
      <c r="B185" s="1624">
        <v>3000</v>
      </c>
      <c r="C185" s="576"/>
      <c r="D185" s="576"/>
      <c r="E185" s="576"/>
      <c r="F185" s="576"/>
      <c r="G185" s="576"/>
      <c r="H185" s="576"/>
      <c r="I185" s="531"/>
      <c r="J185" s="531"/>
      <c r="K185" s="1681">
        <f>SUM(C185:J185)</f>
        <v>0</v>
      </c>
      <c r="L185" s="576"/>
    </row>
    <row r="186" spans="1:14" s="675" customFormat="1" ht="15.75" customHeight="1" thickTop="1" x14ac:dyDescent="0.2">
      <c r="A186" s="1619" t="s">
        <v>93</v>
      </c>
      <c r="B186" s="1622" t="s">
        <v>914</v>
      </c>
      <c r="C186" s="617"/>
      <c r="D186" s="617"/>
      <c r="E186" s="617"/>
      <c r="F186" s="617"/>
      <c r="G186" s="617"/>
      <c r="H186" s="617"/>
      <c r="I186" s="617"/>
      <c r="J186" s="617"/>
      <c r="K186" s="617"/>
      <c r="L186" s="617"/>
      <c r="M186" s="666"/>
      <c r="N186" s="666"/>
    </row>
    <row r="187" spans="1:14" s="675" customFormat="1" ht="15.75" customHeight="1" x14ac:dyDescent="0.2">
      <c r="A187" s="622" t="s">
        <v>1192</v>
      </c>
      <c r="B187" s="623"/>
      <c r="C187" s="617"/>
      <c r="D187" s="617"/>
      <c r="E187" s="617"/>
      <c r="F187" s="617"/>
      <c r="G187" s="617"/>
      <c r="H187" s="617"/>
      <c r="I187" s="617"/>
      <c r="J187" s="617"/>
      <c r="K187" s="617"/>
      <c r="L187" s="617"/>
      <c r="M187" s="666"/>
      <c r="N187" s="666"/>
    </row>
    <row r="188" spans="1:14" x14ac:dyDescent="0.2">
      <c r="A188" s="1517" t="s">
        <v>516</v>
      </c>
      <c r="B188" s="615">
        <v>4110</v>
      </c>
      <c r="C188" s="617"/>
      <c r="D188" s="617"/>
      <c r="E188" s="466"/>
      <c r="F188" s="617"/>
      <c r="G188" s="617"/>
      <c r="H188" s="466"/>
      <c r="I188" s="477"/>
      <c r="J188" s="617"/>
      <c r="K188" s="1682">
        <f t="shared" ref="K188:K193" si="18">SUM(E188,H188)</f>
        <v>0</v>
      </c>
      <c r="L188" s="466"/>
    </row>
    <row r="189" spans="1:14" x14ac:dyDescent="0.2">
      <c r="A189" s="1517" t="s">
        <v>321</v>
      </c>
      <c r="B189" s="615">
        <v>4120</v>
      </c>
      <c r="C189" s="617"/>
      <c r="D189" s="617"/>
      <c r="E189" s="466"/>
      <c r="F189" s="617"/>
      <c r="G189" s="617"/>
      <c r="H189" s="466"/>
      <c r="I189" s="477"/>
      <c r="J189" s="617"/>
      <c r="K189" s="1682">
        <f t="shared" si="18"/>
        <v>0</v>
      </c>
      <c r="L189" s="466"/>
    </row>
    <row r="190" spans="1:14" x14ac:dyDescent="0.2">
      <c r="A190" s="1517" t="s">
        <v>322</v>
      </c>
      <c r="B190" s="629">
        <v>4130</v>
      </c>
      <c r="C190" s="617"/>
      <c r="D190" s="617"/>
      <c r="E190" s="466"/>
      <c r="F190" s="617"/>
      <c r="G190" s="617"/>
      <c r="H190" s="466"/>
      <c r="I190" s="477"/>
      <c r="J190" s="617"/>
      <c r="K190" s="1682">
        <f t="shared" si="18"/>
        <v>0</v>
      </c>
      <c r="L190" s="466"/>
    </row>
    <row r="191" spans="1:14" x14ac:dyDescent="0.2">
      <c r="A191" s="1517" t="s">
        <v>720</v>
      </c>
      <c r="B191" s="615">
        <v>4140</v>
      </c>
      <c r="C191" s="617"/>
      <c r="D191" s="617"/>
      <c r="E191" s="466"/>
      <c r="F191" s="617"/>
      <c r="G191" s="617"/>
      <c r="H191" s="466"/>
      <c r="I191" s="477"/>
      <c r="J191" s="617"/>
      <c r="K191" s="1682">
        <f t="shared" si="18"/>
        <v>0</v>
      </c>
      <c r="L191" s="466"/>
    </row>
    <row r="192" spans="1:14" x14ac:dyDescent="0.2">
      <c r="A192" s="1517" t="s">
        <v>88</v>
      </c>
      <c r="B192" s="615">
        <v>4170</v>
      </c>
      <c r="C192" s="617"/>
      <c r="D192" s="617"/>
      <c r="E192" s="466"/>
      <c r="F192" s="617"/>
      <c r="G192" s="617"/>
      <c r="H192" s="466"/>
      <c r="I192" s="477"/>
      <c r="J192" s="617"/>
      <c r="K192" s="1682">
        <f t="shared" si="18"/>
        <v>0</v>
      </c>
      <c r="L192" s="466"/>
    </row>
    <row r="193" spans="1:14" x14ac:dyDescent="0.2">
      <c r="A193" s="1521" t="s">
        <v>721</v>
      </c>
      <c r="B193" s="629">
        <v>4190</v>
      </c>
      <c r="C193" s="617"/>
      <c r="D193" s="617"/>
      <c r="E193" s="466"/>
      <c r="F193" s="617"/>
      <c r="G193" s="617"/>
      <c r="H193" s="466"/>
      <c r="I193" s="477"/>
      <c r="J193" s="617"/>
      <c r="K193" s="1682">
        <f t="shared" si="18"/>
        <v>0</v>
      </c>
      <c r="L193" s="466"/>
    </row>
    <row r="194" spans="1:14" ht="12.75" customHeight="1" thickBot="1" x14ac:dyDescent="0.25">
      <c r="A194" s="1679" t="s">
        <v>1201</v>
      </c>
      <c r="B194" s="1680" t="s">
        <v>579</v>
      </c>
      <c r="C194" s="617"/>
      <c r="D194" s="617"/>
      <c r="E194" s="1681">
        <f>SUM(E188:E193)</f>
        <v>0</v>
      </c>
      <c r="F194" s="617"/>
      <c r="G194" s="617"/>
      <c r="H194" s="1681">
        <f>SUM(H188:H193)</f>
        <v>0</v>
      </c>
      <c r="I194" s="477"/>
      <c r="J194" s="617"/>
      <c r="K194" s="1681">
        <f>SUM(K188:K193)</f>
        <v>0</v>
      </c>
      <c r="L194" s="1681">
        <f>SUM(L188:L193)</f>
        <v>0</v>
      </c>
    </row>
    <row r="195" spans="1:14" ht="15.75" customHeight="1" thickTop="1" x14ac:dyDescent="0.2">
      <c r="A195" s="670" t="s">
        <v>94</v>
      </c>
      <c r="B195" s="679" t="s">
        <v>987</v>
      </c>
      <c r="C195" s="617"/>
      <c r="D195" s="617"/>
      <c r="E195" s="657"/>
      <c r="F195" s="617"/>
      <c r="G195" s="617"/>
      <c r="H195" s="657"/>
      <c r="I195" s="477"/>
      <c r="J195" s="617"/>
      <c r="K195" s="1696">
        <f>SUM(E195,H195)</f>
        <v>0</v>
      </c>
      <c r="L195" s="657"/>
    </row>
    <row r="196" spans="1:14" ht="12.75" customHeight="1" thickBot="1" x14ac:dyDescent="0.25">
      <c r="A196" s="1679" t="s">
        <v>1566</v>
      </c>
      <c r="B196" s="1680" t="s">
        <v>914</v>
      </c>
      <c r="C196" s="617"/>
      <c r="D196" s="617"/>
      <c r="E196" s="1688">
        <f>SUM(E194,E195)</f>
        <v>0</v>
      </c>
      <c r="F196" s="617"/>
      <c r="G196" s="617"/>
      <c r="H196" s="1688">
        <f>SUM(H194,H195)</f>
        <v>0</v>
      </c>
      <c r="I196" s="477"/>
      <c r="J196" s="617"/>
      <c r="K196" s="1688">
        <f>SUM(K194,K195)</f>
        <v>0</v>
      </c>
      <c r="L196" s="1688">
        <f>SUM(L194,L195)</f>
        <v>0</v>
      </c>
    </row>
    <row r="197" spans="1:14" s="675" customFormat="1" ht="15.75" customHeight="1" thickTop="1" x14ac:dyDescent="0.2">
      <c r="A197" s="1625" t="s">
        <v>996</v>
      </c>
      <c r="B197" s="1622" t="s">
        <v>512</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517" t="s">
        <v>89</v>
      </c>
      <c r="B199" s="615">
        <v>5110</v>
      </c>
      <c r="C199" s="617"/>
      <c r="D199" s="617"/>
      <c r="E199" s="617"/>
      <c r="F199" s="617"/>
      <c r="G199" s="617"/>
      <c r="H199" s="466"/>
      <c r="I199" s="617"/>
      <c r="J199" s="617"/>
      <c r="K199" s="1682">
        <f>SUM(H199)</f>
        <v>0</v>
      </c>
      <c r="L199" s="466"/>
    </row>
    <row r="200" spans="1:14" x14ac:dyDescent="0.2">
      <c r="A200" s="1517" t="s">
        <v>90</v>
      </c>
      <c r="B200" s="615">
        <v>5120</v>
      </c>
      <c r="C200" s="617"/>
      <c r="D200" s="617"/>
      <c r="E200" s="617"/>
      <c r="F200" s="617"/>
      <c r="G200" s="617"/>
      <c r="H200" s="466"/>
      <c r="I200" s="617"/>
      <c r="J200" s="617"/>
      <c r="K200" s="1682">
        <f>SUM(H200)</f>
        <v>0</v>
      </c>
      <c r="L200" s="466"/>
    </row>
    <row r="201" spans="1:14" ht="12.75" customHeight="1" x14ac:dyDescent="0.2">
      <c r="A201" s="1517" t="s">
        <v>1231</v>
      </c>
      <c r="B201" s="629" t="s">
        <v>637</v>
      </c>
      <c r="C201" s="617"/>
      <c r="D201" s="617"/>
      <c r="E201" s="617"/>
      <c r="F201" s="617"/>
      <c r="G201" s="617"/>
      <c r="H201" s="466"/>
      <c r="I201" s="617"/>
      <c r="J201" s="617"/>
      <c r="K201" s="1682">
        <f>SUM(H201)</f>
        <v>0</v>
      </c>
      <c r="L201" s="466"/>
    </row>
    <row r="202" spans="1:14" x14ac:dyDescent="0.2">
      <c r="A202" s="1517" t="s">
        <v>91</v>
      </c>
      <c r="B202" s="615" t="s">
        <v>609</v>
      </c>
      <c r="C202" s="617"/>
      <c r="D202" s="617"/>
      <c r="E202" s="617"/>
      <c r="F202" s="617"/>
      <c r="G202" s="617"/>
      <c r="H202" s="466"/>
      <c r="I202" s="617"/>
      <c r="J202" s="617"/>
      <c r="K202" s="1682">
        <f>SUM(H202)</f>
        <v>0</v>
      </c>
      <c r="L202" s="466"/>
    </row>
    <row r="203" spans="1:14" x14ac:dyDescent="0.2">
      <c r="A203" s="1529" t="s">
        <v>639</v>
      </c>
      <c r="B203" s="615" t="s">
        <v>638</v>
      </c>
      <c r="C203" s="617"/>
      <c r="D203" s="617"/>
      <c r="E203" s="617"/>
      <c r="F203" s="617"/>
      <c r="G203" s="617"/>
      <c r="H203" s="471"/>
      <c r="I203" s="617"/>
      <c r="J203" s="617"/>
      <c r="K203" s="1682">
        <f>SUM(H203)</f>
        <v>0</v>
      </c>
      <c r="L203" s="471"/>
    </row>
    <row r="204" spans="1:14" ht="13.5" thickBot="1" x14ac:dyDescent="0.25">
      <c r="A204" s="1679" t="s">
        <v>293</v>
      </c>
      <c r="B204" s="1680" t="s">
        <v>741</v>
      </c>
      <c r="C204" s="617"/>
      <c r="D204" s="617"/>
      <c r="E204" s="617"/>
      <c r="F204" s="617"/>
      <c r="G204" s="617"/>
      <c r="H204" s="1681">
        <f>SUM(H199:H203)</f>
        <v>0</v>
      </c>
      <c r="I204" s="617"/>
      <c r="J204" s="617"/>
      <c r="K204" s="1681">
        <f>SUM(K199:K203)</f>
        <v>0</v>
      </c>
      <c r="L204" s="1681">
        <f>SUM(L199:L203)</f>
        <v>0</v>
      </c>
    </row>
    <row r="205" spans="1:14" ht="15.75" customHeight="1" thickTop="1" x14ac:dyDescent="0.2">
      <c r="A205" s="680" t="s">
        <v>85</v>
      </c>
      <c r="B205" s="681" t="s">
        <v>38</v>
      </c>
      <c r="C205" s="617"/>
      <c r="D205" s="617"/>
      <c r="E205" s="617"/>
      <c r="F205" s="617"/>
      <c r="G205" s="617"/>
      <c r="H205" s="535">
        <v>11113</v>
      </c>
      <c r="I205" s="617"/>
      <c r="J205" s="617"/>
      <c r="K205" s="1696">
        <f>SUM(H205)</f>
        <v>11113</v>
      </c>
      <c r="L205" s="535">
        <v>9402</v>
      </c>
    </row>
    <row r="206" spans="1:14" ht="30" customHeight="1" x14ac:dyDescent="0.2">
      <c r="A206" s="682" t="s">
        <v>1769</v>
      </c>
      <c r="B206" s="673" t="s">
        <v>31</v>
      </c>
      <c r="C206" s="617"/>
      <c r="D206" s="617"/>
      <c r="E206" s="617"/>
      <c r="F206" s="617"/>
      <c r="G206" s="617"/>
      <c r="H206" s="466">
        <v>183259</v>
      </c>
      <c r="I206" s="617"/>
      <c r="J206" s="617"/>
      <c r="K206" s="1682">
        <f>SUM(H206)</f>
        <v>183259</v>
      </c>
      <c r="L206" s="466">
        <v>153972</v>
      </c>
    </row>
    <row r="207" spans="1:14" ht="15.75" customHeight="1" x14ac:dyDescent="0.2">
      <c r="A207" s="622" t="s">
        <v>789</v>
      </c>
      <c r="B207" s="673" t="s">
        <v>86</v>
      </c>
      <c r="C207" s="617"/>
      <c r="D207" s="617"/>
      <c r="E207" s="617"/>
      <c r="F207" s="617"/>
      <c r="G207" s="617"/>
      <c r="H207" s="467"/>
      <c r="I207" s="617"/>
      <c r="J207" s="617"/>
      <c r="K207" s="1682">
        <f>H207</f>
        <v>0</v>
      </c>
      <c r="L207" s="466"/>
    </row>
    <row r="208" spans="1:14" ht="12.75" customHeight="1" thickBot="1" x14ac:dyDescent="0.25">
      <c r="A208" s="1697" t="s">
        <v>658</v>
      </c>
      <c r="B208" s="1698" t="s">
        <v>512</v>
      </c>
      <c r="C208" s="617"/>
      <c r="D208" s="617"/>
      <c r="E208" s="617"/>
      <c r="F208" s="617"/>
      <c r="G208" s="617"/>
      <c r="H208" s="1688">
        <f>SUM(H204,H205,H206,H207)</f>
        <v>194372</v>
      </c>
      <c r="I208" s="617"/>
      <c r="J208" s="617"/>
      <c r="K208" s="1688">
        <f>SUM(K204,K205,K206,K207)</f>
        <v>194372</v>
      </c>
      <c r="L208" s="1688">
        <f>SUM(L204,L205,L206,L207)</f>
        <v>163374</v>
      </c>
    </row>
    <row r="209" spans="1:14" ht="15.75" customHeight="1" thickTop="1" thickBot="1" x14ac:dyDescent="0.25">
      <c r="A209" s="1619" t="s">
        <v>926</v>
      </c>
      <c r="B209" s="1626" t="s">
        <v>915</v>
      </c>
      <c r="C209" s="624"/>
      <c r="D209" s="624"/>
      <c r="E209" s="624"/>
      <c r="F209" s="624"/>
      <c r="G209" s="624"/>
      <c r="H209" s="624"/>
      <c r="I209" s="617"/>
      <c r="J209" s="617"/>
      <c r="K209" s="624"/>
      <c r="L209" s="576"/>
    </row>
    <row r="210" spans="1:14" ht="12.75" customHeight="1" thickTop="1" thickBot="1" x14ac:dyDescent="0.25">
      <c r="A210" s="1703" t="s">
        <v>294</v>
      </c>
      <c r="B210" s="1704"/>
      <c r="C210" s="1681">
        <f>SUM(C184,C185)</f>
        <v>1300274</v>
      </c>
      <c r="D210" s="1681">
        <f>SUM(D184,D185)</f>
        <v>191723</v>
      </c>
      <c r="E210" s="1681">
        <f>SUM(E184,E185,E196)</f>
        <v>67858</v>
      </c>
      <c r="F210" s="1681">
        <f>SUM(F184,F185)</f>
        <v>229859</v>
      </c>
      <c r="G210" s="1681">
        <f>SUM(G184,G185)</f>
        <v>19135</v>
      </c>
      <c r="H210" s="1681">
        <f>SUM(H184,H185,H196,H208,H209)</f>
        <v>194372</v>
      </c>
      <c r="I210" s="1681">
        <f>SUM(I184,I185)</f>
        <v>0</v>
      </c>
      <c r="J210" s="1681">
        <f>SUM(J184,J185)</f>
        <v>0</v>
      </c>
      <c r="K210" s="1682">
        <f>SUM(K184,K185,K196,K208,K209)</f>
        <v>2003221</v>
      </c>
      <c r="L210" s="1681">
        <f>SUM(L184,L185,L196,L208,L209)</f>
        <v>1894830</v>
      </c>
    </row>
    <row r="211" spans="1:14" ht="13.5" thickTop="1" x14ac:dyDescent="0.2">
      <c r="A211" s="2206" t="s">
        <v>1052</v>
      </c>
      <c r="B211" s="2207"/>
      <c r="C211" s="619"/>
      <c r="D211" s="619"/>
      <c r="E211" s="619"/>
      <c r="F211" s="619"/>
      <c r="G211" s="619"/>
      <c r="H211" s="619"/>
      <c r="I211" s="617"/>
      <c r="J211" s="617"/>
      <c r="K211" s="1695">
        <f>'Revenues 9-14'!F275-'Expenditures 15-22'!K210</f>
        <v>433631</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7" customHeight="1" x14ac:dyDescent="0.2">
      <c r="A213" s="2201" t="s">
        <v>1021</v>
      </c>
      <c r="B213" s="2202"/>
      <c r="C213" s="1564"/>
      <c r="D213" s="1565"/>
      <c r="E213" s="1565"/>
      <c r="F213" s="1565"/>
      <c r="G213" s="1565"/>
      <c r="H213" s="1565"/>
      <c r="I213" s="1565"/>
      <c r="J213" s="1565"/>
      <c r="K213" s="1565"/>
      <c r="L213" s="1566"/>
      <c r="M213" s="610"/>
      <c r="N213" s="610"/>
    </row>
    <row r="214" spans="1:14" s="675" customFormat="1" ht="15.75" customHeight="1" x14ac:dyDescent="0.2">
      <c r="A214" s="1636" t="s">
        <v>927</v>
      </c>
      <c r="B214" s="1628" t="s">
        <v>590</v>
      </c>
      <c r="C214" s="617"/>
      <c r="D214" s="624"/>
      <c r="E214" s="617"/>
      <c r="F214" s="617"/>
      <c r="G214" s="617"/>
      <c r="H214" s="617"/>
      <c r="I214" s="617"/>
      <c r="J214" s="617"/>
      <c r="K214" s="624"/>
      <c r="L214" s="624"/>
      <c r="M214" s="666"/>
      <c r="N214" s="666"/>
    </row>
    <row r="215" spans="1:14" x14ac:dyDescent="0.2">
      <c r="A215" s="1517" t="s">
        <v>1017</v>
      </c>
      <c r="B215" s="615">
        <v>1100</v>
      </c>
      <c r="C215" s="617"/>
      <c r="D215" s="466">
        <f>45547+23807+56537</f>
        <v>125891</v>
      </c>
      <c r="E215" s="617"/>
      <c r="F215" s="617"/>
      <c r="G215" s="617"/>
      <c r="H215" s="617"/>
      <c r="I215" s="617"/>
      <c r="J215" s="617"/>
      <c r="K215" s="1682">
        <f>D215</f>
        <v>125891</v>
      </c>
      <c r="L215" s="466">
        <v>138050</v>
      </c>
    </row>
    <row r="216" spans="1:14" x14ac:dyDescent="0.2">
      <c r="A216" s="1517" t="s">
        <v>165</v>
      </c>
      <c r="B216" s="615" t="s">
        <v>1023</v>
      </c>
      <c r="C216" s="617"/>
      <c r="D216" s="467">
        <v>24840</v>
      </c>
      <c r="E216" s="617"/>
      <c r="F216" s="617"/>
      <c r="G216" s="617"/>
      <c r="H216" s="617"/>
      <c r="I216" s="617"/>
      <c r="J216" s="617"/>
      <c r="K216" s="1682">
        <f t="shared" ref="K216:K228" si="19">D216</f>
        <v>24840</v>
      </c>
      <c r="L216" s="466">
        <v>30700</v>
      </c>
    </row>
    <row r="217" spans="1:14" x14ac:dyDescent="0.2">
      <c r="A217" s="1517" t="s">
        <v>166</v>
      </c>
      <c r="B217" s="615">
        <v>1200</v>
      </c>
      <c r="C217" s="617"/>
      <c r="D217" s="466">
        <v>124442</v>
      </c>
      <c r="E217" s="617"/>
      <c r="F217" s="617"/>
      <c r="G217" s="617"/>
      <c r="H217" s="617"/>
      <c r="I217" s="617"/>
      <c r="J217" s="617"/>
      <c r="K217" s="1682">
        <f t="shared" si="19"/>
        <v>124442</v>
      </c>
      <c r="L217" s="466">
        <v>128081</v>
      </c>
    </row>
    <row r="218" spans="1:14" x14ac:dyDescent="0.2">
      <c r="A218" s="1517" t="s">
        <v>295</v>
      </c>
      <c r="B218" s="615" t="s">
        <v>1024</v>
      </c>
      <c r="C218" s="617"/>
      <c r="D218" s="467"/>
      <c r="E218" s="617"/>
      <c r="F218" s="617"/>
      <c r="G218" s="617"/>
      <c r="H218" s="617"/>
      <c r="I218" s="617"/>
      <c r="J218" s="617"/>
      <c r="K218" s="1682">
        <f t="shared" si="19"/>
        <v>0</v>
      </c>
      <c r="L218" s="466"/>
    </row>
    <row r="219" spans="1:14" x14ac:dyDescent="0.2">
      <c r="A219" s="1517" t="s">
        <v>296</v>
      </c>
      <c r="B219" s="615">
        <v>1250</v>
      </c>
      <c r="C219" s="617"/>
      <c r="D219" s="466">
        <v>38641</v>
      </c>
      <c r="E219" s="617"/>
      <c r="F219" s="617"/>
      <c r="G219" s="617"/>
      <c r="H219" s="617"/>
      <c r="I219" s="617"/>
      <c r="J219" s="617"/>
      <c r="K219" s="1682">
        <f t="shared" si="19"/>
        <v>38641</v>
      </c>
      <c r="L219" s="466">
        <v>33600</v>
      </c>
    </row>
    <row r="220" spans="1:14" x14ac:dyDescent="0.2">
      <c r="A220" s="1517" t="s">
        <v>297</v>
      </c>
      <c r="B220" s="615" t="s">
        <v>163</v>
      </c>
      <c r="C220" s="617"/>
      <c r="D220" s="467"/>
      <c r="E220" s="617"/>
      <c r="F220" s="617"/>
      <c r="G220" s="617"/>
      <c r="H220" s="617"/>
      <c r="I220" s="617"/>
      <c r="J220" s="617"/>
      <c r="K220" s="1682">
        <f t="shared" si="19"/>
        <v>0</v>
      </c>
      <c r="L220" s="466"/>
    </row>
    <row r="221" spans="1:14" x14ac:dyDescent="0.2">
      <c r="A221" s="1517" t="s">
        <v>1018</v>
      </c>
      <c r="B221" s="615">
        <v>1300</v>
      </c>
      <c r="C221" s="617"/>
      <c r="D221" s="466"/>
      <c r="E221" s="617"/>
      <c r="F221" s="617"/>
      <c r="G221" s="617"/>
      <c r="H221" s="617"/>
      <c r="I221" s="617"/>
      <c r="J221" s="617"/>
      <c r="K221" s="1682">
        <f t="shared" si="19"/>
        <v>0</v>
      </c>
      <c r="L221" s="466"/>
    </row>
    <row r="222" spans="1:14" x14ac:dyDescent="0.2">
      <c r="A222" s="1517" t="s">
        <v>746</v>
      </c>
      <c r="B222" s="615">
        <v>1400</v>
      </c>
      <c r="C222" s="617"/>
      <c r="D222" s="466">
        <v>6382</v>
      </c>
      <c r="E222" s="617"/>
      <c r="F222" s="617"/>
      <c r="G222" s="617"/>
      <c r="H222" s="617"/>
      <c r="I222" s="617"/>
      <c r="J222" s="617"/>
      <c r="K222" s="1682">
        <f t="shared" si="19"/>
        <v>6382</v>
      </c>
      <c r="L222" s="466">
        <v>6300</v>
      </c>
    </row>
    <row r="223" spans="1:14" x14ac:dyDescent="0.2">
      <c r="A223" s="1517" t="s">
        <v>1019</v>
      </c>
      <c r="B223" s="615">
        <v>1500</v>
      </c>
      <c r="C223" s="617"/>
      <c r="D223" s="466">
        <v>11408</v>
      </c>
      <c r="E223" s="617"/>
      <c r="F223" s="617"/>
      <c r="G223" s="617"/>
      <c r="H223" s="617"/>
      <c r="I223" s="617"/>
      <c r="J223" s="617"/>
      <c r="K223" s="1682">
        <f t="shared" si="19"/>
        <v>11408</v>
      </c>
      <c r="L223" s="466">
        <v>8700</v>
      </c>
    </row>
    <row r="224" spans="1:14" x14ac:dyDescent="0.2">
      <c r="A224" s="1517" t="s">
        <v>1020</v>
      </c>
      <c r="B224" s="615">
        <v>1600</v>
      </c>
      <c r="C224" s="617"/>
      <c r="D224" s="466">
        <v>94</v>
      </c>
      <c r="E224" s="617"/>
      <c r="F224" s="617"/>
      <c r="G224" s="617"/>
      <c r="H224" s="617"/>
      <c r="I224" s="617"/>
      <c r="J224" s="617"/>
      <c r="K224" s="1682">
        <f t="shared" si="19"/>
        <v>94</v>
      </c>
      <c r="L224" s="466">
        <v>200</v>
      </c>
    </row>
    <row r="225" spans="1:12" x14ac:dyDescent="0.2">
      <c r="A225" s="1517" t="s">
        <v>1043</v>
      </c>
      <c r="B225" s="615">
        <v>1650</v>
      </c>
      <c r="C225" s="617"/>
      <c r="D225" s="466"/>
      <c r="E225" s="617"/>
      <c r="F225" s="617"/>
      <c r="G225" s="617"/>
      <c r="H225" s="617"/>
      <c r="I225" s="617"/>
      <c r="J225" s="617"/>
      <c r="K225" s="1682">
        <f t="shared" si="19"/>
        <v>0</v>
      </c>
      <c r="L225" s="466"/>
    </row>
    <row r="226" spans="1:12" x14ac:dyDescent="0.2">
      <c r="A226" s="1517" t="s">
        <v>747</v>
      </c>
      <c r="B226" s="615" t="s">
        <v>164</v>
      </c>
      <c r="C226" s="617"/>
      <c r="D226" s="467">
        <v>498</v>
      </c>
      <c r="E226" s="617"/>
      <c r="F226" s="617"/>
      <c r="G226" s="617"/>
      <c r="H226" s="617"/>
      <c r="I226" s="617"/>
      <c r="J226" s="617"/>
      <c r="K226" s="1682">
        <f t="shared" si="19"/>
        <v>498</v>
      </c>
      <c r="L226" s="466">
        <v>500</v>
      </c>
    </row>
    <row r="227" spans="1:12" x14ac:dyDescent="0.2">
      <c r="A227" s="1517" t="s">
        <v>1147</v>
      </c>
      <c r="B227" s="615">
        <v>1800</v>
      </c>
      <c r="C227" s="617"/>
      <c r="D227" s="466"/>
      <c r="E227" s="617"/>
      <c r="F227" s="617"/>
      <c r="G227" s="617"/>
      <c r="H227" s="617"/>
      <c r="I227" s="617"/>
      <c r="J227" s="617"/>
      <c r="K227" s="1682">
        <f t="shared" si="19"/>
        <v>0</v>
      </c>
      <c r="L227" s="466"/>
    </row>
    <row r="228" spans="1:12" x14ac:dyDescent="0.2">
      <c r="A228" s="1517" t="s">
        <v>1148</v>
      </c>
      <c r="B228" s="615">
        <v>1900</v>
      </c>
      <c r="C228" s="617"/>
      <c r="D228" s="466"/>
      <c r="E228" s="617"/>
      <c r="F228" s="617"/>
      <c r="G228" s="617"/>
      <c r="H228" s="617"/>
      <c r="I228" s="617"/>
      <c r="J228" s="617"/>
      <c r="K228" s="1682">
        <f t="shared" si="19"/>
        <v>0</v>
      </c>
      <c r="L228" s="466"/>
    </row>
    <row r="229" spans="1:12" ht="12.75" customHeight="1" thickBot="1" x14ac:dyDescent="0.25">
      <c r="A229" s="1679" t="s">
        <v>738</v>
      </c>
      <c r="B229" s="1686" t="s">
        <v>590</v>
      </c>
      <c r="C229" s="617"/>
      <c r="D229" s="1681">
        <f>SUM(D215:D228)</f>
        <v>332196</v>
      </c>
      <c r="E229" s="617"/>
      <c r="F229" s="617"/>
      <c r="G229" s="617"/>
      <c r="H229" s="617"/>
      <c r="I229" s="617"/>
      <c r="J229" s="617"/>
      <c r="K229" s="1681">
        <f>SUM(K215:K228)</f>
        <v>332196</v>
      </c>
      <c r="L229" s="1681">
        <f>SUM(L215:L228)</f>
        <v>346131</v>
      </c>
    </row>
    <row r="230" spans="1:12" ht="15.75" customHeight="1" thickTop="1" x14ac:dyDescent="0.2">
      <c r="A230" s="1625" t="s">
        <v>928</v>
      </c>
      <c r="B230" s="1626" t="s">
        <v>589</v>
      </c>
      <c r="C230" s="617"/>
      <c r="D230" s="617"/>
      <c r="E230" s="617"/>
      <c r="F230" s="617"/>
      <c r="G230" s="617"/>
      <c r="H230" s="617"/>
      <c r="I230" s="617"/>
      <c r="J230" s="617"/>
      <c r="K230" s="617"/>
      <c r="L230" s="617"/>
    </row>
    <row r="231" spans="1:12" ht="15.75" customHeight="1" x14ac:dyDescent="0.2">
      <c r="A231" s="654" t="s">
        <v>611</v>
      </c>
      <c r="B231" s="623"/>
      <c r="C231" s="617"/>
      <c r="D231" s="617"/>
      <c r="E231" s="617"/>
      <c r="F231" s="617"/>
      <c r="G231" s="617"/>
      <c r="H231" s="617"/>
      <c r="I231" s="617"/>
      <c r="J231" s="617"/>
      <c r="K231" s="617"/>
      <c r="L231" s="617"/>
    </row>
    <row r="232" spans="1:12" x14ac:dyDescent="0.2">
      <c r="A232" s="1517" t="s">
        <v>1149</v>
      </c>
      <c r="B232" s="615">
        <v>2110</v>
      </c>
      <c r="C232" s="617"/>
      <c r="D232" s="466">
        <v>739</v>
      </c>
      <c r="E232" s="617"/>
      <c r="F232" s="617"/>
      <c r="G232" s="617"/>
      <c r="H232" s="617"/>
      <c r="I232" s="617"/>
      <c r="J232" s="617"/>
      <c r="K232" s="1682">
        <f t="shared" ref="K232:K237" si="20">D232</f>
        <v>739</v>
      </c>
      <c r="L232" s="466"/>
    </row>
    <row r="233" spans="1:12" x14ac:dyDescent="0.2">
      <c r="A233" s="1517" t="s">
        <v>1150</v>
      </c>
      <c r="B233" s="615">
        <v>2120</v>
      </c>
      <c r="C233" s="617"/>
      <c r="D233" s="466">
        <v>15889</v>
      </c>
      <c r="E233" s="617"/>
      <c r="F233" s="617"/>
      <c r="G233" s="617"/>
      <c r="H233" s="617"/>
      <c r="I233" s="617"/>
      <c r="J233" s="617"/>
      <c r="K233" s="1682">
        <f t="shared" si="20"/>
        <v>15889</v>
      </c>
      <c r="L233" s="466">
        <v>16900</v>
      </c>
    </row>
    <row r="234" spans="1:12" x14ac:dyDescent="0.2">
      <c r="A234" s="1517" t="s">
        <v>207</v>
      </c>
      <c r="B234" s="615">
        <v>2130</v>
      </c>
      <c r="C234" s="617"/>
      <c r="D234" s="466">
        <v>3091</v>
      </c>
      <c r="E234" s="617"/>
      <c r="F234" s="617"/>
      <c r="G234" s="617"/>
      <c r="H234" s="617"/>
      <c r="I234" s="617"/>
      <c r="J234" s="617"/>
      <c r="K234" s="1682">
        <f t="shared" si="20"/>
        <v>3091</v>
      </c>
      <c r="L234" s="466">
        <v>4300</v>
      </c>
    </row>
    <row r="235" spans="1:12" x14ac:dyDescent="0.2">
      <c r="A235" s="1517" t="s">
        <v>208</v>
      </c>
      <c r="B235" s="615">
        <v>2140</v>
      </c>
      <c r="C235" s="617"/>
      <c r="D235" s="466">
        <v>1760</v>
      </c>
      <c r="E235" s="617"/>
      <c r="F235" s="617"/>
      <c r="G235" s="617"/>
      <c r="H235" s="617"/>
      <c r="I235" s="617"/>
      <c r="J235" s="617"/>
      <c r="K235" s="1682">
        <f t="shared" si="20"/>
        <v>1760</v>
      </c>
      <c r="L235" s="466">
        <v>2100</v>
      </c>
    </row>
    <row r="236" spans="1:12" x14ac:dyDescent="0.2">
      <c r="A236" s="1517" t="s">
        <v>209</v>
      </c>
      <c r="B236" s="615">
        <v>2150</v>
      </c>
      <c r="C236" s="617"/>
      <c r="D236" s="466"/>
      <c r="E236" s="617"/>
      <c r="F236" s="617"/>
      <c r="G236" s="617"/>
      <c r="H236" s="617"/>
      <c r="I236" s="617"/>
      <c r="J236" s="617"/>
      <c r="K236" s="1682">
        <f t="shared" si="20"/>
        <v>0</v>
      </c>
      <c r="L236" s="466"/>
    </row>
    <row r="237" spans="1:12" x14ac:dyDescent="0.2">
      <c r="A237" s="1517" t="s">
        <v>167</v>
      </c>
      <c r="B237" s="615">
        <v>2190</v>
      </c>
      <c r="C237" s="617"/>
      <c r="D237" s="466">
        <v>8923</v>
      </c>
      <c r="E237" s="617"/>
      <c r="F237" s="617"/>
      <c r="G237" s="617"/>
      <c r="H237" s="617"/>
      <c r="I237" s="617"/>
      <c r="J237" s="617"/>
      <c r="K237" s="1682">
        <f t="shared" si="20"/>
        <v>8923</v>
      </c>
      <c r="L237" s="466"/>
    </row>
    <row r="238" spans="1:12" ht="12.75" customHeight="1" thickBot="1" x14ac:dyDescent="0.25">
      <c r="A238" s="1679" t="s">
        <v>580</v>
      </c>
      <c r="B238" s="1686" t="s">
        <v>739</v>
      </c>
      <c r="C238" s="617"/>
      <c r="D238" s="1681">
        <f>SUM(D232:D237)</f>
        <v>30402</v>
      </c>
      <c r="E238" s="617"/>
      <c r="F238" s="617"/>
      <c r="G238" s="617"/>
      <c r="H238" s="617"/>
      <c r="I238" s="617"/>
      <c r="J238" s="617"/>
      <c r="K238" s="1681">
        <f>SUM(K232:K237)</f>
        <v>30402</v>
      </c>
      <c r="L238" s="1681">
        <f>SUM(L232:L237)</f>
        <v>23300</v>
      </c>
    </row>
    <row r="239" spans="1:12" ht="15.75" customHeight="1" thickTop="1" x14ac:dyDescent="0.2">
      <c r="A239" s="625" t="s">
        <v>612</v>
      </c>
      <c r="B239" s="632"/>
      <c r="C239" s="617"/>
      <c r="D239" s="627"/>
      <c r="E239" s="617"/>
      <c r="F239" s="617"/>
      <c r="G239" s="617"/>
      <c r="H239" s="617"/>
      <c r="I239" s="617"/>
      <c r="J239" s="617"/>
      <c r="K239" s="627"/>
      <c r="L239" s="627"/>
    </row>
    <row r="240" spans="1:12" x14ac:dyDescent="0.2">
      <c r="A240" s="1517" t="s">
        <v>867</v>
      </c>
      <c r="B240" s="615">
        <v>2210</v>
      </c>
      <c r="C240" s="617"/>
      <c r="D240" s="481">
        <v>1369</v>
      </c>
      <c r="E240" s="617"/>
      <c r="F240" s="617"/>
      <c r="G240" s="617"/>
      <c r="H240" s="617"/>
      <c r="I240" s="617"/>
      <c r="J240" s="617"/>
      <c r="K240" s="1683">
        <f>D240</f>
        <v>1369</v>
      </c>
      <c r="L240" s="481">
        <v>2650</v>
      </c>
    </row>
    <row r="241" spans="1:12" x14ac:dyDescent="0.2">
      <c r="A241" s="1517" t="s">
        <v>868</v>
      </c>
      <c r="B241" s="615">
        <v>2220</v>
      </c>
      <c r="C241" s="617"/>
      <c r="D241" s="466">
        <v>15828</v>
      </c>
      <c r="E241" s="617"/>
      <c r="F241" s="617"/>
      <c r="G241" s="617"/>
      <c r="H241" s="617"/>
      <c r="I241" s="617"/>
      <c r="J241" s="617"/>
      <c r="K241" s="1683">
        <f>D241</f>
        <v>15828</v>
      </c>
      <c r="L241" s="466">
        <v>16050</v>
      </c>
    </row>
    <row r="242" spans="1:12" x14ac:dyDescent="0.2">
      <c r="A242" s="1517" t="s">
        <v>869</v>
      </c>
      <c r="B242" s="615">
        <v>2230</v>
      </c>
      <c r="C242" s="617"/>
      <c r="D242" s="466"/>
      <c r="E242" s="617"/>
      <c r="F242" s="617"/>
      <c r="G242" s="617"/>
      <c r="H242" s="617"/>
      <c r="I242" s="617"/>
      <c r="J242" s="617"/>
      <c r="K242" s="1683">
        <f>D242</f>
        <v>0</v>
      </c>
      <c r="L242" s="466"/>
    </row>
    <row r="243" spans="1:12" ht="12.75" customHeight="1" thickBot="1" x14ac:dyDescent="0.25">
      <c r="A243" s="1705" t="s">
        <v>581</v>
      </c>
      <c r="B243" s="1706">
        <v>2200</v>
      </c>
      <c r="C243" s="617"/>
      <c r="D243" s="1681">
        <f>SUM(D240:D242)</f>
        <v>17197</v>
      </c>
      <c r="E243" s="617"/>
      <c r="F243" s="617"/>
      <c r="G243" s="617"/>
      <c r="H243" s="617"/>
      <c r="I243" s="617"/>
      <c r="J243" s="617"/>
      <c r="K243" s="1681">
        <f>SUM(K240:K242)</f>
        <v>17197</v>
      </c>
      <c r="L243" s="1681">
        <f>SUM(L240:L242)</f>
        <v>18700</v>
      </c>
    </row>
    <row r="244" spans="1:12" ht="15.75" customHeight="1" thickTop="1" x14ac:dyDescent="0.2">
      <c r="A244" s="625" t="s">
        <v>630</v>
      </c>
      <c r="B244" s="683"/>
      <c r="C244" s="617"/>
      <c r="D244" s="627"/>
      <c r="E244" s="617"/>
      <c r="F244" s="617"/>
      <c r="G244" s="617"/>
      <c r="H244" s="617"/>
      <c r="I244" s="617"/>
      <c r="J244" s="617"/>
      <c r="K244" s="627"/>
      <c r="L244" s="627"/>
    </row>
    <row r="245" spans="1:12" x14ac:dyDescent="0.2">
      <c r="A245" s="1517" t="s">
        <v>870</v>
      </c>
      <c r="B245" s="615">
        <v>2310</v>
      </c>
      <c r="C245" s="617"/>
      <c r="D245" s="481">
        <v>391</v>
      </c>
      <c r="E245" s="617"/>
      <c r="F245" s="617"/>
      <c r="G245" s="617"/>
      <c r="H245" s="617"/>
      <c r="I245" s="617"/>
      <c r="J245" s="617"/>
      <c r="K245" s="1683">
        <f>D245</f>
        <v>391</v>
      </c>
      <c r="L245" s="481">
        <v>150</v>
      </c>
    </row>
    <row r="246" spans="1:12" x14ac:dyDescent="0.2">
      <c r="A246" s="1517" t="s">
        <v>871</v>
      </c>
      <c r="B246" s="615">
        <v>2320</v>
      </c>
      <c r="C246" s="617"/>
      <c r="D246" s="466">
        <v>10039</v>
      </c>
      <c r="E246" s="617"/>
      <c r="F246" s="617"/>
      <c r="G246" s="617"/>
      <c r="H246" s="617"/>
      <c r="I246" s="617"/>
      <c r="J246" s="617"/>
      <c r="K246" s="1683">
        <f t="shared" ref="K246:K256" si="21">D246</f>
        <v>10039</v>
      </c>
      <c r="L246" s="466">
        <v>10450</v>
      </c>
    </row>
    <row r="247" spans="1:12" x14ac:dyDescent="0.2">
      <c r="A247" s="1517" t="s">
        <v>872</v>
      </c>
      <c r="B247" s="615">
        <v>2330</v>
      </c>
      <c r="C247" s="617"/>
      <c r="D247" s="466">
        <v>3659</v>
      </c>
      <c r="E247" s="617"/>
      <c r="F247" s="617"/>
      <c r="G247" s="617"/>
      <c r="H247" s="617"/>
      <c r="I247" s="617"/>
      <c r="J247" s="617"/>
      <c r="K247" s="1683">
        <f t="shared" si="21"/>
        <v>3659</v>
      </c>
      <c r="L247" s="466"/>
    </row>
    <row r="248" spans="1:12" x14ac:dyDescent="0.2">
      <c r="A248" s="1518" t="s">
        <v>316</v>
      </c>
      <c r="B248" s="603" t="s">
        <v>298</v>
      </c>
      <c r="C248" s="617"/>
      <c r="D248" s="474"/>
      <c r="E248" s="617"/>
      <c r="F248" s="617"/>
      <c r="G248" s="617"/>
      <c r="H248" s="617"/>
      <c r="I248" s="617"/>
      <c r="J248" s="617"/>
      <c r="K248" s="1683">
        <f t="shared" si="21"/>
        <v>0</v>
      </c>
      <c r="L248" s="466"/>
    </row>
    <row r="249" spans="1:12" x14ac:dyDescent="0.2">
      <c r="A249" s="1519" t="s">
        <v>1904</v>
      </c>
      <c r="B249" s="684" t="s">
        <v>299</v>
      </c>
      <c r="C249" s="617"/>
      <c r="D249" s="474"/>
      <c r="E249" s="617"/>
      <c r="F249" s="617"/>
      <c r="G249" s="617"/>
      <c r="H249" s="617"/>
      <c r="I249" s="617"/>
      <c r="J249" s="617"/>
      <c r="K249" s="1683">
        <f t="shared" si="21"/>
        <v>0</v>
      </c>
      <c r="L249" s="466"/>
    </row>
    <row r="250" spans="1:12" x14ac:dyDescent="0.2">
      <c r="A250" s="1518" t="s">
        <v>1905</v>
      </c>
      <c r="B250" s="603" t="s">
        <v>300</v>
      </c>
      <c r="C250" s="617"/>
      <c r="D250" s="474"/>
      <c r="E250" s="617"/>
      <c r="F250" s="617"/>
      <c r="G250" s="617"/>
      <c r="H250" s="617"/>
      <c r="I250" s="617"/>
      <c r="J250" s="617"/>
      <c r="K250" s="1683">
        <f t="shared" si="21"/>
        <v>0</v>
      </c>
      <c r="L250" s="466"/>
    </row>
    <row r="251" spans="1:12" x14ac:dyDescent="0.2">
      <c r="A251" s="1518" t="s">
        <v>256</v>
      </c>
      <c r="B251" s="603" t="s">
        <v>301</v>
      </c>
      <c r="C251" s="617"/>
      <c r="D251" s="474"/>
      <c r="E251" s="617"/>
      <c r="F251" s="617"/>
      <c r="G251" s="617"/>
      <c r="H251" s="617"/>
      <c r="I251" s="617"/>
      <c r="J251" s="617"/>
      <c r="K251" s="1683">
        <f t="shared" si="21"/>
        <v>0</v>
      </c>
      <c r="L251" s="466"/>
    </row>
    <row r="252" spans="1:12" x14ac:dyDescent="0.2">
      <c r="A252" s="1518" t="s">
        <v>725</v>
      </c>
      <c r="B252" s="603" t="s">
        <v>302</v>
      </c>
      <c r="C252" s="617"/>
      <c r="D252" s="474"/>
      <c r="E252" s="617"/>
      <c r="F252" s="617"/>
      <c r="G252" s="617"/>
      <c r="H252" s="617"/>
      <c r="I252" s="617"/>
      <c r="J252" s="617"/>
      <c r="K252" s="1683">
        <f t="shared" si="21"/>
        <v>0</v>
      </c>
      <c r="L252" s="466"/>
    </row>
    <row r="253" spans="1:12" x14ac:dyDescent="0.2">
      <c r="A253" s="1518" t="s">
        <v>257</v>
      </c>
      <c r="B253" s="603" t="s">
        <v>303</v>
      </c>
      <c r="C253" s="617"/>
      <c r="D253" s="474"/>
      <c r="E253" s="617"/>
      <c r="F253" s="617"/>
      <c r="G253" s="617"/>
      <c r="H253" s="617"/>
      <c r="I253" s="617"/>
      <c r="J253" s="617"/>
      <c r="K253" s="1683">
        <f t="shared" si="21"/>
        <v>0</v>
      </c>
      <c r="L253" s="466"/>
    </row>
    <row r="254" spans="1:12" ht="22.5" x14ac:dyDescent="0.2">
      <c r="A254" s="1518" t="s">
        <v>1086</v>
      </c>
      <c r="B254" s="684" t="s">
        <v>304</v>
      </c>
      <c r="C254" s="617"/>
      <c r="D254" s="474">
        <v>67715</v>
      </c>
      <c r="E254" s="617"/>
      <c r="F254" s="617"/>
      <c r="G254" s="617"/>
      <c r="H254" s="617"/>
      <c r="I254" s="617"/>
      <c r="J254" s="617"/>
      <c r="K254" s="1683">
        <f t="shared" si="21"/>
        <v>67715</v>
      </c>
      <c r="L254" s="466">
        <v>83558</v>
      </c>
    </row>
    <row r="255" spans="1:12" x14ac:dyDescent="0.2">
      <c r="A255" s="1518" t="s">
        <v>1087</v>
      </c>
      <c r="B255" s="603" t="s">
        <v>305</v>
      </c>
      <c r="C255" s="617"/>
      <c r="D255" s="474"/>
      <c r="E255" s="617"/>
      <c r="F255" s="617"/>
      <c r="G255" s="617"/>
      <c r="H255" s="617"/>
      <c r="I255" s="617"/>
      <c r="J255" s="617"/>
      <c r="K255" s="1683">
        <f t="shared" si="21"/>
        <v>0</v>
      </c>
      <c r="L255" s="466"/>
    </row>
    <row r="256" spans="1:12" x14ac:dyDescent="0.2">
      <c r="A256" s="1518" t="s">
        <v>1027</v>
      </c>
      <c r="B256" s="615" t="s">
        <v>306</v>
      </c>
      <c r="C256" s="617"/>
      <c r="D256" s="474"/>
      <c r="E256" s="617"/>
      <c r="F256" s="617"/>
      <c r="G256" s="617"/>
      <c r="H256" s="617"/>
      <c r="I256" s="617"/>
      <c r="J256" s="617"/>
      <c r="K256" s="1683">
        <f t="shared" si="21"/>
        <v>0</v>
      </c>
      <c r="L256" s="466"/>
    </row>
    <row r="257" spans="1:14" ht="12.75" customHeight="1" thickBot="1" x14ac:dyDescent="0.25">
      <c r="A257" s="1679" t="s">
        <v>740</v>
      </c>
      <c r="B257" s="1707">
        <v>2300</v>
      </c>
      <c r="C257" s="617"/>
      <c r="D257" s="1681">
        <f>SUM(D245:D256)</f>
        <v>81804</v>
      </c>
      <c r="E257" s="617"/>
      <c r="F257" s="617"/>
      <c r="G257" s="617"/>
      <c r="H257" s="617"/>
      <c r="I257" s="617"/>
      <c r="J257" s="617"/>
      <c r="K257" s="1681">
        <f>SUM(K245:K256)</f>
        <v>81804</v>
      </c>
      <c r="L257" s="1681">
        <f>SUM(L245:L256)</f>
        <v>94158</v>
      </c>
    </row>
    <row r="258" spans="1:14" ht="15.75" customHeight="1" thickTop="1" x14ac:dyDescent="0.2">
      <c r="A258" s="625" t="s">
        <v>631</v>
      </c>
      <c r="B258" s="685"/>
      <c r="C258" s="617"/>
      <c r="D258" s="627"/>
      <c r="E258" s="617"/>
      <c r="F258" s="617"/>
      <c r="G258" s="617"/>
      <c r="H258" s="617"/>
      <c r="I258" s="617"/>
      <c r="J258" s="617"/>
      <c r="K258" s="627"/>
      <c r="L258" s="627"/>
    </row>
    <row r="259" spans="1:14" x14ac:dyDescent="0.2">
      <c r="A259" s="1517" t="s">
        <v>1126</v>
      </c>
      <c r="B259" s="686">
        <v>2410</v>
      </c>
      <c r="C259" s="617"/>
      <c r="D259" s="481">
        <v>37523</v>
      </c>
      <c r="E259" s="617"/>
      <c r="F259" s="617"/>
      <c r="G259" s="617"/>
      <c r="H259" s="617"/>
      <c r="I259" s="617"/>
      <c r="J259" s="617"/>
      <c r="K259" s="1683">
        <f>D259</f>
        <v>37523</v>
      </c>
      <c r="L259" s="481">
        <v>41200</v>
      </c>
    </row>
    <row r="260" spans="1:14" s="598" customFormat="1" x14ac:dyDescent="0.2">
      <c r="A260" s="1535" t="s">
        <v>1903</v>
      </c>
      <c r="B260" s="629">
        <v>2490</v>
      </c>
      <c r="C260" s="617"/>
      <c r="D260" s="466"/>
      <c r="E260" s="617"/>
      <c r="F260" s="617"/>
      <c r="G260" s="617"/>
      <c r="H260" s="617"/>
      <c r="I260" s="617"/>
      <c r="J260" s="617"/>
      <c r="K260" s="1683">
        <f>D260</f>
        <v>0</v>
      </c>
      <c r="L260" s="466"/>
      <c r="M260" s="210"/>
      <c r="N260" s="210"/>
    </row>
    <row r="261" spans="1:14" ht="12.75" customHeight="1" thickBot="1" x14ac:dyDescent="0.25">
      <c r="A261" s="1703" t="s">
        <v>281</v>
      </c>
      <c r="B261" s="1708" t="s">
        <v>34</v>
      </c>
      <c r="C261" s="617"/>
      <c r="D261" s="1681">
        <f>SUM(D259:D260)</f>
        <v>37523</v>
      </c>
      <c r="E261" s="617"/>
      <c r="F261" s="617"/>
      <c r="G261" s="617"/>
      <c r="H261" s="617"/>
      <c r="I261" s="617"/>
      <c r="J261" s="617"/>
      <c r="K261" s="1681">
        <f>SUM(K259:K260)</f>
        <v>37523</v>
      </c>
      <c r="L261" s="1681">
        <f>SUM(L259:L260)</f>
        <v>41200</v>
      </c>
    </row>
    <row r="262" spans="1:14" ht="15.75" customHeight="1" thickTop="1" x14ac:dyDescent="0.2">
      <c r="A262" s="625" t="s">
        <v>632</v>
      </c>
      <c r="B262" s="685"/>
      <c r="C262" s="617"/>
      <c r="D262" s="617"/>
      <c r="E262" s="617"/>
      <c r="F262" s="617"/>
      <c r="G262" s="617"/>
      <c r="H262" s="617"/>
      <c r="I262" s="617"/>
      <c r="J262" s="617"/>
      <c r="K262" s="627"/>
      <c r="L262" s="627"/>
    </row>
    <row r="263" spans="1:14" x14ac:dyDescent="0.2">
      <c r="A263" s="1517" t="s">
        <v>1127</v>
      </c>
      <c r="B263" s="686">
        <v>2510</v>
      </c>
      <c r="C263" s="617"/>
      <c r="D263" s="466"/>
      <c r="E263" s="617"/>
      <c r="F263" s="617"/>
      <c r="G263" s="617"/>
      <c r="H263" s="617"/>
      <c r="I263" s="617"/>
      <c r="J263" s="617"/>
      <c r="K263" s="1683">
        <f>D263</f>
        <v>0</v>
      </c>
      <c r="L263" s="481"/>
    </row>
    <row r="264" spans="1:14" x14ac:dyDescent="0.2">
      <c r="A264" s="1517" t="s">
        <v>482</v>
      </c>
      <c r="B264" s="686">
        <v>2520</v>
      </c>
      <c r="C264" s="617"/>
      <c r="D264" s="466">
        <v>21261</v>
      </c>
      <c r="E264" s="617"/>
      <c r="F264" s="617"/>
      <c r="G264" s="617"/>
      <c r="H264" s="617"/>
      <c r="I264" s="617"/>
      <c r="J264" s="617"/>
      <c r="K264" s="1683">
        <f t="shared" ref="K264:K269" si="22">D264</f>
        <v>21261</v>
      </c>
      <c r="L264" s="466">
        <v>19850</v>
      </c>
    </row>
    <row r="265" spans="1:14" x14ac:dyDescent="0.2">
      <c r="A265" s="1517" t="s">
        <v>4</v>
      </c>
      <c r="B265" s="615">
        <v>2530</v>
      </c>
      <c r="C265" s="617"/>
      <c r="D265" s="466"/>
      <c r="E265" s="617"/>
      <c r="F265" s="617"/>
      <c r="G265" s="617"/>
      <c r="H265" s="617"/>
      <c r="I265" s="617"/>
      <c r="J265" s="617"/>
      <c r="K265" s="1683">
        <f t="shared" si="22"/>
        <v>0</v>
      </c>
      <c r="L265" s="466"/>
    </row>
    <row r="266" spans="1:14" x14ac:dyDescent="0.2">
      <c r="A266" s="1517" t="s">
        <v>206</v>
      </c>
      <c r="B266" s="615">
        <v>2540</v>
      </c>
      <c r="C266" s="617"/>
      <c r="D266" s="466">
        <v>153733</v>
      </c>
      <c r="E266" s="617"/>
      <c r="F266" s="617"/>
      <c r="G266" s="617"/>
      <c r="H266" s="617"/>
      <c r="I266" s="617"/>
      <c r="J266" s="617"/>
      <c r="K266" s="1683">
        <f t="shared" si="22"/>
        <v>153733</v>
      </c>
      <c r="L266" s="466">
        <v>180300</v>
      </c>
    </row>
    <row r="267" spans="1:14" x14ac:dyDescent="0.2">
      <c r="A267" s="1517" t="s">
        <v>1009</v>
      </c>
      <c r="B267" s="615">
        <v>2550</v>
      </c>
      <c r="C267" s="617"/>
      <c r="D267" s="466">
        <v>218698</v>
      </c>
      <c r="E267" s="617"/>
      <c r="F267" s="617"/>
      <c r="G267" s="617"/>
      <c r="H267" s="617"/>
      <c r="I267" s="617"/>
      <c r="J267" s="617"/>
      <c r="K267" s="1683">
        <f t="shared" si="22"/>
        <v>218698</v>
      </c>
      <c r="L267" s="466">
        <v>281700</v>
      </c>
    </row>
    <row r="268" spans="1:14" x14ac:dyDescent="0.2">
      <c r="A268" s="1517" t="s">
        <v>102</v>
      </c>
      <c r="B268" s="615">
        <v>2560</v>
      </c>
      <c r="C268" s="617"/>
      <c r="D268" s="466">
        <v>71564</v>
      </c>
      <c r="E268" s="617"/>
      <c r="F268" s="617"/>
      <c r="G268" s="617"/>
      <c r="H268" s="617"/>
      <c r="I268" s="617"/>
      <c r="J268" s="617"/>
      <c r="K268" s="1683">
        <f t="shared" si="22"/>
        <v>71564</v>
      </c>
      <c r="L268" s="466">
        <v>82700</v>
      </c>
    </row>
    <row r="269" spans="1:14" x14ac:dyDescent="0.2">
      <c r="A269" s="1517" t="s">
        <v>103</v>
      </c>
      <c r="B269" s="615">
        <v>2570</v>
      </c>
      <c r="C269" s="617"/>
      <c r="D269" s="466"/>
      <c r="E269" s="617"/>
      <c r="F269" s="617"/>
      <c r="G269" s="617"/>
      <c r="H269" s="617"/>
      <c r="I269" s="617"/>
      <c r="J269" s="617"/>
      <c r="K269" s="1683">
        <f t="shared" si="22"/>
        <v>0</v>
      </c>
      <c r="L269" s="466"/>
    </row>
    <row r="270" spans="1:14" ht="12.75" customHeight="1" thickBot="1" x14ac:dyDescent="0.25">
      <c r="A270" s="1679" t="s">
        <v>742</v>
      </c>
      <c r="B270" s="1686" t="s">
        <v>35</v>
      </c>
      <c r="C270" s="617"/>
      <c r="D270" s="1681">
        <f>SUM(D263:D269)</f>
        <v>465256</v>
      </c>
      <c r="E270" s="617"/>
      <c r="F270" s="617"/>
      <c r="G270" s="617"/>
      <c r="H270" s="617"/>
      <c r="I270" s="617"/>
      <c r="J270" s="617"/>
      <c r="K270" s="1681">
        <f>SUM(K263:K269)</f>
        <v>465256</v>
      </c>
      <c r="L270" s="1681">
        <f>SUM(L263:L269)</f>
        <v>564550</v>
      </c>
    </row>
    <row r="271" spans="1:14" ht="15.75" customHeight="1" thickTop="1" x14ac:dyDescent="0.2">
      <c r="A271" s="670" t="s">
        <v>633</v>
      </c>
      <c r="B271" s="626"/>
      <c r="C271" s="617"/>
      <c r="D271" s="627"/>
      <c r="E271" s="617"/>
      <c r="F271" s="617"/>
      <c r="G271" s="617"/>
      <c r="H271" s="617"/>
      <c r="I271" s="617"/>
      <c r="J271" s="617"/>
      <c r="K271" s="627"/>
      <c r="L271" s="627"/>
    </row>
    <row r="272" spans="1:14" x14ac:dyDescent="0.2">
      <c r="A272" s="1517" t="s">
        <v>1119</v>
      </c>
      <c r="B272" s="615">
        <v>2610</v>
      </c>
      <c r="C272" s="617"/>
      <c r="D272" s="481"/>
      <c r="E272" s="617"/>
      <c r="F272" s="617"/>
      <c r="G272" s="617"/>
      <c r="H272" s="617"/>
      <c r="I272" s="617"/>
      <c r="J272" s="617"/>
      <c r="K272" s="1683">
        <f>D272</f>
        <v>0</v>
      </c>
      <c r="L272" s="481"/>
    </row>
    <row r="273" spans="1:12" x14ac:dyDescent="0.2">
      <c r="A273" s="1517" t="s">
        <v>627</v>
      </c>
      <c r="B273" s="629">
        <v>2620</v>
      </c>
      <c r="C273" s="617"/>
      <c r="D273" s="466"/>
      <c r="E273" s="617"/>
      <c r="F273" s="617"/>
      <c r="G273" s="617"/>
      <c r="H273" s="617"/>
      <c r="I273" s="617"/>
      <c r="J273" s="617"/>
      <c r="K273" s="1683">
        <f>D273</f>
        <v>0</v>
      </c>
      <c r="L273" s="466"/>
    </row>
    <row r="274" spans="1:12" ht="12" customHeight="1" x14ac:dyDescent="0.2">
      <c r="A274" s="1517" t="s">
        <v>1120</v>
      </c>
      <c r="B274" s="615">
        <v>2630</v>
      </c>
      <c r="C274" s="617"/>
      <c r="D274" s="466"/>
      <c r="E274" s="617"/>
      <c r="F274" s="617"/>
      <c r="G274" s="617"/>
      <c r="H274" s="617"/>
      <c r="I274" s="617"/>
      <c r="J274" s="617"/>
      <c r="K274" s="1683">
        <f>D274</f>
        <v>0</v>
      </c>
      <c r="L274" s="466"/>
    </row>
    <row r="275" spans="1:12" x14ac:dyDescent="0.2">
      <c r="A275" s="1517" t="s">
        <v>422</v>
      </c>
      <c r="B275" s="615">
        <v>2640</v>
      </c>
      <c r="C275" s="617"/>
      <c r="D275" s="466"/>
      <c r="E275" s="617"/>
      <c r="F275" s="617"/>
      <c r="G275" s="617"/>
      <c r="H275" s="617"/>
      <c r="I275" s="617"/>
      <c r="J275" s="617"/>
      <c r="K275" s="1683">
        <f>D275</f>
        <v>0</v>
      </c>
      <c r="L275" s="466"/>
    </row>
    <row r="276" spans="1:12" x14ac:dyDescent="0.2">
      <c r="A276" s="1517" t="s">
        <v>423</v>
      </c>
      <c r="B276" s="615">
        <v>2660</v>
      </c>
      <c r="C276" s="617"/>
      <c r="D276" s="466">
        <v>57489</v>
      </c>
      <c r="E276" s="617"/>
      <c r="F276" s="617"/>
      <c r="G276" s="617"/>
      <c r="H276" s="617"/>
      <c r="I276" s="617"/>
      <c r="J276" s="617"/>
      <c r="K276" s="1683">
        <f>D276</f>
        <v>57489</v>
      </c>
      <c r="L276" s="466">
        <v>54850</v>
      </c>
    </row>
    <row r="277" spans="1:12" ht="12.75" customHeight="1" thickBot="1" x14ac:dyDescent="0.25">
      <c r="A277" s="1702" t="s">
        <v>37</v>
      </c>
      <c r="B277" s="1680" t="s">
        <v>36</v>
      </c>
      <c r="C277" s="617"/>
      <c r="D277" s="1681">
        <f>SUM(D272:D276)</f>
        <v>57489</v>
      </c>
      <c r="E277" s="617"/>
      <c r="F277" s="617"/>
      <c r="G277" s="617"/>
      <c r="H277" s="617"/>
      <c r="I277" s="617"/>
      <c r="J277" s="617"/>
      <c r="K277" s="1681">
        <f>SUM(K272:K276)</f>
        <v>57489</v>
      </c>
      <c r="L277" s="1681">
        <f>SUM(L272:L276)</f>
        <v>54850</v>
      </c>
    </row>
    <row r="278" spans="1:12" ht="13.5" customHeight="1" thickTop="1" x14ac:dyDescent="0.2">
      <c r="A278" s="1523" t="s">
        <v>1036</v>
      </c>
      <c r="B278" s="656" t="s">
        <v>594</v>
      </c>
      <c r="C278" s="617"/>
      <c r="D278" s="657"/>
      <c r="E278" s="617"/>
      <c r="F278" s="617"/>
      <c r="G278" s="617"/>
      <c r="H278" s="617"/>
      <c r="I278" s="617"/>
      <c r="J278" s="617"/>
      <c r="K278" s="1696">
        <f>D278</f>
        <v>0</v>
      </c>
      <c r="L278" s="657"/>
    </row>
    <row r="279" spans="1:12" ht="12.75" customHeight="1" thickBot="1" x14ac:dyDescent="0.25">
      <c r="A279" s="1709" t="s">
        <v>864</v>
      </c>
      <c r="B279" s="1692">
        <v>2000</v>
      </c>
      <c r="C279" s="617"/>
      <c r="D279" s="1688">
        <f>SUM(D238,D243,D257,D261,D270,D277,D278)</f>
        <v>689671</v>
      </c>
      <c r="E279" s="617"/>
      <c r="F279" s="617"/>
      <c r="G279" s="617"/>
      <c r="H279" s="617"/>
      <c r="I279" s="617"/>
      <c r="J279" s="617"/>
      <c r="K279" s="1688">
        <f>SUM(K238,K243,K257,K261,K270,K277,K278)</f>
        <v>689671</v>
      </c>
      <c r="L279" s="1688">
        <f>SUM(L238,L243,L257,L261,L270,L277,L278)</f>
        <v>796758</v>
      </c>
    </row>
    <row r="280" spans="1:12" ht="15.75" customHeight="1" thickTop="1" thickBot="1" x14ac:dyDescent="0.25">
      <c r="A280" s="1637" t="s">
        <v>929</v>
      </c>
      <c r="B280" s="1626">
        <v>3000</v>
      </c>
      <c r="C280" s="617"/>
      <c r="D280" s="576">
        <v>14408</v>
      </c>
      <c r="E280" s="617"/>
      <c r="F280" s="617"/>
      <c r="G280" s="617"/>
      <c r="H280" s="617"/>
      <c r="I280" s="617"/>
      <c r="J280" s="617"/>
      <c r="K280" s="1690">
        <f>D280</f>
        <v>14408</v>
      </c>
      <c r="L280" s="576">
        <v>26200</v>
      </c>
    </row>
    <row r="281" spans="1:12" ht="15.75" customHeight="1" thickTop="1" x14ac:dyDescent="0.2">
      <c r="A281" s="1627" t="s">
        <v>144</v>
      </c>
      <c r="B281" s="1628" t="s">
        <v>914</v>
      </c>
      <c r="C281" s="617"/>
      <c r="D281" s="566"/>
      <c r="E281" s="617"/>
      <c r="F281" s="617"/>
      <c r="G281" s="617"/>
      <c r="H281" s="617"/>
      <c r="I281" s="617"/>
      <c r="J281" s="617"/>
      <c r="K281" s="617"/>
      <c r="L281" s="617"/>
    </row>
    <row r="282" spans="1:12" ht="15.75" customHeight="1" x14ac:dyDescent="0.2">
      <c r="A282" s="1842" t="s">
        <v>516</v>
      </c>
      <c r="B282" s="691" t="s">
        <v>1953</v>
      </c>
      <c r="C282" s="617"/>
      <c r="D282" s="467"/>
      <c r="E282" s="617"/>
      <c r="F282" s="617"/>
      <c r="G282" s="617"/>
      <c r="H282" s="617"/>
      <c r="I282" s="617"/>
      <c r="J282" s="617"/>
      <c r="K282" s="1682">
        <f>D282</f>
        <v>0</v>
      </c>
      <c r="L282" s="467"/>
    </row>
    <row r="283" spans="1:12" x14ac:dyDescent="0.2">
      <c r="A283" s="1517" t="s">
        <v>321</v>
      </c>
      <c r="B283" s="615">
        <v>4120</v>
      </c>
      <c r="C283" s="617"/>
      <c r="D283" s="466"/>
      <c r="E283" s="617"/>
      <c r="F283" s="617"/>
      <c r="G283" s="617"/>
      <c r="H283" s="617"/>
      <c r="I283" s="617"/>
      <c r="J283" s="617"/>
      <c r="K283" s="1682">
        <f>D283</f>
        <v>0</v>
      </c>
      <c r="L283" s="466"/>
    </row>
    <row r="284" spans="1:12" x14ac:dyDescent="0.2">
      <c r="A284" s="1517" t="s">
        <v>720</v>
      </c>
      <c r="B284" s="615">
        <v>4140</v>
      </c>
      <c r="C284" s="617"/>
      <c r="D284" s="467"/>
      <c r="E284" s="617"/>
      <c r="F284" s="617"/>
      <c r="G284" s="617"/>
      <c r="H284" s="617"/>
      <c r="I284" s="617"/>
      <c r="J284" s="617"/>
      <c r="K284" s="1682">
        <f>D284</f>
        <v>0</v>
      </c>
      <c r="L284" s="466"/>
    </row>
    <row r="285" spans="1:12" ht="12.75" customHeight="1" thickBot="1" x14ac:dyDescent="0.25">
      <c r="A285" s="1679" t="s">
        <v>1566</v>
      </c>
      <c r="B285" s="1680" t="s">
        <v>914</v>
      </c>
      <c r="C285" s="617"/>
      <c r="D285" s="1681">
        <f>SUM(D282:D284)</f>
        <v>0</v>
      </c>
      <c r="E285" s="617"/>
      <c r="F285" s="617"/>
      <c r="G285" s="617"/>
      <c r="H285" s="617"/>
      <c r="I285" s="617"/>
      <c r="J285" s="617"/>
      <c r="K285" s="1681">
        <f>SUM(K282:K284)</f>
        <v>0</v>
      </c>
      <c r="L285" s="1681">
        <f>SUM(L282:L284)</f>
        <v>0</v>
      </c>
    </row>
    <row r="286" spans="1:12" ht="15.75" customHeight="1" thickTop="1" x14ac:dyDescent="0.2">
      <c r="A286" s="1625" t="s">
        <v>930</v>
      </c>
      <c r="B286" s="1622" t="s">
        <v>512</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517" t="s">
        <v>89</v>
      </c>
      <c r="B288" s="615">
        <v>5110</v>
      </c>
      <c r="C288" s="617"/>
      <c r="D288" s="617"/>
      <c r="E288" s="617"/>
      <c r="F288" s="617"/>
      <c r="G288" s="617"/>
      <c r="H288" s="466"/>
      <c r="I288" s="617"/>
      <c r="J288" s="617"/>
      <c r="K288" s="1682">
        <f>H288</f>
        <v>0</v>
      </c>
      <c r="L288" s="466"/>
    </row>
    <row r="289" spans="1:14" x14ac:dyDescent="0.2">
      <c r="A289" s="1517" t="s">
        <v>90</v>
      </c>
      <c r="B289" s="615">
        <v>5120</v>
      </c>
      <c r="C289" s="617"/>
      <c r="D289" s="617"/>
      <c r="E289" s="617"/>
      <c r="F289" s="617"/>
      <c r="G289" s="617"/>
      <c r="H289" s="466"/>
      <c r="I289" s="617"/>
      <c r="J289" s="617"/>
      <c r="K289" s="1682">
        <f>H289</f>
        <v>0</v>
      </c>
      <c r="L289" s="466"/>
    </row>
    <row r="290" spans="1:14" ht="12.75" customHeight="1" x14ac:dyDescent="0.2">
      <c r="A290" s="1517" t="s">
        <v>1231</v>
      </c>
      <c r="B290" s="629" t="s">
        <v>637</v>
      </c>
      <c r="C290" s="617"/>
      <c r="D290" s="617"/>
      <c r="E290" s="617"/>
      <c r="F290" s="617"/>
      <c r="G290" s="617"/>
      <c r="H290" s="466"/>
      <c r="I290" s="617"/>
      <c r="J290" s="617"/>
      <c r="K290" s="1682">
        <f>H290</f>
        <v>0</v>
      </c>
      <c r="L290" s="466"/>
    </row>
    <row r="291" spans="1:14" x14ac:dyDescent="0.2">
      <c r="A291" s="1517" t="s">
        <v>91</v>
      </c>
      <c r="B291" s="615" t="s">
        <v>609</v>
      </c>
      <c r="C291" s="617"/>
      <c r="D291" s="617"/>
      <c r="E291" s="617"/>
      <c r="F291" s="617"/>
      <c r="G291" s="617"/>
      <c r="H291" s="466"/>
      <c r="I291" s="617"/>
      <c r="J291" s="617"/>
      <c r="K291" s="1682">
        <f>H291</f>
        <v>0</v>
      </c>
      <c r="L291" s="466"/>
    </row>
    <row r="292" spans="1:14" x14ac:dyDescent="0.2">
      <c r="A292" s="1517" t="s">
        <v>785</v>
      </c>
      <c r="B292" s="615" t="s">
        <v>638</v>
      </c>
      <c r="C292" s="617"/>
      <c r="D292" s="617"/>
      <c r="E292" s="617"/>
      <c r="F292" s="617"/>
      <c r="G292" s="617"/>
      <c r="H292" s="466"/>
      <c r="I292" s="617"/>
      <c r="J292" s="617"/>
      <c r="K292" s="1682">
        <f>H292</f>
        <v>0</v>
      </c>
      <c r="L292" s="466"/>
    </row>
    <row r="293" spans="1:14" ht="12.75" customHeight="1" thickBot="1" x14ac:dyDescent="0.25">
      <c r="A293" s="1679" t="s">
        <v>504</v>
      </c>
      <c r="B293" s="1680" t="s">
        <v>512</v>
      </c>
      <c r="C293" s="617"/>
      <c r="D293" s="617"/>
      <c r="E293" s="617"/>
      <c r="F293" s="617"/>
      <c r="G293" s="617"/>
      <c r="H293" s="1681">
        <f>SUM(H288:H292)</f>
        <v>0</v>
      </c>
      <c r="I293" s="617"/>
      <c r="J293" s="617"/>
      <c r="K293" s="1681">
        <f>SUM(K288:K292)</f>
        <v>0</v>
      </c>
      <c r="L293" s="1681">
        <f>SUM(L288:L292)</f>
        <v>0</v>
      </c>
    </row>
    <row r="294" spans="1:14" ht="15.75" customHeight="1" thickTop="1" thickBot="1" x14ac:dyDescent="0.25">
      <c r="A294" s="1638" t="s">
        <v>931</v>
      </c>
      <c r="B294" s="1626" t="s">
        <v>915</v>
      </c>
      <c r="C294" s="617"/>
      <c r="D294" s="624"/>
      <c r="E294" s="617"/>
      <c r="F294" s="617"/>
      <c r="G294" s="617"/>
      <c r="H294" s="687"/>
      <c r="I294" s="617"/>
      <c r="J294" s="617"/>
      <c r="K294" s="687"/>
      <c r="L294" s="578"/>
    </row>
    <row r="295" spans="1:14" ht="12.75" customHeight="1" thickTop="1" thickBot="1" x14ac:dyDescent="0.25">
      <c r="A295" s="2197" t="s">
        <v>525</v>
      </c>
      <c r="B295" s="2198"/>
      <c r="C295" s="617"/>
      <c r="D295" s="1681">
        <f>SUM(D229,D279,D280,D285)</f>
        <v>1036275</v>
      </c>
      <c r="E295" s="617"/>
      <c r="F295" s="617"/>
      <c r="G295" s="617"/>
      <c r="H295" s="1681">
        <f>H293</f>
        <v>0</v>
      </c>
      <c r="I295" s="617"/>
      <c r="J295" s="617"/>
      <c r="K295" s="1681">
        <f>SUM(K229,K279,K280,K285,K293,K294)</f>
        <v>1036275</v>
      </c>
      <c r="L295" s="1681">
        <f>SUM(L229,L279,L280,L285,L293,L294)</f>
        <v>1169089</v>
      </c>
    </row>
    <row r="296" spans="1:14" ht="13.5" thickTop="1" x14ac:dyDescent="0.2">
      <c r="A296" s="2206" t="s">
        <v>1052</v>
      </c>
      <c r="B296" s="2207"/>
      <c r="C296" s="617"/>
      <c r="D296" s="619"/>
      <c r="E296" s="617"/>
      <c r="F296" s="617"/>
      <c r="G296" s="617"/>
      <c r="H296" s="688"/>
      <c r="I296" s="617"/>
      <c r="J296" s="617"/>
      <c r="K296" s="1695">
        <f>'Revenues 9-14'!G275-'Expenditures 15-22'!K295</f>
        <v>218462</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7" customHeight="1" x14ac:dyDescent="0.2">
      <c r="A298" s="2189" t="s">
        <v>145</v>
      </c>
      <c r="B298" s="2183"/>
      <c r="C298" s="1564"/>
      <c r="D298" s="1565"/>
      <c r="E298" s="1565"/>
      <c r="F298" s="1565"/>
      <c r="G298" s="1565"/>
      <c r="H298" s="1565"/>
      <c r="I298" s="1565"/>
      <c r="J298" s="1565"/>
      <c r="K298" s="1565"/>
      <c r="L298" s="1566"/>
    </row>
    <row r="299" spans="1:14" ht="15.75" customHeight="1" x14ac:dyDescent="0.2">
      <c r="A299" s="1625" t="s">
        <v>146</v>
      </c>
      <c r="B299" s="1628" t="s">
        <v>589</v>
      </c>
      <c r="C299" s="617"/>
      <c r="D299" s="617"/>
      <c r="E299" s="617"/>
      <c r="F299" s="617"/>
      <c r="G299" s="617"/>
      <c r="H299" s="617"/>
      <c r="I299" s="617"/>
      <c r="J299" s="617"/>
      <c r="K299" s="617"/>
      <c r="L299" s="617"/>
    </row>
    <row r="300" spans="1:14" ht="15.75" customHeight="1" x14ac:dyDescent="0.2">
      <c r="A300" s="689" t="s">
        <v>632</v>
      </c>
      <c r="B300" s="632"/>
      <c r="C300" s="624"/>
      <c r="D300" s="624"/>
      <c r="E300" s="624"/>
      <c r="F300" s="624"/>
      <c r="G300" s="624"/>
      <c r="H300" s="624"/>
      <c r="I300" s="617"/>
      <c r="J300" s="617"/>
      <c r="K300" s="624"/>
      <c r="L300" s="624"/>
    </row>
    <row r="301" spans="1:14" x14ac:dyDescent="0.2">
      <c r="A301" s="1530" t="s">
        <v>628</v>
      </c>
      <c r="B301" s="690">
        <v>2530</v>
      </c>
      <c r="C301" s="466"/>
      <c r="D301" s="466"/>
      <c r="E301" s="466">
        <v>23855</v>
      </c>
      <c r="F301" s="466">
        <v>6827</v>
      </c>
      <c r="G301" s="466">
        <v>1130385</v>
      </c>
      <c r="H301" s="466"/>
      <c r="I301" s="467">
        <v>20966</v>
      </c>
      <c r="J301" s="467"/>
      <c r="K301" s="1682">
        <f>SUM(C301:J301)</f>
        <v>1182033</v>
      </c>
      <c r="L301" s="467">
        <v>1000000</v>
      </c>
    </row>
    <row r="302" spans="1:14" ht="13.5" customHeight="1" x14ac:dyDescent="0.2">
      <c r="A302" s="1530" t="s">
        <v>1036</v>
      </c>
      <c r="B302" s="615" t="s">
        <v>594</v>
      </c>
      <c r="C302" s="466"/>
      <c r="D302" s="466"/>
      <c r="E302" s="466"/>
      <c r="F302" s="466"/>
      <c r="G302" s="466"/>
      <c r="H302" s="466"/>
      <c r="I302" s="467"/>
      <c r="J302" s="467"/>
      <c r="K302" s="1682">
        <f>SUM(C302:J302)</f>
        <v>0</v>
      </c>
      <c r="L302" s="466"/>
    </row>
    <row r="303" spans="1:14" ht="12.75" customHeight="1" thickBot="1" x14ac:dyDescent="0.25">
      <c r="A303" s="1679" t="s">
        <v>864</v>
      </c>
      <c r="B303" s="1680" t="s">
        <v>589</v>
      </c>
      <c r="C303" s="1688">
        <f>SUM(C301:C302)</f>
        <v>0</v>
      </c>
      <c r="D303" s="1688">
        <f t="shared" ref="D303:L303" si="23">SUM(D301:D302)</f>
        <v>0</v>
      </c>
      <c r="E303" s="1688">
        <f t="shared" si="23"/>
        <v>23855</v>
      </c>
      <c r="F303" s="1688">
        <f t="shared" si="23"/>
        <v>6827</v>
      </c>
      <c r="G303" s="1688">
        <f t="shared" si="23"/>
        <v>1130385</v>
      </c>
      <c r="H303" s="1688">
        <f t="shared" si="23"/>
        <v>0</v>
      </c>
      <c r="I303" s="1688">
        <f t="shared" si="23"/>
        <v>20966</v>
      </c>
      <c r="J303" s="1688">
        <f t="shared" si="23"/>
        <v>0</v>
      </c>
      <c r="K303" s="1688">
        <f t="shared" si="23"/>
        <v>1182033</v>
      </c>
      <c r="L303" s="1688">
        <f t="shared" si="23"/>
        <v>1000000</v>
      </c>
    </row>
    <row r="304" spans="1:14" ht="15.75" customHeight="1" thickTop="1" x14ac:dyDescent="0.2">
      <c r="A304" s="1625" t="s">
        <v>147</v>
      </c>
      <c r="B304" s="1626" t="s">
        <v>914</v>
      </c>
      <c r="C304" s="617"/>
      <c r="D304" s="617"/>
      <c r="E304" s="617"/>
      <c r="F304" s="617"/>
      <c r="G304" s="617"/>
      <c r="H304" s="617"/>
      <c r="I304" s="617"/>
      <c r="J304" s="617"/>
      <c r="K304" s="617"/>
      <c r="L304" s="617"/>
    </row>
    <row r="305" spans="1:14" ht="15.75" customHeight="1" x14ac:dyDescent="0.2">
      <c r="A305" s="654" t="s">
        <v>952</v>
      </c>
      <c r="B305" s="623"/>
      <c r="C305" s="617"/>
      <c r="D305" s="617"/>
      <c r="E305" s="617"/>
      <c r="F305" s="617"/>
      <c r="G305" s="617"/>
      <c r="H305" s="617"/>
      <c r="I305" s="617"/>
      <c r="J305" s="617"/>
      <c r="K305" s="617"/>
      <c r="L305" s="617"/>
    </row>
    <row r="306" spans="1:14" x14ac:dyDescent="0.2">
      <c r="A306" s="1531" t="s">
        <v>1958</v>
      </c>
      <c r="B306" s="691" t="s">
        <v>1953</v>
      </c>
      <c r="C306" s="617"/>
      <c r="D306" s="617"/>
      <c r="E306" s="467"/>
      <c r="F306" s="617"/>
      <c r="G306" s="617"/>
      <c r="H306" s="467"/>
      <c r="I306" s="617"/>
      <c r="J306" s="617"/>
      <c r="K306" s="1682">
        <f>SUM(E306,H306)</f>
        <v>0</v>
      </c>
      <c r="L306" s="467"/>
    </row>
    <row r="307" spans="1:14" x14ac:dyDescent="0.2">
      <c r="A307" s="1517" t="s">
        <v>321</v>
      </c>
      <c r="B307" s="615">
        <v>4120</v>
      </c>
      <c r="C307" s="617"/>
      <c r="D307" s="617"/>
      <c r="E307" s="467"/>
      <c r="F307" s="617"/>
      <c r="G307" s="617"/>
      <c r="H307" s="467"/>
      <c r="I307" s="477"/>
      <c r="J307" s="617"/>
      <c r="K307" s="1682">
        <f>SUM(E307,H307)</f>
        <v>0</v>
      </c>
      <c r="L307" s="466"/>
    </row>
    <row r="308" spans="1:14" x14ac:dyDescent="0.2">
      <c r="A308" s="1517" t="s">
        <v>720</v>
      </c>
      <c r="B308" s="615">
        <v>4140</v>
      </c>
      <c r="C308" s="617"/>
      <c r="D308" s="617"/>
      <c r="E308" s="467"/>
      <c r="F308" s="617"/>
      <c r="G308" s="617"/>
      <c r="H308" s="467"/>
      <c r="I308" s="477"/>
      <c r="J308" s="617"/>
      <c r="K308" s="1682">
        <f>SUM(E308,H308)</f>
        <v>0</v>
      </c>
      <c r="L308" s="466"/>
    </row>
    <row r="309" spans="1:14" ht="12.75" customHeight="1" x14ac:dyDescent="0.2">
      <c r="A309" s="1521" t="s">
        <v>721</v>
      </c>
      <c r="B309" s="629">
        <v>4190</v>
      </c>
      <c r="C309" s="617"/>
      <c r="D309" s="617"/>
      <c r="E309" s="467"/>
      <c r="F309" s="617"/>
      <c r="G309" s="617"/>
      <c r="H309" s="467"/>
      <c r="I309" s="477"/>
      <c r="J309" s="617"/>
      <c r="K309" s="1682">
        <f>SUM(E309,H309)</f>
        <v>0</v>
      </c>
      <c r="L309" s="466"/>
    </row>
    <row r="310" spans="1:14" ht="12.75" customHeight="1" thickBot="1" x14ac:dyDescent="0.25">
      <c r="A310" s="1679" t="s">
        <v>1566</v>
      </c>
      <c r="B310" s="1686" t="s">
        <v>914</v>
      </c>
      <c r="C310" s="617"/>
      <c r="D310" s="617"/>
      <c r="E310" s="1681">
        <f>SUM(E306:E309)</f>
        <v>0</v>
      </c>
      <c r="F310" s="617"/>
      <c r="G310" s="617"/>
      <c r="H310" s="1681">
        <f>SUM(H306:H309)</f>
        <v>0</v>
      </c>
      <c r="I310" s="477"/>
      <c r="J310" s="617"/>
      <c r="K310" s="1681">
        <f>SUM(K306:K309)</f>
        <v>0</v>
      </c>
      <c r="L310" s="1688">
        <f>SUM(L306:L309)</f>
        <v>0</v>
      </c>
    </row>
    <row r="311" spans="1:14" ht="15.75" customHeight="1" thickTop="1" thickBot="1" x14ac:dyDescent="0.25">
      <c r="A311" s="1632" t="s">
        <v>950</v>
      </c>
      <c r="B311" s="1624" t="s">
        <v>915</v>
      </c>
      <c r="C311" s="624"/>
      <c r="D311" s="624"/>
      <c r="E311" s="624"/>
      <c r="F311" s="624"/>
      <c r="G311" s="624"/>
      <c r="H311" s="624"/>
      <c r="I311" s="624"/>
      <c r="J311" s="617"/>
      <c r="K311" s="624"/>
      <c r="L311" s="576"/>
    </row>
    <row r="312" spans="1:14" s="675" customFormat="1" ht="12.75" customHeight="1" thickTop="1" thickBot="1" x14ac:dyDescent="0.25">
      <c r="A312" s="2194" t="s">
        <v>294</v>
      </c>
      <c r="B312" s="2195"/>
      <c r="C312" s="1681">
        <f>SUM(C303)</f>
        <v>0</v>
      </c>
      <c r="D312" s="1681">
        <f>SUM(D303)</f>
        <v>0</v>
      </c>
      <c r="E312" s="1681">
        <f>SUM(E303,E310)</f>
        <v>23855</v>
      </c>
      <c r="F312" s="1681">
        <f>SUM(F303)</f>
        <v>6827</v>
      </c>
      <c r="G312" s="1681">
        <f>SUM(G303)</f>
        <v>1130385</v>
      </c>
      <c r="H312" s="1681">
        <f>SUM(H303,H310)</f>
        <v>0</v>
      </c>
      <c r="I312" s="1681">
        <f>SUM(I303)</f>
        <v>20966</v>
      </c>
      <c r="J312" s="1681">
        <f>SUM(J303)</f>
        <v>0</v>
      </c>
      <c r="K312" s="1681">
        <f>SUM(K303,K310,K311)</f>
        <v>1182033</v>
      </c>
      <c r="L312" s="1681">
        <f>SUM(L303,L310,L311)</f>
        <v>1000000</v>
      </c>
      <c r="M312" s="666"/>
      <c r="N312" s="666"/>
    </row>
    <row r="313" spans="1:14" ht="13.5" thickTop="1" x14ac:dyDescent="0.2">
      <c r="A313" s="2190" t="s">
        <v>1052</v>
      </c>
      <c r="B313" s="2191"/>
      <c r="C313" s="627"/>
      <c r="D313" s="627"/>
      <c r="E313" s="627"/>
      <c r="F313" s="627"/>
      <c r="G313" s="627"/>
      <c r="H313" s="627"/>
      <c r="I313" s="627"/>
      <c r="J313" s="627"/>
      <c r="K313" s="1696">
        <f>'Revenues 9-14'!H275-'Expenditures 15-22'!K312</f>
        <v>66184</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7" customHeight="1" x14ac:dyDescent="0.2">
      <c r="A315" s="2203" t="s">
        <v>151</v>
      </c>
      <c r="B315" s="2204"/>
      <c r="C315" s="1569"/>
      <c r="D315" s="1570"/>
      <c r="E315" s="1570"/>
      <c r="F315" s="1570"/>
      <c r="G315" s="1570"/>
      <c r="H315" s="1570"/>
      <c r="I315" s="1570"/>
      <c r="J315" s="1570"/>
      <c r="K315" s="1570"/>
      <c r="L315" s="1571"/>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7" customHeight="1" x14ac:dyDescent="0.2">
      <c r="A317" s="2205" t="s">
        <v>953</v>
      </c>
      <c r="B317" s="2204"/>
      <c r="C317" s="1569"/>
      <c r="D317" s="1570"/>
      <c r="E317" s="1570"/>
      <c r="F317" s="1570"/>
      <c r="G317" s="1570"/>
      <c r="H317" s="1570"/>
      <c r="I317" s="1570"/>
      <c r="J317" s="1570"/>
      <c r="K317" s="1570"/>
      <c r="L317" s="1571"/>
    </row>
    <row r="318" spans="1:14" s="675" customFormat="1" ht="15.75" customHeight="1" x14ac:dyDescent="0.2">
      <c r="A318" s="696" t="s">
        <v>630</v>
      </c>
      <c r="B318" s="697"/>
      <c r="C318" s="639"/>
      <c r="D318" s="639"/>
      <c r="E318" s="639"/>
      <c r="F318" s="639"/>
      <c r="G318" s="639"/>
      <c r="H318" s="639"/>
      <c r="I318" s="639"/>
      <c r="J318" s="639"/>
      <c r="K318" s="639"/>
      <c r="L318" s="639"/>
      <c r="M318" s="666"/>
      <c r="N318" s="666"/>
    </row>
    <row r="319" spans="1:14" s="675" customFormat="1" x14ac:dyDescent="0.2">
      <c r="A319" s="1532" t="s">
        <v>316</v>
      </c>
      <c r="B319" s="698" t="s">
        <v>298</v>
      </c>
      <c r="C319" s="467"/>
      <c r="D319" s="467"/>
      <c r="E319" s="467"/>
      <c r="F319" s="467"/>
      <c r="G319" s="467"/>
      <c r="H319" s="467"/>
      <c r="I319" s="467"/>
      <c r="J319" s="467"/>
      <c r="K319" s="1682">
        <f>SUM(C319:J319)</f>
        <v>0</v>
      </c>
      <c r="L319" s="467"/>
      <c r="M319" s="666"/>
      <c r="N319" s="666"/>
    </row>
    <row r="320" spans="1:14" s="675" customFormat="1" x14ac:dyDescent="0.2">
      <c r="A320" s="1536" t="s">
        <v>1904</v>
      </c>
      <c r="B320" s="699" t="s">
        <v>299</v>
      </c>
      <c r="C320" s="467"/>
      <c r="D320" s="467"/>
      <c r="E320" s="467">
        <v>185823</v>
      </c>
      <c r="F320" s="467"/>
      <c r="G320" s="467"/>
      <c r="H320" s="467"/>
      <c r="I320" s="467"/>
      <c r="J320" s="467"/>
      <c r="K320" s="1682">
        <f t="shared" ref="K320:K327" si="24">SUM(C320:J320)</f>
        <v>185823</v>
      </c>
      <c r="L320" s="467">
        <v>165000</v>
      </c>
      <c r="M320" s="666"/>
      <c r="N320" s="666"/>
    </row>
    <row r="321" spans="1:14" s="675" customFormat="1" x14ac:dyDescent="0.2">
      <c r="A321" s="1532" t="s">
        <v>317</v>
      </c>
      <c r="B321" s="698" t="s">
        <v>300</v>
      </c>
      <c r="C321" s="467"/>
      <c r="D321" s="467"/>
      <c r="E321" s="467">
        <v>2357</v>
      </c>
      <c r="F321" s="467"/>
      <c r="G321" s="467"/>
      <c r="H321" s="467"/>
      <c r="I321" s="467"/>
      <c r="J321" s="467"/>
      <c r="K321" s="1682">
        <f t="shared" si="24"/>
        <v>2357</v>
      </c>
      <c r="L321" s="467">
        <v>5000</v>
      </c>
      <c r="M321" s="666"/>
      <c r="N321" s="666"/>
    </row>
    <row r="322" spans="1:14" s="675" customFormat="1" x14ac:dyDescent="0.2">
      <c r="A322" s="1532" t="s">
        <v>256</v>
      </c>
      <c r="B322" s="698" t="s">
        <v>301</v>
      </c>
      <c r="C322" s="467"/>
      <c r="D322" s="467"/>
      <c r="E322" s="467"/>
      <c r="F322" s="467"/>
      <c r="G322" s="467"/>
      <c r="H322" s="467"/>
      <c r="I322" s="467"/>
      <c r="J322" s="467"/>
      <c r="K322" s="1682">
        <f t="shared" si="24"/>
        <v>0</v>
      </c>
      <c r="L322" s="467"/>
      <c r="M322" s="666"/>
      <c r="N322" s="666"/>
    </row>
    <row r="323" spans="1:14" s="675" customFormat="1" x14ac:dyDescent="0.2">
      <c r="A323" s="1532" t="s">
        <v>725</v>
      </c>
      <c r="B323" s="698" t="s">
        <v>302</v>
      </c>
      <c r="C323" s="467"/>
      <c r="D323" s="467"/>
      <c r="E323" s="467"/>
      <c r="F323" s="467"/>
      <c r="G323" s="467"/>
      <c r="H323" s="467"/>
      <c r="I323" s="467"/>
      <c r="J323" s="467"/>
      <c r="K323" s="1682">
        <f t="shared" si="24"/>
        <v>0</v>
      </c>
      <c r="L323" s="467"/>
      <c r="M323" s="666"/>
      <c r="N323" s="666"/>
    </row>
    <row r="324" spans="1:14" s="675" customFormat="1" x14ac:dyDescent="0.2">
      <c r="A324" s="1532" t="s">
        <v>257</v>
      </c>
      <c r="B324" s="698" t="s">
        <v>303</v>
      </c>
      <c r="C324" s="467"/>
      <c r="D324" s="467"/>
      <c r="E324" s="467"/>
      <c r="F324" s="467"/>
      <c r="G324" s="467"/>
      <c r="H324" s="467"/>
      <c r="I324" s="467"/>
      <c r="J324" s="467"/>
      <c r="K324" s="1682">
        <f t="shared" si="24"/>
        <v>0</v>
      </c>
      <c r="L324" s="467"/>
      <c r="M324" s="666"/>
      <c r="N324" s="666"/>
    </row>
    <row r="325" spans="1:14" s="675" customFormat="1" ht="22.5" x14ac:dyDescent="0.2">
      <c r="A325" s="1532" t="s">
        <v>1086</v>
      </c>
      <c r="B325" s="699" t="s">
        <v>304</v>
      </c>
      <c r="C325" s="467">
        <v>709007</v>
      </c>
      <c r="D325" s="467">
        <v>83487</v>
      </c>
      <c r="E325" s="467">
        <v>129848</v>
      </c>
      <c r="F325" s="467">
        <v>10753</v>
      </c>
      <c r="G325" s="467"/>
      <c r="H325" s="467"/>
      <c r="I325" s="467">
        <v>21368</v>
      </c>
      <c r="J325" s="467"/>
      <c r="K325" s="1682">
        <f t="shared" si="24"/>
        <v>954463</v>
      </c>
      <c r="L325" s="467">
        <v>1333228</v>
      </c>
      <c r="M325" s="666"/>
      <c r="N325" s="666"/>
    </row>
    <row r="326" spans="1:14" s="675" customFormat="1" x14ac:dyDescent="0.2">
      <c r="A326" s="1532" t="s">
        <v>1087</v>
      </c>
      <c r="B326" s="698" t="s">
        <v>305</v>
      </c>
      <c r="C326" s="467"/>
      <c r="D326" s="467"/>
      <c r="E326" s="467"/>
      <c r="F326" s="467"/>
      <c r="G326" s="467"/>
      <c r="H326" s="467"/>
      <c r="I326" s="467"/>
      <c r="J326" s="467"/>
      <c r="K326" s="1682">
        <f t="shared" si="24"/>
        <v>0</v>
      </c>
      <c r="L326" s="467"/>
      <c r="M326" s="666"/>
      <c r="N326" s="666"/>
    </row>
    <row r="327" spans="1:14" s="675" customFormat="1" x14ac:dyDescent="0.2">
      <c r="A327" s="1532" t="s">
        <v>1027</v>
      </c>
      <c r="B327" s="698" t="s">
        <v>306</v>
      </c>
      <c r="C327" s="467"/>
      <c r="D327" s="467"/>
      <c r="E327" s="467">
        <v>10293</v>
      </c>
      <c r="F327" s="467"/>
      <c r="G327" s="467"/>
      <c r="H327" s="467"/>
      <c r="I327" s="467"/>
      <c r="J327" s="467"/>
      <c r="K327" s="1682">
        <f t="shared" si="24"/>
        <v>10293</v>
      </c>
      <c r="L327" s="467">
        <v>2500</v>
      </c>
      <c r="M327" s="666"/>
      <c r="N327" s="666"/>
    </row>
    <row r="328" spans="1:14" s="675" customFormat="1" x14ac:dyDescent="0.2">
      <c r="A328" s="1533" t="s">
        <v>491</v>
      </c>
      <c r="B328" s="691" t="s">
        <v>1193</v>
      </c>
      <c r="C328" s="474"/>
      <c r="D328" s="474"/>
      <c r="E328" s="474">
        <v>156821</v>
      </c>
      <c r="F328" s="474"/>
      <c r="G328" s="474"/>
      <c r="H328" s="474"/>
      <c r="I328" s="474"/>
      <c r="J328" s="474"/>
      <c r="K328" s="1710">
        <f>SUM(C328:J328)</f>
        <v>156821</v>
      </c>
      <c r="L328" s="474">
        <v>158000</v>
      </c>
      <c r="M328" s="666"/>
      <c r="N328" s="666"/>
    </row>
    <row r="329" spans="1:14" s="675" customFormat="1" x14ac:dyDescent="0.2">
      <c r="A329" s="1533" t="s">
        <v>1194</v>
      </c>
      <c r="B329" s="691" t="s">
        <v>1195</v>
      </c>
      <c r="C329" s="474"/>
      <c r="D329" s="474"/>
      <c r="E329" s="474">
        <v>20006</v>
      </c>
      <c r="F329" s="474"/>
      <c r="G329" s="474"/>
      <c r="H329" s="474"/>
      <c r="I329" s="474"/>
      <c r="J329" s="474"/>
      <c r="K329" s="1710">
        <f>SUM(C329:J329)</f>
        <v>20006</v>
      </c>
      <c r="L329" s="474">
        <v>23000</v>
      </c>
      <c r="M329" s="666"/>
      <c r="N329" s="666"/>
    </row>
    <row r="330" spans="1:14" s="675" customFormat="1" ht="12.75" customHeight="1" thickBot="1" x14ac:dyDescent="0.25">
      <c r="A330" s="1711" t="s">
        <v>740</v>
      </c>
      <c r="B330" s="1680" t="s">
        <v>589</v>
      </c>
      <c r="C330" s="1681">
        <f>SUM(C319:C329)</f>
        <v>709007</v>
      </c>
      <c r="D330" s="1681">
        <f t="shared" ref="D330:J330" si="25">SUM(D319:D329)</f>
        <v>83487</v>
      </c>
      <c r="E330" s="1681">
        <f t="shared" si="25"/>
        <v>505148</v>
      </c>
      <c r="F330" s="1681">
        <f t="shared" si="25"/>
        <v>10753</v>
      </c>
      <c r="G330" s="1681">
        <f t="shared" si="25"/>
        <v>0</v>
      </c>
      <c r="H330" s="1681">
        <f t="shared" si="25"/>
        <v>0</v>
      </c>
      <c r="I330" s="1681">
        <f t="shared" si="25"/>
        <v>21368</v>
      </c>
      <c r="J330" s="1681">
        <f t="shared" si="25"/>
        <v>0</v>
      </c>
      <c r="K330" s="1681">
        <f>SUM(K319:K329)</f>
        <v>1329763</v>
      </c>
      <c r="L330" s="1681">
        <f>SUM(L319:L329)</f>
        <v>1686728</v>
      </c>
      <c r="M330" s="666"/>
      <c r="N330" s="666"/>
    </row>
    <row r="331" spans="1:14" s="675" customFormat="1" ht="12.75" customHeight="1" thickTop="1" x14ac:dyDescent="0.2">
      <c r="A331" s="1843" t="s">
        <v>1959</v>
      </c>
      <c r="B331" s="648" t="s">
        <v>914</v>
      </c>
      <c r="C331" s="1845"/>
      <c r="D331" s="1845"/>
      <c r="E331" s="1845"/>
      <c r="F331" s="1845"/>
      <c r="G331" s="1845"/>
      <c r="H331" s="1845"/>
      <c r="I331" s="1845"/>
      <c r="J331" s="1845"/>
      <c r="K331" s="1845"/>
      <c r="L331" s="1845"/>
      <c r="M331" s="666"/>
      <c r="N331" s="666"/>
    </row>
    <row r="332" spans="1:14" s="675" customFormat="1" ht="12.75" customHeight="1" x14ac:dyDescent="0.2">
      <c r="A332" s="1844" t="s">
        <v>516</v>
      </c>
      <c r="B332" s="1839" t="s">
        <v>1953</v>
      </c>
      <c r="C332" s="1845"/>
      <c r="D332" s="1845"/>
      <c r="E332" s="1845"/>
      <c r="F332" s="1845"/>
      <c r="G332" s="1845"/>
      <c r="H332" s="467"/>
      <c r="I332" s="1845"/>
      <c r="J332" s="1845"/>
      <c r="K332" s="1682">
        <f>H332</f>
        <v>0</v>
      </c>
      <c r="L332" s="467"/>
      <c r="M332" s="666"/>
      <c r="N332" s="666"/>
    </row>
    <row r="333" spans="1:14" s="675" customFormat="1" ht="12.75" customHeight="1" x14ac:dyDescent="0.2">
      <c r="A333" s="1844" t="s">
        <v>321</v>
      </c>
      <c r="B333" s="1839" t="s">
        <v>1955</v>
      </c>
      <c r="C333" s="1845"/>
      <c r="D333" s="1845"/>
      <c r="E333" s="1845"/>
      <c r="F333" s="1845"/>
      <c r="G333" s="1845"/>
      <c r="H333" s="467"/>
      <c r="I333" s="1845"/>
      <c r="J333" s="1845"/>
      <c r="K333" s="1682">
        <f>H333</f>
        <v>0</v>
      </c>
      <c r="L333" s="467"/>
      <c r="M333" s="666"/>
      <c r="N333" s="666"/>
    </row>
    <row r="334" spans="1:14" s="675" customFormat="1" ht="12.75" customHeight="1" thickBot="1" x14ac:dyDescent="0.25">
      <c r="A334" s="1844" t="s">
        <v>1960</v>
      </c>
      <c r="B334" s="1839" t="s">
        <v>914</v>
      </c>
      <c r="C334" s="1845"/>
      <c r="D334" s="1845"/>
      <c r="E334" s="1845"/>
      <c r="F334" s="1845"/>
      <c r="G334" s="1845"/>
      <c r="H334" s="1681">
        <f>SUM(H332:H333)</f>
        <v>0</v>
      </c>
      <c r="I334" s="1845"/>
      <c r="J334" s="1845"/>
      <c r="K334" s="1681">
        <f>SUM(K332:K333)</f>
        <v>0</v>
      </c>
      <c r="L334" s="1681">
        <f>SUM(L332:L333)</f>
        <v>0</v>
      </c>
      <c r="M334" s="666"/>
      <c r="N334" s="666"/>
    </row>
    <row r="335" spans="1:14" ht="15.75" customHeight="1" thickTop="1" x14ac:dyDescent="0.2">
      <c r="A335" s="1629" t="s">
        <v>954</v>
      </c>
      <c r="B335" s="1620" t="s">
        <v>512</v>
      </c>
      <c r="C335" s="617"/>
      <c r="D335" s="617"/>
      <c r="E335" s="617"/>
      <c r="F335" s="617"/>
      <c r="G335" s="617"/>
      <c r="H335" s="617"/>
      <c r="I335" s="617"/>
      <c r="J335" s="617"/>
      <c r="K335" s="617"/>
      <c r="L335" s="617"/>
    </row>
    <row r="336" spans="1:14" ht="15.75" customHeight="1" x14ac:dyDescent="0.2">
      <c r="A336" s="654" t="s">
        <v>635</v>
      </c>
      <c r="B336" s="623"/>
      <c r="C336" s="617"/>
      <c r="D336" s="617"/>
      <c r="E336" s="617"/>
      <c r="F336" s="617"/>
      <c r="G336" s="617"/>
      <c r="H336" s="624"/>
      <c r="I336" s="617"/>
      <c r="J336" s="617"/>
      <c r="K336" s="624"/>
      <c r="L336" s="624"/>
    </row>
    <row r="337" spans="1:14" x14ac:dyDescent="0.2">
      <c r="A337" s="1531" t="s">
        <v>89</v>
      </c>
      <c r="B337" s="691" t="s">
        <v>955</v>
      </c>
      <c r="C337" s="639"/>
      <c r="D337" s="639"/>
      <c r="E337" s="639"/>
      <c r="F337" s="639"/>
      <c r="G337" s="639"/>
      <c r="H337" s="478"/>
      <c r="I337" s="639"/>
      <c r="J337" s="639"/>
      <c r="K337" s="1682">
        <f>H337</f>
        <v>0</v>
      </c>
      <c r="L337" s="478"/>
    </row>
    <row r="338" spans="1:14" ht="12.75" customHeight="1" x14ac:dyDescent="0.2">
      <c r="A338" s="1531" t="s">
        <v>1231</v>
      </c>
      <c r="B338" s="691" t="s">
        <v>637</v>
      </c>
      <c r="C338" s="639"/>
      <c r="D338" s="639"/>
      <c r="E338" s="639"/>
      <c r="F338" s="639"/>
      <c r="G338" s="639"/>
      <c r="H338" s="478"/>
      <c r="I338" s="639"/>
      <c r="J338" s="639"/>
      <c r="K338" s="1682">
        <f>H338</f>
        <v>0</v>
      </c>
      <c r="L338" s="478"/>
    </row>
    <row r="339" spans="1:14" x14ac:dyDescent="0.2">
      <c r="A339" s="1517" t="s">
        <v>956</v>
      </c>
      <c r="B339" s="629">
        <v>5150</v>
      </c>
      <c r="C339" s="639"/>
      <c r="D339" s="639"/>
      <c r="E339" s="639"/>
      <c r="F339" s="639"/>
      <c r="G339" s="639"/>
      <c r="H339" s="467"/>
      <c r="I339" s="639"/>
      <c r="J339" s="639"/>
      <c r="K339" s="1682">
        <f>H339</f>
        <v>0</v>
      </c>
      <c r="L339" s="467"/>
    </row>
    <row r="340" spans="1:14" ht="13.5" thickBot="1" x14ac:dyDescent="0.25">
      <c r="A340" s="1705" t="s">
        <v>957</v>
      </c>
      <c r="B340" s="1680" t="s">
        <v>512</v>
      </c>
      <c r="C340" s="617"/>
      <c r="D340" s="617"/>
      <c r="E340" s="617"/>
      <c r="F340" s="617"/>
      <c r="G340" s="617"/>
      <c r="H340" s="1699">
        <f>SUM(H337:H339)</f>
        <v>0</v>
      </c>
      <c r="I340" s="617"/>
      <c r="J340" s="617"/>
      <c r="K340" s="1699">
        <f>SUM(K337:K339)</f>
        <v>0</v>
      </c>
      <c r="L340" s="1699">
        <f>SUM(L337:L339)</f>
        <v>0</v>
      </c>
    </row>
    <row r="341" spans="1:14" ht="15.75" customHeight="1" thickTop="1" thickBot="1" x14ac:dyDescent="0.25">
      <c r="A341" s="1632" t="s">
        <v>958</v>
      </c>
      <c r="B341" s="1624" t="s">
        <v>915</v>
      </c>
      <c r="C341" s="617"/>
      <c r="D341" s="617"/>
      <c r="E341" s="477"/>
      <c r="F341" s="468"/>
      <c r="G341" s="468"/>
      <c r="H341" s="477"/>
      <c r="I341" s="477"/>
      <c r="J341" s="468"/>
      <c r="K341" s="477"/>
      <c r="L341" s="576"/>
    </row>
    <row r="342" spans="1:14" ht="12.75" customHeight="1" thickTop="1" thickBot="1" x14ac:dyDescent="0.25">
      <c r="A342" s="1697" t="s">
        <v>525</v>
      </c>
      <c r="B342" s="1712"/>
      <c r="C342" s="1681">
        <f>SUM(C330)</f>
        <v>709007</v>
      </c>
      <c r="D342" s="1681">
        <f>SUM(D330)</f>
        <v>83487</v>
      </c>
      <c r="E342" s="1681">
        <f>SUM(E330)</f>
        <v>505148</v>
      </c>
      <c r="F342" s="1681">
        <f>SUM(F330)</f>
        <v>10753</v>
      </c>
      <c r="G342" s="1681">
        <f>SUM(G330)</f>
        <v>0</v>
      </c>
      <c r="H342" s="1681">
        <f>SUM(H330,H334,H340)</f>
        <v>0</v>
      </c>
      <c r="I342" s="1681">
        <f>SUM(I330)</f>
        <v>21368</v>
      </c>
      <c r="J342" s="1681">
        <f>SUM(J330)</f>
        <v>0</v>
      </c>
      <c r="K342" s="1681">
        <f>SUM(K330,K334,K340)</f>
        <v>1329763</v>
      </c>
      <c r="L342" s="1688">
        <f>SUM(L330,L340,L341)</f>
        <v>1686728</v>
      </c>
    </row>
    <row r="343" spans="1:14" ht="12.75" customHeight="1" thickTop="1" x14ac:dyDescent="0.2">
      <c r="A343" s="2192" t="s">
        <v>1052</v>
      </c>
      <c r="B343" s="2193"/>
      <c r="C343" s="617"/>
      <c r="D343" s="617"/>
      <c r="E343" s="617"/>
      <c r="F343" s="617"/>
      <c r="G343" s="617"/>
      <c r="H343" s="617"/>
      <c r="I343" s="617"/>
      <c r="J343" s="617"/>
      <c r="K343" s="1695">
        <f>'Revenues 9-14'!J275-'Expenditures 15-22'!K342</f>
        <v>165367</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7" customHeight="1" x14ac:dyDescent="0.2">
      <c r="A345" s="2182" t="s">
        <v>1022</v>
      </c>
      <c r="B345" s="2183"/>
      <c r="C345" s="1564"/>
      <c r="D345" s="1565"/>
      <c r="E345" s="1565"/>
      <c r="F345" s="1565"/>
      <c r="G345" s="1565"/>
      <c r="H345" s="1565"/>
      <c r="I345" s="1565"/>
      <c r="J345" s="1565"/>
      <c r="K345" s="1565"/>
      <c r="L345" s="1566"/>
      <c r="M345" s="668"/>
      <c r="N345" s="668"/>
    </row>
    <row r="346" spans="1:14" s="343" customFormat="1" ht="15.75" customHeight="1" x14ac:dyDescent="0.2">
      <c r="A346" s="1636" t="s">
        <v>898</v>
      </c>
      <c r="B346" s="1628" t="s">
        <v>589</v>
      </c>
      <c r="C346" s="617"/>
      <c r="D346" s="617"/>
      <c r="E346" s="617"/>
      <c r="F346" s="617"/>
      <c r="G346" s="617"/>
      <c r="H346" s="617"/>
      <c r="I346" s="617"/>
      <c r="J346" s="617"/>
      <c r="K346" s="617"/>
      <c r="L346" s="617"/>
      <c r="M346" s="610"/>
      <c r="N346" s="610"/>
    </row>
    <row r="347" spans="1:14" ht="15.75" customHeight="1" x14ac:dyDescent="0.2">
      <c r="A347" s="700" t="s">
        <v>632</v>
      </c>
      <c r="B347" s="701"/>
      <c r="C347" s="624"/>
      <c r="D347" s="624"/>
      <c r="E347" s="624"/>
      <c r="F347" s="624"/>
      <c r="G347" s="624"/>
      <c r="H347" s="624"/>
      <c r="I347" s="617"/>
      <c r="J347" s="617"/>
      <c r="K347" s="624"/>
      <c r="L347" s="624"/>
    </row>
    <row r="348" spans="1:14" x14ac:dyDescent="0.2">
      <c r="A348" s="1517" t="s">
        <v>4</v>
      </c>
      <c r="B348" s="615">
        <v>2530</v>
      </c>
      <c r="C348" s="466"/>
      <c r="D348" s="466"/>
      <c r="E348" s="466"/>
      <c r="F348" s="466"/>
      <c r="G348" s="466">
        <v>882705</v>
      </c>
      <c r="H348" s="466"/>
      <c r="I348" s="467">
        <v>5920</v>
      </c>
      <c r="J348" s="467"/>
      <c r="K348" s="1682">
        <f>SUM(C348:J348)</f>
        <v>888625</v>
      </c>
      <c r="L348" s="466">
        <v>152943</v>
      </c>
    </row>
    <row r="349" spans="1:14" x14ac:dyDescent="0.2">
      <c r="A349" s="1517" t="s">
        <v>206</v>
      </c>
      <c r="B349" s="615">
        <v>2540</v>
      </c>
      <c r="C349" s="466"/>
      <c r="D349" s="466"/>
      <c r="E349" s="466">
        <v>20</v>
      </c>
      <c r="F349" s="466"/>
      <c r="G349" s="466"/>
      <c r="H349" s="466"/>
      <c r="I349" s="467"/>
      <c r="J349" s="467"/>
      <c r="K349" s="1682">
        <f>SUM(C349:J349)</f>
        <v>20</v>
      </c>
      <c r="L349" s="466"/>
    </row>
    <row r="350" spans="1:14" ht="12.75" customHeight="1" thickBot="1" x14ac:dyDescent="0.25">
      <c r="A350" s="1679" t="s">
        <v>742</v>
      </c>
      <c r="B350" s="1680" t="s">
        <v>35</v>
      </c>
      <c r="C350" s="1681">
        <f>SUM(C348:C349)</f>
        <v>0</v>
      </c>
      <c r="D350" s="1681">
        <f t="shared" ref="D350:L350" si="26">SUM(D348:D349)</f>
        <v>0</v>
      </c>
      <c r="E350" s="1681">
        <f t="shared" si="26"/>
        <v>20</v>
      </c>
      <c r="F350" s="1681">
        <f t="shared" si="26"/>
        <v>0</v>
      </c>
      <c r="G350" s="1681">
        <f t="shared" si="26"/>
        <v>882705</v>
      </c>
      <c r="H350" s="1681">
        <f t="shared" si="26"/>
        <v>0</v>
      </c>
      <c r="I350" s="1681">
        <f t="shared" si="26"/>
        <v>5920</v>
      </c>
      <c r="J350" s="1681">
        <f t="shared" si="26"/>
        <v>0</v>
      </c>
      <c r="K350" s="1681">
        <f t="shared" si="26"/>
        <v>888645</v>
      </c>
      <c r="L350" s="1681">
        <f t="shared" si="26"/>
        <v>152943</v>
      </c>
    </row>
    <row r="351" spans="1:14" ht="12.75" customHeight="1" thickTop="1" x14ac:dyDescent="0.2">
      <c r="A351" s="1523" t="s">
        <v>1036</v>
      </c>
      <c r="B351" s="644" t="s">
        <v>594</v>
      </c>
      <c r="C351" s="481"/>
      <c r="D351" s="481"/>
      <c r="E351" s="481"/>
      <c r="F351" s="481"/>
      <c r="G351" s="481"/>
      <c r="H351" s="481"/>
      <c r="I351" s="478"/>
      <c r="J351" s="478"/>
      <c r="K351" s="616">
        <f>SUM(C351:J351)</f>
        <v>0</v>
      </c>
      <c r="L351" s="481"/>
    </row>
    <row r="352" spans="1:14" ht="12.75" customHeight="1" thickBot="1" x14ac:dyDescent="0.25">
      <c r="A352" s="1679" t="s">
        <v>644</v>
      </c>
      <c r="B352" s="1686" t="s">
        <v>589</v>
      </c>
      <c r="C352" s="1681">
        <f>SUM(C350:C351)</f>
        <v>0</v>
      </c>
      <c r="D352" s="1681">
        <f t="shared" ref="D352:L352" si="27">SUM(D350:D351)</f>
        <v>0</v>
      </c>
      <c r="E352" s="1681">
        <f t="shared" si="27"/>
        <v>20</v>
      </c>
      <c r="F352" s="1681">
        <f t="shared" si="27"/>
        <v>0</v>
      </c>
      <c r="G352" s="1681">
        <f t="shared" si="27"/>
        <v>882705</v>
      </c>
      <c r="H352" s="1681">
        <f t="shared" si="27"/>
        <v>0</v>
      </c>
      <c r="I352" s="1681">
        <f t="shared" si="27"/>
        <v>5920</v>
      </c>
      <c r="J352" s="1681">
        <f t="shared" si="27"/>
        <v>0</v>
      </c>
      <c r="K352" s="1681">
        <f t="shared" si="27"/>
        <v>888645</v>
      </c>
      <c r="L352" s="1681">
        <f t="shared" si="27"/>
        <v>152943</v>
      </c>
    </row>
    <row r="353" spans="1:14" s="343" customFormat="1" ht="15.75" customHeight="1" thickTop="1" x14ac:dyDescent="0.2">
      <c r="A353" s="1625" t="s">
        <v>645</v>
      </c>
      <c r="B353" s="1622" t="s">
        <v>914</v>
      </c>
      <c r="C353" s="617"/>
      <c r="D353" s="617"/>
      <c r="E353" s="617"/>
      <c r="F353" s="617"/>
      <c r="G353" s="617"/>
      <c r="H353" s="617"/>
      <c r="I353" s="617"/>
      <c r="J353" s="617"/>
      <c r="K353" s="617"/>
      <c r="L353" s="617"/>
      <c r="M353" s="610"/>
      <c r="N353" s="610"/>
    </row>
    <row r="354" spans="1:14" x14ac:dyDescent="0.2">
      <c r="A354" s="1846" t="s">
        <v>1961</v>
      </c>
      <c r="B354" s="684" t="s">
        <v>1953</v>
      </c>
      <c r="C354" s="617"/>
      <c r="D354" s="617"/>
      <c r="E354" s="617"/>
      <c r="F354" s="617"/>
      <c r="G354" s="617"/>
      <c r="H354" s="474"/>
      <c r="I354" s="702"/>
      <c r="J354" s="617"/>
      <c r="K354" s="1710">
        <f>H354</f>
        <v>0</v>
      </c>
      <c r="L354" s="471"/>
    </row>
    <row r="355" spans="1:14" ht="12.75" customHeight="1" x14ac:dyDescent="0.2">
      <c r="A355" s="1526" t="s">
        <v>1962</v>
      </c>
      <c r="B355" s="691" t="s">
        <v>1955</v>
      </c>
      <c r="C355" s="617"/>
      <c r="D355" s="617"/>
      <c r="E355" s="617"/>
      <c r="F355" s="617"/>
      <c r="G355" s="617"/>
      <c r="H355" s="467"/>
      <c r="I355" s="702"/>
      <c r="J355" s="617"/>
      <c r="K355" s="1754">
        <f>H355</f>
        <v>0</v>
      </c>
      <c r="L355" s="467"/>
    </row>
    <row r="356" spans="1:14" ht="12.75" customHeight="1" x14ac:dyDescent="0.2">
      <c r="A356" s="1846" t="s">
        <v>721</v>
      </c>
      <c r="B356" s="684" t="s">
        <v>578</v>
      </c>
      <c r="C356" s="617"/>
      <c r="D356" s="617"/>
      <c r="E356" s="617"/>
      <c r="F356" s="617"/>
      <c r="G356" s="617"/>
      <c r="H356" s="479"/>
      <c r="I356" s="702"/>
      <c r="J356" s="617"/>
      <c r="K356" s="1751">
        <f>H356</f>
        <v>0</v>
      </c>
      <c r="L356" s="479"/>
    </row>
    <row r="357" spans="1:14" ht="12.75" customHeight="1" thickBot="1" x14ac:dyDescent="0.25">
      <c r="A357" s="1679" t="s">
        <v>1566</v>
      </c>
      <c r="B357" s="1680" t="s">
        <v>914</v>
      </c>
      <c r="C357" s="617"/>
      <c r="D357" s="617"/>
      <c r="E357" s="617"/>
      <c r="F357" s="617"/>
      <c r="G357" s="617"/>
      <c r="H357" s="1699">
        <f>SUM(H354:H356)</f>
        <v>0</v>
      </c>
      <c r="I357" s="702"/>
      <c r="J357" s="617"/>
      <c r="K357" s="1699">
        <f>SUM(K354:K356)</f>
        <v>0</v>
      </c>
      <c r="L357" s="1699">
        <f>SUM(L354:L356)</f>
        <v>0</v>
      </c>
    </row>
    <row r="358" spans="1:14" s="343" customFormat="1" ht="15.75" customHeight="1" thickTop="1" x14ac:dyDescent="0.2">
      <c r="A358" s="1625" t="s">
        <v>1004</v>
      </c>
      <c r="B358" s="1622" t="s">
        <v>512</v>
      </c>
      <c r="C358" s="617"/>
      <c r="D358" s="617"/>
      <c r="E358" s="617"/>
      <c r="F358" s="617"/>
      <c r="G358" s="617"/>
      <c r="H358" s="617"/>
      <c r="I358" s="617"/>
      <c r="J358" s="617"/>
      <c r="K358" s="617"/>
      <c r="L358" s="617"/>
      <c r="M358" s="610"/>
      <c r="N358" s="610"/>
    </row>
    <row r="359" spans="1:14" s="343" customFormat="1" ht="15.75" customHeight="1" x14ac:dyDescent="0.2">
      <c r="A359" s="654" t="s">
        <v>647</v>
      </c>
      <c r="B359" s="623"/>
      <c r="C359" s="617"/>
      <c r="D359" s="617"/>
      <c r="E359" s="617"/>
      <c r="F359" s="617"/>
      <c r="G359" s="617"/>
      <c r="H359" s="617"/>
      <c r="I359" s="617"/>
      <c r="J359" s="617"/>
      <c r="K359" s="624"/>
      <c r="L359" s="624"/>
      <c r="M359" s="610"/>
      <c r="N359" s="610"/>
    </row>
    <row r="360" spans="1:14" x14ac:dyDescent="0.2">
      <c r="A360" s="1517" t="s">
        <v>89</v>
      </c>
      <c r="B360" s="615">
        <v>5110</v>
      </c>
      <c r="C360" s="617"/>
      <c r="D360" s="617"/>
      <c r="E360" s="617"/>
      <c r="F360" s="617"/>
      <c r="G360" s="617"/>
      <c r="H360" s="467"/>
      <c r="I360" s="617"/>
      <c r="J360" s="617"/>
      <c r="K360" s="1682">
        <f>SUM(C360:J360)</f>
        <v>0</v>
      </c>
      <c r="L360" s="466"/>
    </row>
    <row r="361" spans="1:14" ht="12.75" customHeight="1" x14ac:dyDescent="0.2">
      <c r="A361" s="1518" t="s">
        <v>639</v>
      </c>
      <c r="B361" s="603" t="s">
        <v>638</v>
      </c>
      <c r="C361" s="617"/>
      <c r="D361" s="617"/>
      <c r="E361" s="617"/>
      <c r="F361" s="617"/>
      <c r="G361" s="617"/>
      <c r="H361" s="467"/>
      <c r="I361" s="617"/>
      <c r="J361" s="617"/>
      <c r="K361" s="1682">
        <f>SUM(C361:J361)</f>
        <v>0</v>
      </c>
      <c r="L361" s="466"/>
    </row>
    <row r="362" spans="1:14" ht="12.75" customHeight="1" thickBot="1" x14ac:dyDescent="0.25">
      <c r="A362" s="1679" t="s">
        <v>646</v>
      </c>
      <c r="B362" s="1680" t="s">
        <v>741</v>
      </c>
      <c r="C362" s="617"/>
      <c r="D362" s="617"/>
      <c r="E362" s="617"/>
      <c r="F362" s="617"/>
      <c r="G362" s="617"/>
      <c r="H362" s="1714">
        <f>SUM(H360:H361)</f>
        <v>0</v>
      </c>
      <c r="I362" s="617"/>
      <c r="J362" s="617"/>
      <c r="K362" s="1714">
        <f>SUM(K360:K361)</f>
        <v>0</v>
      </c>
      <c r="L362" s="1714">
        <f>SUM(L360:L361)</f>
        <v>0</v>
      </c>
    </row>
    <row r="363" spans="1:14" s="675" customFormat="1" ht="15.75" customHeight="1" thickTop="1" x14ac:dyDescent="0.2">
      <c r="A363" s="661" t="s">
        <v>85</v>
      </c>
      <c r="B363" s="662" t="s">
        <v>38</v>
      </c>
      <c r="C363" s="639"/>
      <c r="D363" s="639"/>
      <c r="E363" s="639"/>
      <c r="F363" s="639"/>
      <c r="G363" s="639"/>
      <c r="H363" s="479"/>
      <c r="I363" s="639"/>
      <c r="J363" s="639"/>
      <c r="K363" s="1710">
        <f>SUM(C363:J363)</f>
        <v>0</v>
      </c>
      <c r="L363" s="479"/>
      <c r="M363" s="666"/>
      <c r="N363" s="666"/>
    </row>
    <row r="364" spans="1:14" s="709" customFormat="1" ht="29.25" customHeight="1" x14ac:dyDescent="0.2">
      <c r="A364" s="703" t="s">
        <v>1770</v>
      </c>
      <c r="B364" s="704">
        <v>5300</v>
      </c>
      <c r="C364" s="705"/>
      <c r="D364" s="706"/>
      <c r="E364" s="706"/>
      <c r="F364" s="705"/>
      <c r="G364" s="706"/>
      <c r="H364" s="707"/>
      <c r="I364" s="706"/>
      <c r="J364" s="706"/>
      <c r="K364" s="1682">
        <f>SUM(C364:J364)</f>
        <v>0</v>
      </c>
      <c r="L364" s="708"/>
    </row>
    <row r="365" spans="1:14" s="675" customFormat="1" ht="12.75" customHeight="1" thickBot="1" x14ac:dyDescent="0.25">
      <c r="A365" s="1534" t="s">
        <v>610</v>
      </c>
      <c r="B365" s="660" t="s">
        <v>512</v>
      </c>
      <c r="C365" s="639"/>
      <c r="D365" s="639"/>
      <c r="E365" s="639"/>
      <c r="F365" s="639"/>
      <c r="G365" s="639"/>
      <c r="H365" s="1714">
        <f>SUM(H362,H363,H364)</f>
        <v>0</v>
      </c>
      <c r="I365" s="639"/>
      <c r="J365" s="639"/>
      <c r="K365" s="1714">
        <f>SUM(K362,K363,K364)</f>
        <v>0</v>
      </c>
      <c r="L365" s="1714">
        <f>SUM(L362,L363,L364)</f>
        <v>0</v>
      </c>
      <c r="M365" s="666"/>
      <c r="N365" s="666"/>
    </row>
    <row r="366" spans="1:14" s="343" customFormat="1" ht="15.75" customHeight="1" thickTop="1" thickBot="1" x14ac:dyDescent="0.25">
      <c r="A366" s="1619" t="s">
        <v>1005</v>
      </c>
      <c r="B366" s="1626" t="s">
        <v>915</v>
      </c>
      <c r="C366" s="624"/>
      <c r="D366" s="624"/>
      <c r="E366" s="624"/>
      <c r="F366" s="624"/>
      <c r="G366" s="624"/>
      <c r="H366" s="624"/>
      <c r="I366" s="624"/>
      <c r="J366" s="617"/>
      <c r="K366" s="624"/>
      <c r="L366" s="573"/>
      <c r="M366" s="610"/>
      <c r="N366" s="610"/>
    </row>
    <row r="367" spans="1:14" ht="12.75" customHeight="1" thickTop="1" thickBot="1" x14ac:dyDescent="0.25">
      <c r="A367" s="1703" t="s">
        <v>525</v>
      </c>
      <c r="B367" s="1715"/>
      <c r="C367" s="1681">
        <f t="shared" ref="C367:L367" si="28">SUM(C352,C357,C365,C366)</f>
        <v>0</v>
      </c>
      <c r="D367" s="1681">
        <f t="shared" si="28"/>
        <v>0</v>
      </c>
      <c r="E367" s="1681">
        <f t="shared" si="28"/>
        <v>20</v>
      </c>
      <c r="F367" s="1681">
        <f t="shared" si="28"/>
        <v>0</v>
      </c>
      <c r="G367" s="1681">
        <f t="shared" si="28"/>
        <v>882705</v>
      </c>
      <c r="H367" s="1681">
        <f t="shared" si="28"/>
        <v>0</v>
      </c>
      <c r="I367" s="1681">
        <f t="shared" si="28"/>
        <v>5920</v>
      </c>
      <c r="J367" s="1681">
        <f t="shared" si="28"/>
        <v>0</v>
      </c>
      <c r="K367" s="1681">
        <f t="shared" si="28"/>
        <v>888645</v>
      </c>
      <c r="L367" s="1681">
        <f t="shared" si="28"/>
        <v>152943</v>
      </c>
    </row>
    <row r="368" spans="1:14" ht="13.5" thickTop="1" x14ac:dyDescent="0.2">
      <c r="A368" s="2206" t="s">
        <v>1052</v>
      </c>
      <c r="B368" s="2207"/>
      <c r="C368" s="655"/>
      <c r="D368" s="655"/>
      <c r="E368" s="627"/>
      <c r="F368" s="627"/>
      <c r="G368" s="627"/>
      <c r="H368" s="627"/>
      <c r="I368" s="627"/>
      <c r="J368" s="624"/>
      <c r="K368" s="1682">
        <f>'Revenues 9-14'!K275-'Expenditures 15-22'!K367</f>
        <v>-736079</v>
      </c>
      <c r="L368" s="655"/>
    </row>
  </sheetData>
  <sheetProtection algorithmName="SHA-512" hashValue="G4dXZuBjL8yQpMpwoN+bYEi6EQjfRKIv4agFVM6c9PcDdPknU/WJA+yLr2HjfJTVOSsJD/2hG5cKBnSZhE0jwA==" saltValue="DXoEFYu9/KwPw9ZAsKpPYg=="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4" type="noConversion"/>
  <printOptions headings="1" gridLinesSet="0"/>
  <pageMargins left="0.27" right="0" top="0.6" bottom="0.35" header="0.25" footer="0.1"/>
  <pageSetup scale="72" firstPageNumber="15" fitToHeight="9" orientation="landscape" useFirstPageNumber="1" r:id="rId1"/>
  <headerFooter>
    <oddHeader>&amp;L&amp;8Page &amp;P&amp;C&amp;"Arial,Bold"&amp;9STATEMENT OF EXPENDITURES DISBURSED/EXPENDITURES, BUDGET TO ACTUAL
FOR THE YEAR ENDING JUNE 30, 2018&amp;R&amp;8Page &amp;P</oddHeader>
    <oddFooter>&amp;L&amp;8See Notes to Financial Statements</oddFooter>
  </headerFooter>
  <rowBreaks count="6" manualBreakCount="6">
    <brk id="53" max="16383" man="1"/>
    <brk id="153" max="16383" man="1"/>
    <brk id="204" max="16383" man="1"/>
    <brk id="252"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rgetAudience xmlns="6ce3111e-7420-4802-b50a-75d4e9a0b980">
      <Value>1</Value>
    </TargetAudience>
    <Archive_x0020_Date xmlns="6ce3111e-7420-4802-b50a-75d4e9a0b980" xsi:nil="true"/>
    <ParagraphBeforeLink xmlns="d21dc803-237d-4c68-8692-8d731fd29118" xsi:nil="true"/>
    <Archive xmlns="6ce3111e-7420-4802-b50a-75d4e9a0b980">false</Archive>
    <Year xmlns="d21dc803-237d-4c68-8692-8d731fd29118" xsi:nil="true"/>
    <PublishingStartDate xmlns="http://schemas.microsoft.com/sharepoint/v3" xsi:nil="true"/>
    <OriginalModifiedDate xmlns="d21dc803-237d-4c68-8692-8d731fd29118" xsi:nil="true"/>
    <Heading xmlns="6ce3111e-7420-4802-b50a-75d4e9a0b980" xsi:nil="true"/>
    <AdditionalPageInfo xmlns="d21dc803-237d-4c68-8692-8d731fd29118" xsi:nil="true"/>
    <DisplayPage xmlns="d21dc803-237d-4c68-8692-8d731fd29118" xsi:nil="true"/>
    <TaxCatchAll xmlns="6ce3111e-7420-4802-b50a-75d4e9a0b980"/>
    <MediaType xmlns="6ce3111e-7420-4802-b50a-75d4e9a0b980"/>
    <TaxKeywordTaxHTField xmlns="6ce3111e-7420-4802-b50a-75d4e9a0b980">
      <Terms xmlns="http://schemas.microsoft.com/office/infopath/2007/PartnerControls"/>
    </TaxKeywordTaxHTField>
    <Linked_x0020_on_x0020_Page xmlns="d21dc803-237d-4c68-8692-8d731fd29118">true</Linked_x0020_on_x0020_Page>
    <Grouping xmlns="d21dc803-237d-4c68-8692-8d731fd29118" xsi:nil="true"/>
    <Subgroup xmlns="d21dc803-237d-4c68-8692-8d731fd29118" xsi:nil="true"/>
    <Sort_x0020_Order xmlns="6ce3111e-7420-4802-b50a-75d4e9a0b980">999</Sort_x0020_Order>
    <LifetimeViews xmlns="d21dc803-237d-4c68-8692-8d731fd29118" xsi:nil="true"/>
    <ParagraphAfterLink xmlns="d21dc803-237d-4c68-8692-8d731fd29118" xsi:nil="true"/>
    <Divisions xmlns="4d435f69-8686-490b-bd6d-b153bf22ab50">40</Divisions>
    <PublishingExpirationDate xmlns="http://schemas.microsoft.com/sharepoint/v3" xsi:nil="true"/>
    <ModifiedBeforeRun xmlns="d21dc803-237d-4c68-8692-8d731fd29118" xsi:nil="true"/>
    <Subbullet xmlns="d21dc803-237d-4c68-8692-8d731fd29118" xsi:nil="true"/>
    <ActiveInactive xmlns="d21dc803-237d-4c68-8692-8d731fd29118">true</ActiveInactive>
    <Subheading xmlns="d21dc803-237d-4c68-8692-8d731fd2911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142579-2840-42B2-83A9-B606BEA674E0}">
  <ds:schemaRefs>
    <ds:schemaRef ds:uri="http://schemas.microsoft.com/sharepoint/v3/contenttype/forms"/>
  </ds:schemaRefs>
</ds:datastoreItem>
</file>

<file path=customXml/itemProps2.xml><?xml version="1.0" encoding="utf-8"?>
<ds:datastoreItem xmlns:ds="http://schemas.openxmlformats.org/officeDocument/2006/customXml" ds:itemID="{A7F99216-9548-403A-A1AC-CF57406FE3BA}">
  <ds:schemaRefs>
    <ds:schemaRef ds:uri="http://schemas.microsoft.com/office/infopath/2007/PartnerControls"/>
    <ds:schemaRef ds:uri="http://purl.org/dc/elements/1.1/"/>
    <ds:schemaRef ds:uri="4d435f69-8686-490b-bd6d-b153bf22ab50"/>
    <ds:schemaRef ds:uri="http://purl.org/dc/dcmitype/"/>
    <ds:schemaRef ds:uri="http://schemas.microsoft.com/office/2006/documentManagement/types"/>
    <ds:schemaRef ds:uri="http://schemas.openxmlformats.org/package/2006/metadata/core-properties"/>
    <ds:schemaRef ds:uri="http://schemas.microsoft.com/sharepoint/v3"/>
    <ds:schemaRef ds:uri="d21dc803-237d-4c68-8692-8d731fd29118"/>
    <ds:schemaRef ds:uri="http://www.w3.org/XML/1998/namespace"/>
    <ds:schemaRef ds:uri="6ce3111e-7420-4802-b50a-75d4e9a0b980"/>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9C8F8F6E-0189-4C72-8E62-9BD7AC1E0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56</vt:i4>
      </vt:variant>
      <vt:variant>
        <vt:lpstr>Named Ranges</vt:lpstr>
      </vt:variant>
      <vt:variant>
        <vt:i4>34</vt:i4>
      </vt:variant>
    </vt:vector>
  </HeadingPairs>
  <TitlesOfParts>
    <vt:vector size="90"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 SEFA</vt:lpstr>
      <vt:lpstr> SEFA (2)</vt:lpstr>
      <vt:lpstr> SEFA (3)</vt:lpstr>
      <vt:lpstr> SEFA (4)</vt:lpstr>
      <vt:lpstr> SEFA (5)</vt:lpstr>
      <vt:lpstr> SEFA (6)</vt:lpstr>
      <vt:lpstr>SEFA NOTES</vt:lpstr>
      <vt:lpstr>SF&amp;QC Sec-1</vt:lpstr>
      <vt:lpstr>SF&amp;QC Sec-2</vt:lpstr>
      <vt:lpstr>SF&amp;QC Sec-2 (2)</vt:lpstr>
      <vt:lpstr>SF&amp;QC Sec-2 (3)</vt:lpstr>
      <vt:lpstr>SF&amp;QC Sec-2 (4)</vt:lpstr>
      <vt:lpstr>SF&amp;QC Sec-2 (5)</vt:lpstr>
      <vt:lpstr>SF&amp;QC Sec-2 (6)</vt:lpstr>
      <vt:lpstr>SF&amp;QC Sec-3</vt:lpstr>
      <vt:lpstr>SF&amp;QC Sec-3 (1)</vt:lpstr>
      <vt:lpstr>SF&amp;QC Sec-3 (2)</vt:lpstr>
      <vt:lpstr>SF&amp;QC Sec-3 (3)</vt:lpstr>
      <vt:lpstr>SF&amp;QC Sec-3 (4)</vt:lpstr>
      <vt:lpstr>SF&amp;QC Sec-3 (12)</vt:lpstr>
      <vt:lpstr>SF&amp;QC Sec-3 (5)</vt:lpstr>
      <vt:lpstr>SF&amp;QC Sec-3 (13)</vt:lpstr>
      <vt:lpstr>SF&amp;QC Sec-3 (6)</vt:lpstr>
      <vt:lpstr>SF&amp;QC Sec-3 (7)</vt:lpstr>
      <vt:lpstr>SF&amp;QC Sec-3 (8)</vt:lpstr>
      <vt:lpstr>SF&amp;QC Sec-3 (9)</vt:lpstr>
      <vt:lpstr>SF&amp;QC Sec-3 (10)</vt:lpstr>
      <vt:lpstr>SF&amp;QC Sec-3 (14)</vt:lpstr>
      <vt:lpstr>SSPAF</vt:lpstr>
      <vt:lpstr>' SEFA'!Print_Area</vt:lpstr>
      <vt:lpstr>' SEFA (2)'!Print_Area</vt:lpstr>
      <vt:lpstr>' SEFA (3)'!Print_Area</vt:lpstr>
      <vt:lpstr>' SEFA (4)'!Print_Area</vt:lpstr>
      <vt:lpstr>' SEFA (5)'!Print_Area</vt:lpstr>
      <vt:lpstr>' SEFA (6)'!Print_Area</vt:lpstr>
      <vt:lpstr>'SEFA NOTES'!Print_Area</vt:lpstr>
      <vt:lpstr>'SEFA Reconcile'!Print_Area</vt:lpstr>
      <vt:lpstr>'SF&amp;QC Sec-1'!Print_Area</vt:lpstr>
      <vt:lpstr>'SF&amp;QC Sec-3'!Print_Area</vt:lpstr>
      <vt:lpstr>'SF&amp;QC Sec-3 (1)'!Print_Area</vt:lpstr>
      <vt:lpstr>'SF&amp;QC Sec-3 (10)'!Print_Area</vt:lpstr>
      <vt:lpstr>'SF&amp;QC Sec-3 (12)'!Print_Area</vt:lpstr>
      <vt:lpstr>'SF&amp;QC Sec-3 (13)'!Print_Area</vt:lpstr>
      <vt:lpstr>'SF&amp;QC Sec-3 (14)'!Print_Area</vt:lpstr>
      <vt:lpstr>'SF&amp;QC Sec-3 (2)'!Print_Area</vt:lpstr>
      <vt:lpstr>'SF&amp;QC Sec-3 (3)'!Print_Area</vt:lpstr>
      <vt:lpstr>'SF&amp;QC Sec-3 (4)'!Print_Area</vt:lpstr>
      <vt:lpstr>'SF&amp;QC Sec-3 (5)'!Print_Area</vt:lpstr>
      <vt:lpstr>'SF&amp;QC Sec-3 (6)'!Print_Area</vt:lpstr>
      <vt:lpstr>'SF&amp;QC Sec-3 (7)'!Print_Area</vt:lpstr>
      <vt:lpstr>'SF&amp;QC Sec-3 (8)'!Print_Area</vt:lpstr>
      <vt:lpstr>'SF&amp;QC Sec-3 (9)'!Print_Area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2018-11-09T19:12:48Z</cp:lastPrinted>
  <dcterms:created xsi:type="dcterms:W3CDTF">2003-10-29T19:06:34Z</dcterms:created>
  <dcterms:modified xsi:type="dcterms:W3CDTF">2018-11-29T15:29:08Z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0x010100552988822C20F24E83D1DD5E4C131AA0</vt:lpwstr>
  </property>
</Properties>
</file>