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60" windowWidth="19215" windowHeight="63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F52" i="34" s="1"/>
  <c r="K130" i="29"/>
  <c r="K185" i="29"/>
  <c r="K122" i="29"/>
  <c r="F15" i="145" s="1"/>
  <c r="F19" i="145" s="1"/>
  <c r="K67" i="29"/>
  <c r="E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5" i="127"/>
  <c r="B66" i="127"/>
  <c r="D26" i="108"/>
  <c r="E26" i="108"/>
  <c r="F26" i="108"/>
  <c r="G26" i="108"/>
  <c r="D27" i="108"/>
  <c r="E27" i="108"/>
  <c r="F27" i="108"/>
  <c r="G27" i="108"/>
  <c r="F31" i="108"/>
  <c r="F36" i="108"/>
  <c r="F37" i="108"/>
  <c r="G28" i="108"/>
  <c r="G30" i="108"/>
  <c r="D31" i="108"/>
  <c r="D36" i="108"/>
  <c r="D37" i="108"/>
  <c r="E31" i="108"/>
  <c r="G31"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c r="D5120" i="106" s="1"/>
  <c r="D108" i="5"/>
  <c r="B5355" i="106" s="1"/>
  <c r="D5355" i="106" s="1"/>
  <c r="E108" i="5"/>
  <c r="B5526" i="106" s="1"/>
  <c r="D5526" i="106" s="1"/>
  <c r="F108" i="5"/>
  <c r="B5587" i="106" s="1"/>
  <c r="D5587" i="106" s="1"/>
  <c r="G108" i="5"/>
  <c r="B5737" i="106"/>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5" i="4"/>
  <c r="B6032" i="106" s="1"/>
  <c r="D6032"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0" i="34"/>
  <c r="F128" i="34"/>
  <c r="B5847" i="106"/>
  <c r="D5847" i="106" s="1"/>
  <c r="B5752" i="106"/>
  <c r="D5752" i="106" s="1"/>
  <c r="B5599" i="106"/>
  <c r="D5599" i="106" s="1"/>
  <c r="K274" i="5"/>
  <c r="H173" i="5"/>
  <c r="B5906" i="106" s="1"/>
  <c r="D5906" i="106" s="1"/>
  <c r="F106" i="34"/>
  <c r="H6" i="4"/>
  <c r="B2656" i="106" s="1"/>
  <c r="D2656" i="106" s="1"/>
  <c r="B1746" i="106"/>
  <c r="D1746" i="106" s="1"/>
  <c r="D17" i="7"/>
  <c r="B4104" i="106" s="1"/>
  <c r="D4104" i="106" s="1"/>
  <c r="D12" i="7"/>
  <c r="B1769" i="106" s="1"/>
  <c r="D1769" i="106" s="1"/>
  <c r="D15" i="7"/>
  <c r="B1772" i="106" s="1"/>
  <c r="D1772" i="106" s="1"/>
  <c r="F127" i="34" l="1"/>
  <c r="B6006" i="106"/>
  <c r="D6006" i="106" s="1"/>
  <c r="K173" i="5"/>
  <c r="K6" i="4" s="1"/>
  <c r="B3570" i="106" s="1"/>
  <c r="D3570" i="106" s="1"/>
  <c r="G172" i="5"/>
  <c r="F172" i="5"/>
  <c r="B5644" i="106" s="1"/>
  <c r="D5644" i="106" s="1"/>
  <c r="E109" i="5"/>
  <c r="E4" i="4" s="1"/>
  <c r="B2630" i="106" s="1"/>
  <c r="D2630" i="106" s="1"/>
  <c r="H109" i="5"/>
  <c r="L312" i="29"/>
  <c r="D7245" i="106"/>
  <c r="I342" i="29"/>
  <c r="B7222" i="106" s="1"/>
  <c r="D7222" i="106" s="1"/>
  <c r="B3649" i="106"/>
  <c r="D3649" i="106" s="1"/>
  <c r="G367" i="29"/>
  <c r="B3621" i="106"/>
  <c r="D3621" i="106" s="1"/>
  <c r="C367" i="29"/>
  <c r="B1329" i="106"/>
  <c r="D1329" i="106" s="1"/>
  <c r="F61" i="34"/>
  <c r="K24" i="12"/>
  <c r="K350" i="29"/>
  <c r="K76" i="4"/>
  <c r="B3586" i="106" s="1"/>
  <c r="D3586" i="106" s="1"/>
  <c r="G210" i="29"/>
  <c r="E174" i="29"/>
  <c r="B1309" i="106" s="1"/>
  <c r="D1309" i="106" s="1"/>
  <c r="F131" i="34"/>
  <c r="L367" i="29"/>
  <c r="L342" i="29"/>
  <c r="F19" i="7"/>
  <c r="B1807" i="106" s="1"/>
  <c r="D1807" i="106" s="1"/>
  <c r="L15" i="11"/>
  <c r="B3459" i="106" s="1"/>
  <c r="D3459" i="106" s="1"/>
  <c r="L13" i="11"/>
  <c r="B2060" i="106" s="1"/>
  <c r="D2060" i="106" s="1"/>
  <c r="H29" i="118"/>
  <c r="K28" i="118" s="1"/>
  <c r="O27" i="118" s="1"/>
  <c r="O29" i="118" s="1"/>
  <c r="D11" i="37"/>
  <c r="B5232" i="106"/>
  <c r="D5232" i="106" s="1"/>
  <c r="G14" i="4"/>
  <c r="B2609" i="106" s="1"/>
  <c r="D2609" i="106" s="1"/>
  <c r="F72" i="34"/>
  <c r="B1410" i="106"/>
  <c r="D1410" i="106" s="1"/>
  <c r="G29" i="108"/>
  <c r="E29" i="108"/>
  <c r="K184" i="29"/>
  <c r="F13" i="4" s="1"/>
  <c r="B2596" i="106" s="1"/>
  <c r="D2596" i="106" s="1"/>
  <c r="G38" i="108"/>
  <c r="E38" i="108"/>
  <c r="E28" i="108"/>
  <c r="B1223" i="106"/>
  <c r="D1223" i="106" s="1"/>
  <c r="C14" i="4"/>
  <c r="B2558" i="106" s="1"/>
  <c r="D2558" i="106" s="1"/>
  <c r="G33" i="108"/>
  <c r="E30" i="108"/>
  <c r="F28" i="108"/>
  <c r="F41" i="108" s="1"/>
  <c r="G43" i="108" s="1"/>
  <c r="D11" i="7"/>
  <c r="B1768" i="106" s="1"/>
  <c r="D1768" i="106" s="1"/>
  <c r="B6025" i="106"/>
  <c r="D6025" i="106" s="1"/>
  <c r="H4" i="4"/>
  <c r="B2655" i="106" s="1"/>
  <c r="D2655" i="106" s="1"/>
  <c r="B5886" i="106"/>
  <c r="D5886" i="106" s="1"/>
  <c r="G109" i="5"/>
  <c r="F111" i="34"/>
  <c r="D7" i="7"/>
  <c r="B1763" i="106" s="1"/>
  <c r="D1763" i="106" s="1"/>
  <c r="H76" i="4"/>
  <c r="B3298" i="106" s="1"/>
  <c r="D3298" i="106" s="1"/>
  <c r="D109" i="5"/>
  <c r="B4411" i="106"/>
  <c r="D4411" i="106" s="1"/>
  <c r="C172" i="5"/>
  <c r="B5214" i="106" s="1"/>
  <c r="D5214" i="106" s="1"/>
  <c r="B5096" i="106"/>
  <c r="D5096" i="106" s="1"/>
  <c r="C109" i="5"/>
  <c r="B5121" i="106" s="1"/>
  <c r="D5121" i="106" s="1"/>
  <c r="B5066" i="106"/>
  <c r="D5066"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73" i="5"/>
  <c r="J24" i="12"/>
  <c r="B7730" i="106"/>
  <c r="D7730" i="106" s="1"/>
  <c r="H275" i="5"/>
  <c r="B5914" i="106"/>
  <c r="D5914" i="106" s="1"/>
  <c r="J7" i="4"/>
  <c r="B2657" i="106"/>
  <c r="D2657" i="106" s="1"/>
  <c r="H8" i="4"/>
  <c r="D274" i="5"/>
  <c r="B7270" i="106"/>
  <c r="D7255" i="106" l="1"/>
  <c r="D7253" i="106"/>
  <c r="D7252" i="106"/>
  <c r="F275" i="5"/>
  <c r="B3670" i="106"/>
  <c r="D3670" i="106" s="1"/>
  <c r="K352" i="29"/>
  <c r="G173" i="5"/>
  <c r="B5770" i="106"/>
  <c r="D5770" i="106" s="1"/>
  <c r="B1365" i="106"/>
  <c r="D1365" i="106" s="1"/>
  <c r="F65" i="34"/>
  <c r="H367" i="29"/>
  <c r="B3660" i="106" s="1"/>
  <c r="D3660" i="106" s="1"/>
  <c r="B7733" i="106"/>
  <c r="D7733" i="106" s="1"/>
  <c r="K26" i="12"/>
  <c r="B7743" i="106" s="1"/>
  <c r="D7743" i="106" s="1"/>
  <c r="L114" i="29"/>
  <c r="L16" i="11"/>
  <c r="B2061" i="106" s="1"/>
  <c r="D2061" i="106" s="1"/>
  <c r="K342" i="29"/>
  <c r="F13" i="34" s="1"/>
  <c r="B1381" i="106"/>
  <c r="D1381" i="106" s="1"/>
  <c r="C114" i="29"/>
  <c r="B757" i="106" s="1"/>
  <c r="D757" i="106" s="1"/>
  <c r="B6024" i="106"/>
  <c r="D6024" i="106" s="1"/>
  <c r="G4" i="4"/>
  <c r="B2603" i="106" s="1"/>
  <c r="D2603" i="106" s="1"/>
  <c r="B5356" i="106"/>
  <c r="D5356" i="106" s="1"/>
  <c r="D4" i="4"/>
  <c r="B2564" i="106" s="1"/>
  <c r="D2564" i="106" s="1"/>
  <c r="C173" i="5"/>
  <c r="C4" i="4"/>
  <c r="B2551" i="106" s="1"/>
  <c r="D2551" i="106" s="1"/>
  <c r="D19" i="7"/>
  <c r="B1775" i="106" s="1"/>
  <c r="D1775"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B5778" i="106" l="1"/>
  <c r="D5778" i="106" s="1"/>
  <c r="G6" i="4"/>
  <c r="B2604" i="106" s="1"/>
  <c r="D2604" i="106" s="1"/>
  <c r="K13" i="4"/>
  <c r="B3572" i="106" s="1"/>
  <c r="D3572" i="106" s="1"/>
  <c r="B3672" i="106"/>
  <c r="D3672" i="106" s="1"/>
  <c r="K367" i="29"/>
  <c r="B7224" i="106"/>
  <c r="D7224" i="106" s="1"/>
  <c r="J17" i="4"/>
  <c r="B6227" i="106" s="1"/>
  <c r="D6227" i="106" s="1"/>
  <c r="E41" i="108"/>
  <c r="E44" i="108" s="1"/>
  <c r="E45" i="108" s="1"/>
  <c r="G41" i="108"/>
  <c r="G44" i="108" s="1"/>
  <c r="G45" i="108" s="1"/>
  <c r="J8" i="4"/>
  <c r="J10" i="4" s="1"/>
  <c r="B6225" i="106" s="1"/>
  <c r="D6225" i="106" s="1"/>
  <c r="F8" i="4"/>
  <c r="D8" i="14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J20" i="4" l="1"/>
  <c r="J78" i="4" s="1"/>
  <c r="F76" i="34"/>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8" i="146"/>
  <c r="B6215" i="106" l="1"/>
  <c r="D6215" i="106" s="1"/>
  <c r="J41" i="3"/>
  <c r="F179" i="34"/>
  <c r="F79" i="34"/>
  <c r="B3588" i="106"/>
  <c r="D3588" i="106" s="1"/>
  <c r="K81" i="4"/>
  <c r="K39" i="3" s="1"/>
  <c r="F78" i="4"/>
  <c r="B2601" i="106"/>
  <c r="D2601" i="106" s="1"/>
  <c r="B3320" i="106"/>
  <c r="D3320" i="106" s="1"/>
  <c r="I81" i="4"/>
  <c r="I39" i="3" s="1"/>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912" i="106" l="1"/>
  <c r="D2912" i="106" s="1"/>
  <c r="I41" i="3"/>
  <c r="B3567" i="106"/>
  <c r="D3567" i="106" s="1"/>
  <c r="K41" i="3"/>
  <c r="D51" i="36"/>
  <c r="B6216" i="106"/>
  <c r="D6216" i="106" s="1"/>
  <c r="B123" i="106"/>
  <c r="D123" i="106" s="1"/>
  <c r="D41" i="3"/>
  <c r="B212" i="106"/>
  <c r="D212" i="106" s="1"/>
  <c r="H41" i="3"/>
  <c r="B3278" i="106"/>
  <c r="D3278" i="106" s="1"/>
  <c r="E81" i="4"/>
  <c r="E39" i="3" s="1"/>
  <c r="B3233" i="106"/>
  <c r="D3233" i="106" s="1"/>
  <c r="C81" i="4"/>
  <c r="C39" i="3" s="1"/>
  <c r="A7263" i="106"/>
  <c r="D7262" i="106"/>
  <c r="B1700" i="106"/>
  <c r="D1700" i="106" s="1"/>
  <c r="H82" i="4"/>
  <c r="D62" i="36"/>
  <c r="O16"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3568" i="106"/>
  <c r="D3568" i="106" s="1"/>
  <c r="D52" i="36"/>
  <c r="B2913" i="106"/>
  <c r="D2913" i="106" s="1"/>
  <c r="D50" i="36"/>
  <c r="B170" i="106"/>
  <c r="D170" i="106" s="1"/>
  <c r="F41" i="3"/>
  <c r="B124" i="106"/>
  <c r="D124" i="106" s="1"/>
  <c r="D45" i="36"/>
  <c r="B213" i="106"/>
  <c r="D213" i="106" s="1"/>
  <c r="D49" i="36"/>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41" i="106"/>
  <c r="D141" i="106" s="1"/>
  <c r="D46" i="36"/>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<sst xmlns="http://schemas.openxmlformats.org/spreadsheetml/2006/main" count="5060" uniqueCount="2122">
  <si>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</si>
  <si>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</si>
  <si>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</si>
  <si>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</si>
  <si>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</si>
  <si>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</si>
  <si>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</si>
  <si>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</si>
  <si>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</si>
  <si>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</si>
  <si>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</si>
  <si>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</si>
  <si>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</si>
  <si>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</si>
  <si>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</si>
  <si>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</si>
  <si>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</si>
  <si>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</si>
  <si>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</si>
  <si>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</si>
  <si>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</si>
  <si>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</si>
  <si>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</si>
  <si>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</si>
  <si>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</si>
  <si>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</si>
  <si>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</si>
  <si>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</si>
  <si>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</si>
  <si>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</si>
  <si>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</si>
  <si>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</si>
  <si>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</si>
  <si>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</si>
  <si>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</si>
  <si>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</si>
  <si>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</si>
  <si>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</si>
  <si>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</si>
  <si>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</si>
  <si>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</si>
  <si>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</si>
  <si>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</si>
  <si>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</si>
  <si>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</si>
  <si>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</si>
  <si>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</si>
  <si>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</si>
  <si>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</si>
  <si>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</si>
  <si>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</si>
  <si>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</si>
  <si>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</si>
  <si>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</si>
  <si>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</si>
  <si>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</si>
  <si>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</si>
  <si>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</si>
  <si>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</si>
  <si>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</si>
  <si>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</si>
  <si>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</si>
  <si>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</si>
  <si>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</si>
  <si>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</si>
  <si>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</si>
  <si>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</si>
  <si>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</si>
  <si>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</si>
  <si>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</si>
  <si>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</si>
  <si>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</si>
  <si>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</si>
  <si>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</si>
  <si>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</si>
  <si>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</si>
  <si>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</si>
  <si>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</si>
  <si>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</si>
  <si>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</si>
  <si>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</si>
  <si>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</si>
  <si>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</si>
  <si>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</si>
  <si>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</si>
  <si>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</si>
  <si>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</si>
  <si>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</si>
  <si>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</si>
  <si>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</si>
  <si>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</si>
  <si>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</si>
  <si>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</si>
  <si>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</si>
  <si>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</si>
  <si>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</si>
  <si>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</si>
  <si>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</si>
  <si>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</si>
  <si>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</si>
  <si>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</si>
  <si>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</si>
  <si>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</si>
  <si>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</si>
  <si>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</si>
  <si>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</si>
  <si>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</si>
  <si>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</si>
  <si>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</si>
  <si>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</si>
  <si>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</si>
  <si>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</si>
  <si>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</si>
  <si>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</si>
  <si>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</si>
  <si>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</si>
  <si>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</si>
  <si>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</si>
  <si>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</si>
  <si>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</si>
  <si>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</si>
  <si>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</si>
  <si>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</si>
  <si>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</si>
  <si>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</si>
  <si>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</si>
  <si>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</si>
  <si>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</si>
  <si>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</si>
  <si>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</si>
  <si>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</si>
  <si>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</si>
  <si>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</si>
  <si>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</si>
  <si>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</si>
  <si>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</si>
  <si>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</si>
  <si>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</si>
  <si>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</si>
  <si>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</si>
  <si>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</si>
  <si>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</si>
  <si>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</si>
  <si>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</si>
  <si>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</si>
  <si>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</si>
  <si>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</si>
  <si>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</si>
  <si>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</si>
  <si>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</si>
  <si>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</si>
  <si>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</si>
  <si>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</si>
  <si>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</si>
  <si>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</si>
  <si>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</si>
  <si>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</si>
  <si>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</si>
  <si>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</si>
  <si>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</si>
  <si>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</si>
  <si>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</si>
  <si>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</si>
  <si>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</si>
  <si>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</si>
  <si>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</si>
  <si>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</si>
  <si>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</si>
  <si>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</si>
  <si>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</si>
  <si>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</si>
  <si>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</si>
  <si>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</si>
  <si>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</si>
  <si>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</si>
  <si>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</si>
  <si>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</si>
  <si>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</si>
  <si>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</si>
  <si>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</si>
  <si>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</si>
  <si>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</si>
  <si>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</si>
  <si>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</si>
  <si>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</si>
  <si>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</si>
  <si>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</si>
  <si>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</si>
  <si>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</si>
  <si>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</si>
  <si>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</si>
  <si>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</si>
  <si>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</si>
  <si>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</si>
  <si>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</si>
  <si>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</si>
  <si>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</si>
  <si>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</si>
  <si>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</si>
  <si>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</si>
  <si>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</si>
  <si>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</si>
  <si>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</si>
  <si>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</si>
  <si>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</si>
  <si>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</si>
  <si>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</si>
  <si>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</si>
  <si>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</si>
  <si>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</si>
  <si>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</si>
  <si>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</si>
  <si>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</si>
  <si>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</si>
  <si>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</si>
  <si>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</si>
  <si>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</si>
  <si>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</si>
  <si>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</si>
  <si>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</si>
  <si>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</si>
  <si>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</si>
  <si>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</si>
  <si>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</si>
  <si>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</si>
  <si>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</si>
  <si>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</si>
  <si>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</si>
  <si>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</si>
  <si>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</si>
  <si>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</si>
  <si>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</si>
  <si>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</si>
  <si>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</si>
  <si>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</si>
  <si>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</si>
  <si>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</si>
  <si>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</si>
  <si>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</si>
  <si>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</si>
  <si>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</si>
  <si>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</si>
  <si>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</si>
  <si>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</si>
  <si>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</si>
  <si>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</si>
  <si>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</si>
  <si>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</si>
  <si>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</si>
  <si>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</si>
  <si>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</si>
  <si>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</si>
  <si>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</si>
  <si>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</si>
  <si>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</si>
  <si>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</si>
  <si>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</si>
  <si>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</si>
  <si>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</si>
  <si>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</si>
  <si>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</si>
  <si>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</si>
  <si>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</si>
  <si>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</si>
  <si>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</si>
  <si>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</si>
  <si>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</si>
  <si>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</si>
  <si>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</si>
  <si>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</si>
  <si>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</si>
  <si>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</si>
  <si>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</si>
  <si>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</si>
  <si>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</si>
  <si>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</si>
  <si>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</si>
  <si>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</si>
  <si>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</si>
  <si>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</si>
  <si>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</si>
  <si>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</si>
  <si>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</si>
  <si>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</si>
  <si>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</si>
  <si>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</si>
  <si>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</si>
  <si>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</si>
  <si>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</si>
  <si>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</si>
  <si>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</si>
  <si>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</si>
  <si>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</si>
  <si>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</si>
  <si>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</si>
  <si>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</si>
  <si>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</si>
  <si>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</si>
  <si>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</si>
  <si>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</si>
  <si>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</si>
  <si>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</si>
  <si>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</si>
  <si>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</si>
  <si>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</si>
  <si>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</si>
  <si>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</si>
  <si>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</si>
  <si>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</si>
  <si>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</si>
  <si>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</si>
  <si>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</si>
  <si>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</si>
  <si>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</si>
  <si>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</si>
  <si>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</si>
  <si>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</si>
  <si>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</si>
  <si>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</si>
  <si>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</si>
  <si>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</si>
  <si>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</si>
  <si>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</si>
  <si>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</si>
  <si>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</si>
  <si>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</si>
  <si>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</si>
  <si>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</si>
  <si>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</si>
  <si>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</si>
  <si>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</si>
  <si>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</si>
  <si>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</si>
  <si>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</si>
  <si>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</si>
  <si>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</si>
  <si>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</si>
  <si>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</si>
  <si>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</si>
  <si>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</si>
  <si>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</si>
  <si>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</si>
  <si>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</si>
  <si>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</si>
  <si>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</si>
  <si>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</si>
  <si>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</si>
  <si>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</si>
  <si>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</si>
  <si>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</si>
  <si>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</si>
  <si>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</si>
  <si>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</si>
  <si>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</si>
  <si>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</si>
  <si>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</si>
  <si>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</si>
  <si>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</si>
  <si>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</si>
  <si>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</si>
  <si>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</si>
  <si>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</si>
  <si>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</si>
  <si>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</si>
  <si>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</si>
  <si>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</si>
  <si>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</si>
  <si>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</si>
  <si>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</si>
  <si>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</si>
  <si>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</si>
  <si>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</si>
  <si>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</si>
  <si>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</si>
  <si>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</si>
  <si>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</si>
  <si>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</si>
  <si>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</si>
  <si>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</si>
  <si>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</si>
  <si>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</si>
  <si>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</si>
  <si>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</si>
  <si>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</si>
  <si>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</si>
  <si>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</si>
  <si>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</si>
  <si>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</si>
  <si>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</si>
  <si>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</si>
  <si>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</si>
  <si>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</si>
  <si>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</si>
  <si>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</si>
  <si>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</si>
  <si>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</si>
  <si>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</si>
  <si>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</si>
  <si>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</si>
  <si>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</si>
  <si>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</si>
  <si>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</si>
  <si>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</si>
  <si>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</si>
  <si>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</si>
  <si>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</si>
  <si>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</si>
  <si>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</si>
  <si>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</si>
  <si>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</si>
  <si>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</si>
  <si>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</si>
  <si>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</si>
  <si>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</si>
  <si>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</si>
  <si>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</si>
  <si>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</si>
  <si>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</si>
  <si>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</si>
  <si>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</si>
  <si>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</si>
  <si>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</si>
  <si>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</si>
  <si>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</si>
  <si>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</si>
  <si>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</si>
  <si>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</si>
  <si>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</si>
  <si>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</si>
  <si>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</si>
  <si>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</si>
  <si>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</si>
  <si>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</si>
  <si>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</si>
  <si>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</si>
  <si>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</si>
  <si>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</si>
  <si>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</si>
  <si>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</si>
  <si>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</si>
  <si>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</si>
  <si>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</si>
  <si>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</si>
  <si>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</si>
  <si>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</si>
  <si>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</si>
  <si>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</si>
  <si>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</si>
  <si>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</si>
  <si>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</si>
  <si>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</si>
  <si>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</si>
  <si>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</si>
  <si>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</si>
  <si>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</si>
  <si>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</si>
  <si>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</si>
  <si>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</si>
  <si>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</si>
  <si>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</si>
  <si>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</si>
  <si>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</si>
  <si>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</si>
  <si>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</si>
  <si>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</si>
  <si>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</si>
  <si>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</si>
  <si>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</si>
  <si>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</si>
  <si>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</si>
  <si>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</si>
  <si>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</si>
  <si>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</si>
  <si>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</si>
  <si>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</si>
  <si>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</si>
  <si>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</si>
  <si>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</si>
  <si>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</si>
  <si>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</si>
  <si>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</si>
  <si>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</si>
  <si>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</si>
  <si>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</si>
  <si>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</si>
  <si>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</si>
  <si>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</si>
  <si>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</si>
  <si>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</si>
  <si>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</si>
  <si>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</si>
  <si>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</si>
  <si>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</si>
  <si>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</si>
  <si>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</si>
  <si>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</si>
  <si>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</si>
  <si>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</si>
  <si>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</si>
  <si>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</si>
  <si>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</si>
  <si>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</si>
  <si>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</si>
  <si>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</si>
  <si>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</si>
  <si>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</si>
  <si>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</si>
  <si>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</si>
  <si>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</si>
  <si>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</si>
  <si>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</si>
  <si>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</si>
  <si>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</si>
  <si>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</si>
  <si>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</si>
  <si>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</si>
  <si>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</si>
  <si>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</si>
  <si>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</si>
  <si>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</si>
  <si>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</si>
  <si>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</si>
  <si>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</si>
  <si>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</si>
  <si>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</si>
  <si>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</si>
  <si>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</si>
  <si>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</si>
  <si>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</si>
  <si>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</si>
  <si>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</si>
  <si>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</si>
  <si>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</si>
  <si>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</si>
  <si>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</si>
  <si>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</si>
  <si>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</si>
  <si>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</si>
  <si>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</si>
  <si>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</si>
  <si>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</si>
  <si>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</si>
  <si>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</si>
  <si>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</si>
  <si>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</si>
  <si>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</si>
  <si>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</si>
  <si>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</si>
  <si>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</si>
  <si>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</si>
  <si>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</si>
  <si>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</si>
  <si>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</si>
  <si>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</si>
  <si>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</si>
  <si>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</si>
  <si>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</si>
  <si>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</si>
  <si>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</si>
  <si>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</si>
  <si>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</si>
  <si>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</si>
  <si>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</si>
  <si>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</si>
  <si>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</si>
  <si>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</si>
  <si>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</si>
  <si>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</si>
  <si>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</si>
  <si>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</si>
  <si>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</si>
  <si>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</si>
  <si>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</si>
  <si>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</si>
  <si>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</si>
  <si>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</si>
  <si>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</si>
  <si>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</si>
  <si>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</si>
  <si>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</si>
  <si>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</si>
  <si>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</si>
  <si>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</si>
  <si>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</si>
  <si>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</si>
  <si>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</si>
  <si>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</si>
  <si>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</si>
  <si>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</si>
  <si>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</si>
  <si>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</si>
  <si>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</si>
  <si>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</si>
  <si>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</si>
  <si>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</si>
  <si>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</si>
  <si>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</si>
  <si>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</si>
  <si>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</si>
  <si>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</si>
  <si>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</si>
  <si>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</si>
  <si>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</si>
  <si>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</si>
  <si>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</si>
  <si>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</si>
  <si>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</si>
  <si>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</si>
  <si>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</si>
  <si>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</si>
  <si>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</si>
  <si>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</si>
  <si>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</si>
  <si>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</si>
  <si>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</si>
  <si>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</si>
  <si>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</si>
  <si>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</si>
  <si>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</si>
  <si>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</si>
  <si>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</si>
  <si>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</si>
  <si>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</si>
  <si>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</si>
  <si>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</si>
  <si>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</si>
  <si>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</si>
  <si>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</si>
  <si>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</si>
  <si>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</si>
  <si>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</si>
  <si>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</si>
  <si>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</si>
  <si>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</si>
  <si>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</si>
  <si>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</si>
  <si>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</si>
  <si>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</si>
  <si>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</si>
  <si>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</si>
  <si>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</si>
  <si>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</si>
  <si>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</si>
  <si>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</si>
  <si>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</si>
  <si>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</si>
  <si>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</si>
  <si>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</si>
  <si>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</si>
  <si>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</si>
  <si>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</si>
  <si>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</si>
  <si>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</si>
  <si>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</si>
  <si>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</si>
  <si>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</si>
  <si>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</si>
  <si>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</si>
  <si>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</si>
  <si>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</si>
  <si>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</si>
  <si>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</si>
  <si>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</si>
  <si>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</si>
  <si>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</si>
  <si>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</si>
  <si>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</si>
  <si>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</si>
  <si>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</si>
  <si>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</si>
  <si>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</si>
  <si>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</si>
  <si>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</si>
  <si>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</si>
  <si>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</si>
  <si>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</si>
  <si>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</si>
  <si>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</si>
  <si>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</si>
  <si>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</si>
  <si>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</si>
  <si>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</si>
  <si>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</si>
  <si>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</si>
  <si>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</si>
  <si>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</si>
  <si>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</si>
  <si>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</si>
  <si>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</si>
  <si>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</si>
  <si>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</si>
  <si>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</si>
  <si>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</si>
  <si>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</si>
  <si>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</si>
  <si>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</si>
  <si>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</si>
  <si>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</si>
  <si>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</si>
  <si>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</si>
  <si>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</si>
  <si>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</si>
  <si>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</si>
  <si>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</si>
  <si>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</si>
  <si>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</si>
  <si>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</si>
  <si>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</si>
  <si>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</si>
  <si>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</si>
  <si>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</si>
  <si>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</si>
  <si>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</si>
  <si>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</si>
  <si>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</si>
  <si>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</si>
  <si>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</si>
  <si>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</si>
  <si>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</si>
  <si>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</si>
  <si>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</si>
  <si>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</si>
  <si>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</si>
  <si>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</si>
  <si>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</si>
  <si>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</si>
  <si>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</si>
  <si>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</si>
  <si>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</si>
  <si>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</si>
  <si>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</si>
  <si>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</si>
  <si>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</si>
  <si>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</si>
  <si>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</si>
  <si>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</si>
  <si>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</si>
  <si>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</si>
  <si>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</si>
  <si>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</si>
  <si>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</si>
  <si>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</si>
  <si>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</si>
  <si>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</si>
  <si>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</si>
  <si>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</si>
  <si>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</si>
  <si>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</si>
  <si>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</si>
  <si>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</si>
  <si>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</si>
  <si>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</si>
  <si>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</si>
  <si>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</si>
  <si>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</si>
  <si>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</si>
  <si>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</si>
  <si>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</si>
  <si>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</si>
  <si>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</si>
  <si>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</si>
  <si>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</si>
  <si>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</si>
  <si>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</si>
  <si>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</si>
  <si>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</si>
  <si>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</si>
  <si>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</si>
  <si>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</si>
  <si>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</si>
  <si>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</si>
  <si>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</si>
  <si>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</si>
  <si>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</si>
  <si>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</si>
  <si>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</si>
  <si>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</si>
  <si>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</si>
  <si>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</si>
  <si>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</si>
  <si>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</si>
  <si>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</si>
  <si>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</si>
  <si>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</si>
  <si>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</si>
  <si>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</si>
  <si>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</si>
  <si>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</si>
  <si>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</si>
  <si>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</si>
  <si>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</si>
  <si>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</si>
  <si>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</si>
  <si>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</si>
  <si>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</si>
  <si>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</si>
  <si>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</si>
  <si>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</si>
  <si>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</si>
  <si>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</si>
  <si>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</si>
  <si>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</si>
  <si>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</si>
  <si>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</si>
  <si>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</si>
  <si>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</si>
  <si>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</si>
  <si>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</si>
  <si>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</si>
  <si>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</si>
  <si>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</si>
  <si>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</si>
  <si>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</si>
  <si>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</si>
  <si>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</si>
  <si>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</si>
  <si>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</si>
  <si>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</si>
  <si>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</si>
  <si>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</si>
  <si>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</si>
  <si>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</si>
  <si>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</si>
  <si>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</si>
  <si>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</si>
  <si>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</si>
  <si>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</si>
  <si>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</si>
  <si>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</si>
  <si>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</si>
  <si>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</si>
  <si>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</si>
  <si>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</si>
  <si>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</si>
  <si>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</si>
  <si>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</si>
  <si>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</si>
  <si>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</si>
  <si>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</si>
  <si>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</si>
  <si>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</si>
  <si>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</si>
  <si>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</si>
  <si>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</si>
  <si>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</si>
  <si>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</si>
  <si>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</si>
  <si>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</si>
  <si>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</si>
  <si>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</si>
  <si>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</si>
  <si>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</si>
  <si>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</si>
  <si>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</si>
  <si>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</si>
  <si>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</si>
  <si>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</si>
  <si>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</si>
  <si>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</si>
  <si>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</si>
  <si>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</si>
  <si>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</si>
  <si>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</si>
  <si>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</si>
  <si>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</si>
  <si>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</si>
  <si>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</si>
  <si>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</si>
  <si>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</si>
  <si>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</si>
  <si>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</si>
  <si>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</si>
  <si>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</si>
  <si>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</si>
  <si>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</si>
  <si>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</si>
  <si>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</si>
  <si>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</si>
  <si>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</si>
  <si>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</si>
  <si>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</si>
  <si>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</si>
  <si>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</si>
  <si>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</si>
  <si>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</si>
  <si>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</si>
  <si>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</si>
  <si>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</si>
  <si>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</si>
  <si>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</si>
  <si>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</si>
  <si>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</si>
  <si>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</si>
  <si>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</si>
  <si>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</si>
  <si>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</si>
  <si>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</si>
  <si>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</si>
  <si>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</si>
  <si>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</si>
  <si>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</si>
  <si>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</si>
  <si>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</si>
  <si>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</si>
  <si>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</si>
  <si>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</si>
  <si>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</si>
  <si>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</si>
  <si>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</si>
  <si>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</si>
  <si>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</si>
  <si>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</si>
  <si>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</si>
  <si>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</si>
  <si>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</si>
  <si>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</si>
  <si>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</si>
  <si>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</si>
  <si>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</si>
  <si>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</si>
  <si>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</si>
  <si>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</si>
  <si>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</si>
  <si>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</si>
  <si>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</si>
  <si>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</si>
  <si>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</si>
  <si>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</si>
  <si>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</si>
  <si>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</si>
  <si>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</si>
  <si>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</si>
  <si>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</si>
  <si>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</si>
  <si>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</si>
  <si>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</si>
  <si>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</si>
  <si>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</si>
  <si>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</si>
  <si>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</si>
  <si>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</si>
  <si>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</si>
  <si>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</si>
  <si>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</si>
  <si>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</si>
  <si>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</si>
  <si>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</si>
  <si>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</si>
  <si>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</si>
  <si>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</si>
  <si>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</si>
  <si>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</si>
  <si>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</si>
  <si>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</si>
  <si>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</si>
  <si>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</si>
  <si>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</si>
  <si>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</si>
  <si>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</si>
  <si>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</si>
  <si>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</si>
  <si>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</si>
  <si>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</si>
  <si>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</si>
  <si>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</si>
  <si>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</si>
  <si>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</si>
  <si>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</si>
  <si>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</si>
  <si>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</si>
  <si>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</si>
  <si>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</si>
  <si>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</si>
  <si>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</si>
  <si>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</si>
  <si>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</si>
  <si>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</si>
  <si>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</si>
  <si>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</si>
  <si>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</si>
  <si>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</si>
  <si>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</si>
  <si>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</si>
  <si>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</si>
  <si>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</si>
  <si>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</si>
  <si>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</si>
  <si>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</si>
  <si>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</si>
  <si>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</si>
  <si>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</si>
  <si>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</si>
  <si>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</si>
  <si>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</si>
  <si>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</si>
  <si>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</si>
  <si>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</si>
  <si>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</si>
  <si>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</si>
  <si>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</si>
  <si>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</si>
  <si>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</si>
  <si>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</si>
  <si>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</si>
  <si>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</si>
  <si>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</si>
  <si>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</si>
  <si>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</si>
  <si>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</si>
  <si>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</si>
  <si>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</si>
  <si>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</si>
  <si>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</si>
  <si>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</si>
  <si>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</si>
  <si>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</si>
  <si>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</si>
  <si>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</si>
  <si>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</si>
  <si>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</si>
  <si>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</si>
  <si>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</si>
  <si>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</si>
  <si>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</si>
  <si>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</si>
  <si>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</si>
  <si>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</si>
  <si>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</si>
  <si>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</si>
  <si>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</si>
  <si>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</si>
  <si>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</si>
  <si>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</si>
  <si>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</si>
  <si>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</si>
  <si>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</si>
  <si>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</si>
  <si>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</si>
  <si>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</si>
  <si>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</si>
  <si>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</si>
  <si>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</si>
  <si>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</si>
  <si>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</si>
  <si>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</si>
  <si>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</si>
  <si>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</si>
  <si>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</si>
  <si>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</si>
  <si>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</si>
  <si>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</si>
  <si>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</si>
  <si>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</si>
  <si>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</si>
  <si>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</si>
  <si>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</si>
  <si>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</si>
  <si>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</si>
  <si>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</si>
  <si>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</si>
  <si>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</si>
  <si>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</si>
  <si>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</si>
  <si>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</si>
  <si>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</si>
  <si>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</si>
  <si>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</si>
  <si>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</si>
  <si>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</si>
  <si>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</si>
  <si>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</si>
  <si>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</si>
  <si>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</si>
  <si>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</si>
  <si>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</si>
  <si>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</si>
  <si>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</si>
  <si>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</si>
  <si>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</si>
  <si>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</si>
  <si>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</si>
  <si>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</si>
  <si>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</si>
  <si>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</si>
  <si>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</si>
  <si>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</si>
  <si>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</si>
  <si>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</si>
  <si>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</si>
  <si>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</si>
  <si>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</si>
  <si>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</si>
  <si>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</si>
  <si>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</si>
  <si>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</si>
  <si>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</si>
  <si>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</si>
  <si>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</si>
  <si>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</si>
  <si>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</si>
  <si>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</si>
  <si>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</si>
  <si>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</si>
  <si>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</si>
  <si>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</si>
  <si>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</si>
  <si>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</si>
  <si>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</si>
  <si>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</si>
  <si>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</si>
  <si>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</si>
  <si>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</si>
  <si>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</si>
  <si>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</si>
  <si>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</si>
  <si>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</si>
  <si>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</si>
  <si>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</si>
  <si>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</si>
  <si>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</si>
  <si>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</si>
  <si>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</si>
  <si>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</si>
  <si>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</si>
  <si>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</si>
  <si>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</si>
  <si>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</si>
  <si>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</si>
  <si>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</si>
  <si>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</si>
  <si>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</si>
  <si>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</si>
  <si>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</si>
  <si>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</si>
  <si>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</si>
  <si>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</si>
  <si>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</si>
  <si>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</si>
  <si>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</si>
  <si>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</si>
  <si>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</si>
  <si>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</si>
  <si>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</si>
  <si>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</si>
  <si>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</si>
  <si>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</si>
  <si>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</si>
  <si>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</si>
  <si>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</si>
  <si>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</si>
  <si>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</si>
  <si>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</si>
  <si>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</si>
  <si>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</si>
  <si>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</si>
  <si>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</si>
  <si>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</si>
  <si>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</si>
  <si>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</si>
  <si>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</si>
  <si>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</si>
  <si>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</si>
  <si>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</si>
  <si>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</si>
  <si>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</si>
  <si>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</si>
  <si>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</si>
  <si>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</si>
  <si>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</si>
  <si>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</si>
  <si>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</si>
  <si>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</si>
  <si>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</si>
  <si>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</si>
  <si>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</si>
  <si>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</si>
  <si>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</si>
  <si>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</si>
  <si>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</si>
  <si>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</si>
  <si>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</si>
  <si>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</si>
  <si>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</si>
  <si>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</si>
  <si>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</si>
  <si>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</si>
  <si>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</si>
  <si>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</si>
  <si>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</si>
  <si>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</si>
  <si>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</si>
  <si>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</si>
  <si>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</si>
  <si>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</si>
  <si>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</si>
  <si>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</si>
  <si>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</si>
  <si>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</si>
  <si>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</si>
  <si>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</si>
  <si>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</si>
  <si>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</si>
  <si>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</si>
  <si>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</si>
  <si>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</si>
  <si>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</si>
  <si>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</si>
  <si>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</si>
  <si>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</si>
  <si>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</si>
  <si>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</si>
  <si>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</si>
  <si>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</si>
  <si>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</si>
  <si>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</si>
  <si>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</si>
  <si>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</si>
  <si>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</si>
  <si>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</si>
  <si>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</si>
  <si>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</si>
  <si>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</si>
  <si>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</si>
  <si>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</si>
  <si>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</si>
  <si>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</si>
  <si>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</si>
  <si>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</si>
  <si>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</si>
  <si>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</si>
  <si>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</si>
  <si>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</si>
  <si>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</si>
  <si>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</si>
  <si>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</si>
  <si>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</si>
  <si>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</si>
  <si>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</si>
  <si>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</si>
  <si>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</si>
  <si>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</si>
  <si>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</si>
  <si>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</si>
  <si>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</si>
  <si>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</si>
  <si>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</si>
  <si>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</si>
  <si>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</si>
  <si>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</si>
  <si>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</si>
  <si>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</si>
  <si>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</si>
  <si>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</si>
  <si>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</si>
  <si>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</si>
  <si>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</si>
  <si>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</si>
  <si>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</si>
  <si>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</si>
  <si>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</si>
  <si>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</si>
  <si>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</si>
  <si>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</si>
  <si>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</si>
  <si>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</si>
  <si>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</si>
  <si>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</si>
  <si>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</si>
  <si>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</si>
  <si>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</si>
  <si>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</si>
  <si>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</si>
  <si>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</si>
  <si>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</si>
  <si>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</si>
  <si>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</si>
  <si>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</si>
  <si>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</si>
  <si>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</si>
  <si>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</si>
  <si>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</si>
  <si>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</si>
  <si>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</si>
  <si>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</si>
  <si>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</si>
  <si>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</si>
  <si>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</si>
  <si>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</si>
  <si>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</si>
  <si>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</si>
  <si>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</si>
  <si>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</si>
  <si>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</si>
  <si>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</si>
  <si>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</si>
  <si>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</si>
  <si>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</si>
  <si>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</si>
  <si>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</si>
  <si>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</si>
  <si>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</si>
  <si>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</si>
  <si>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</si>
  <si>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</si>
  <si>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</si>
  <si>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</si>
  <si>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</si>
  <si>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</si>
  <si>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</si>
  <si>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</si>
  <si>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</si>
  <si>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</si>
  <si>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</si>
  <si>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</si>
  <si>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</si>
  <si>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</si>
  <si>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</si>
  <si>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</si>
  <si>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</si>
  <si>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</si>
  <si>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</si>
  <si>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</si>
  <si>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</si>
  <si>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</si>
  <si>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</si>
  <si>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</si>
  <si>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</si>
  <si>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</si>
  <si>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</si>
  <si>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</si>
  <si>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</si>
  <si>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</si>
  <si>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</si>
  <si>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</si>
  <si>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</si>
  <si>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</si>
  <si>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</si>
  <si>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</si>
  <si>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</si>
  <si>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</si>
  <si>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</si>
  <si>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</si>
  <si>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</si>
  <si>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</si>
  <si>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</si>
  <si>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</si>
  <si>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</si>
  <si>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</si>
  <si>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</si>
  <si>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</si>
  <si>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</si>
  <si>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</si>
  <si>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</si>
  <si>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</si>
  <si>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</si>
  <si>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</si>
  <si>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</si>
  <si>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</si>
  <si>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</si>
  <si>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</si>
  <si>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</si>
  <si>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</si>
  <si>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</si>
  <si>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</si>
  <si>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</si>
  <si>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</si>
  <si>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</si>
  <si>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</si>
  <si>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</si>
  <si>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</si>
  <si>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</si>
  <si>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</si>
  <si>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</si>
  <si>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</si>
  <si>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</si>
  <si>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</si>
  <si>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</si>
  <si>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</si>
  <si>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</si>
  <si>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</si>
  <si>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</si>
  <si>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</si>
  <si>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</si>
  <si>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</si>
  <si>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</si>
  <si>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</si>
  <si>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</si>
  <si>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</si>
  <si>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</si>
  <si>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</si>
  <si>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</si>
  <si>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</si>
  <si>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</si>
  <si>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</si>
  <si>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</si>
  <si>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</si>
  <si>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</si>
  <si>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</si>
  <si>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</si>
  <si>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</si>
  <si>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</si>
  <si>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</si>
  <si>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</si>
  <si>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</si>
  <si>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</si>
  <si>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</si>
  <si>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</si>
  <si>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</si>
  <si>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</si>
  <si>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</si>
  <si>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</si>
  <si>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</si>
  <si>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</si>
  <si>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</si>
  <si>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</si>
  <si>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</si>
  <si>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</si>
  <si>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</si>
  <si>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</si>
  <si>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</si>
  <si>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</si>
  <si>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</si>
  <si>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</si>
  <si>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</si>
  <si>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</si>
  <si>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</si>
  <si>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</si>
  <si>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</si>
  <si>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</si>
  <si>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</si>
  <si>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</si>
  <si>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</si>
  <si>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</si>
  <si>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</si>
  <si>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</si>
  <si>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</si>
  <si>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</si>
  <si>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</si>
  <si>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</si>
  <si>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</si>
  <si>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</si>
  <si>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</si>
  <si>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</si>
  <si>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</si>
  <si>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</si>
  <si>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</si>
  <si>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</si>
  <si>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</si>
  <si>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</si>
  <si>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</si>
  <si>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</si>
  <si>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</si>
  <si>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</si>
  <si>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</si>
  <si>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</si>
  <si>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</si>
  <si>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</si>
  <si>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</si>
  <si>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</si>
  <si>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</si>
  <si>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</si>
  <si>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</si>
  <si>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</si>
  <si>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</si>
  <si>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</si>
  <si>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</si>
  <si>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</si>
  <si>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</si>
  <si>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</si>
  <si>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</si>
  <si>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</si>
  <si>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</si>
  <si>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</si>
  <si>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</si>
  <si>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</si>
  <si>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</si>
  <si>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</si>
  <si>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</si>
  <si>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</si>
  <si>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</si>
  <si>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</si>
  <si>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</si>
  <si>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</si>
  <si>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</si>
  <si>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</si>
  <si>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</si>
  <si>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</si>
  <si>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</si>
  <si>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</si>
  <si>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</si>
  <si>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</si>
  <si>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</si>
  <si>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</si>
  <si>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</si>
  <si>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</si>
  <si>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</si>
  <si>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</si>
  <si>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</si>
  <si>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</si>
  <si>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</si>
  <si>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</si>
  <si>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</si>
  <si>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</si>
  <si>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</si>
  <si>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</si>
  <si>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</si>
  <si>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</si>
  <si>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</si>
  <si>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</si>
  <si>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</si>
  <si>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</si>
  <si>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</si>
  <si>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</si>
  <si>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</si>
  <si>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</si>
  <si>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</si>
  <si>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</si>
  <si>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</si>
  <si>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</si>
  <si>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</si>
  <si>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</si>
  <si>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</si>
  <si>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</si>
  <si>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</si>
  <si>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</si>
  <si>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</si>
  <si>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</si>
  <si>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</si>
  <si>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</si>
  <si>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</si>
  <si>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</si>
  <si>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</si>
  <si>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</si>
  <si>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</si>
  <si>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</si>
  <si>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</si>
  <si>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</si>
  <si>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</si>
  <si>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</si>
  <si>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</si>
  <si>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</si>
  <si>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</si>
  <si>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</si>
  <si>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</si>
  <si>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</si>
  <si>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</si>
  <si>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</si>
  <si>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</si>
  <si>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</si>
  <si>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</si>
  <si>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</si>
  <si>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</si>
  <si>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</si>
  <si>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</si>
  <si>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</si>
  <si>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</si>
  <si>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</si>
  <si>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</si>
  <si>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</si>
  <si>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</si>
  <si>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</si>
  <si>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</si>
  <si>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</si>
  <si>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</si>
  <si>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</si>
  <si>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</si>
  <si>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</si>
  <si>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</si>
  <si>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</si>
  <si>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</si>
  <si>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</si>
  <si>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</si>
  <si>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</si>
  <si>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</si>
  <si>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</si>
  <si>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</si>
  <si>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</si>
  <si>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</si>
  <si>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</si>
  <si>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</si>
  <si>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</si>
  <si>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</si>
  <si>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</si>
  <si>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</si>
  <si>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</si>
  <si>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</si>
  <si>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</si>
  <si>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</si>
  <si>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</si>
  <si>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</si>
  <si>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</si>
  <si>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</si>
  <si>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</si>
  <si>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</si>
  <si>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</si>
  <si>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</si>
  <si>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</si>
  <si>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</si>
  <si>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</si>
  <si>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</si>
  <si>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</si>
  <si>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</si>
  <si>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</si>
  <si>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</si>
  <si>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</si>
  <si>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</si>
  <si>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</si>
  <si>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</si>
  <si>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</si>
  <si>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</si>
  <si>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</si>
  <si>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</si>
  <si>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</si>
  <si>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</si>
  <si>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</si>
  <si>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</si>
  <si>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</si>
  <si>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</si>
  <si>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</si>
  <si>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</si>
  <si>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</si>
  <si>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</si>
  <si>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</si>
  <si>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</si>
  <si>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</si>
  <si>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</si>
  <si>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</si>
  <si>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</si>
  <si>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</si>
  <si>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</si>
  <si>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</si>
  <si>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</si>
  <si>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</si>
  <si>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</si>
  <si>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</si>
  <si>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</si>
  <si>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</si>
  <si>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</si>
  <si>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</si>
  <si>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</si>
  <si>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</si>
  <si>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</si>
  <si>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</si>
  <si>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</si>
  <si>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</si>
  <si>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</si>
  <si>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</si>
  <si>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</si>
  <si>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</si>
  <si>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</si>
  <si>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</si>
  <si>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</si>
  <si>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</si>
  <si>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</si>
  <si>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</si>
  <si>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</si>
  <si>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</si>
  <si>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</si>
  <si>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</si>
  <si>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</si>
  <si>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</si>
  <si>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</si>
  <si>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</si>
  <si>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</si>
  <si>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</si>
  <si>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</si>
  <si>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</si>
  <si>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</si>
  <si>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</si>
  <si>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</si>
  <si>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</si>
  <si>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</si>
  <si>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</si>
  <si>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</si>
  <si>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</si>
  <si>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</si>
  <si>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</si>
  <si>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</si>
  <si>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</si>
  <si>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</si>
  <si>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</si>
  <si>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</si>
  <si>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</si>
  <si>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</si>
  <si>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</si>
  <si>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</si>
  <si>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</si>
  <si>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</si>
  <si>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</si>
  <si>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</si>
  <si>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</si>
  <si>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</si>
  <si>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</si>
  <si>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</si>
  <si>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</si>
  <si>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</si>
  <si>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</si>
  <si>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</si>
  <si>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</si>
  <si>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</si>
  <si>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</si>
  <si>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</si>
  <si>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</si>
  <si>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</si>
  <si>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</si>
  <si>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</si>
  <si>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</si>
  <si>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</si>
  <si>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</si>
  <si>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</si>
  <si>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</si>
  <si>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</si>
  <si>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</si>
  <si>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</si>
  <si>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</si>
  <si>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</si>
  <si>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</si>
  <si>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</si>
  <si>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</si>
  <si>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</si>
  <si>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</si>
  <si>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</si>
  <si>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</si>
  <si>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</si>
  <si>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</si>
  <si>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</si>
  <si>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</si>
  <si>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</si>
  <si>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</si>
  <si>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</si>
  <si>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</si>
  <si>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</si>
  <si>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</si>
  <si>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</si>
  <si>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</si>
  <si>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</si>
  <si>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</si>
  <si>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</si>
  <si>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</si>
  <si>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</si>
  <si>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</si>
  <si>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</si>
  <si>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</si>
  <si>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</si>
  <si>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</si>
  <si>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</si>
  <si>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</si>
  <si>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</si>
  <si>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</si>
  <si>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</si>
  <si>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</si>
  <si>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</si>
  <si>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</si>
  <si>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</si>
  <si>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</si>
  <si>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</si>
  <si>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</si>
  <si>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</si>
  <si>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</si>
  <si>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</si>
  <si>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</si>
  <si>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</si>
  <si>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</si>
  <si>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</si>
  <si>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</si>
  <si>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</si>
  <si>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</si>
  <si>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</si>
  <si>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</si>
  <si>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</si>
  <si>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</si>
  <si>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</si>
  <si>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</si>
  <si>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</si>
  <si>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</si>
  <si>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</si>
  <si>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</si>
  <si>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</si>
  <si>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</si>
  <si>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</si>
  <si>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</si>
  <si>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</si>
  <si>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</si>
  <si>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</si>
  <si>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</si>
  <si>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</si>
  <si>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</si>
  <si>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</si>
  <si>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</si>
  <si>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</si>
  <si>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</si>
  <si>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</si>
  <si>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</si>
  <si>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</si>
  <si>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</si>
  <si>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</si>
  <si>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</si>
  <si>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</si>
  <si>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</si>
  <si>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</si>
  <si>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</si>
  <si>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</si>
  <si>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</si>
  <si>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</si>
  <si>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</si>
  <si>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</si>
  <si>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</si>
  <si>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</si>
  <si>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</si>
  <si>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</si>
  <si>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</si>
  <si>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</si>
  <si>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</si>
  <si>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</si>
  <si>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</si>
  <si>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</si>
  <si>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</si>
  <si>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</si>
  <si>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</si>
  <si>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</si>
  <si>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</si>
  <si>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</si>
  <si>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</si>
  <si>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</si>
  <si>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</si>
  <si>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</si>
  <si>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</si>
  <si>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</si>
  <si>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</si>
  <si>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</si>
  <si>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</si>
  <si>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</si>
  <si>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</si>
  <si>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</si>
  <si>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</si>
  <si>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</si>
  <si>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</si>
  <si>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</si>
  <si>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</si>
  <si>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</si>
  <si>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</si>
  <si>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</si>
  <si>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</si>
  <si>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</si>
  <si>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</si>
  <si>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</si>
  <si>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</si>
  <si>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</si>
  <si>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</si>
  <si>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</si>
  <si>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</si>
  <si>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</si>
  <si>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</si>
  <si>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</si>
  <si>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</si>
  <si>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</si>
  <si>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</si>
  <si>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</si>
  <si>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</si>
  <si>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</si>
  <si>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</si>
  <si>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</si>
  <si>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</si>
  <si>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</si>
  <si>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</si>
  <si>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</si>
  <si>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</si>
  <si>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</si>
  <si>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</si>
  <si>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</si>
  <si>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</si>
  <si>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</si>
  <si>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</si>
  <si>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</si>
  <si>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</si>
  <si>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</si>
  <si>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</si>
  <si>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</si>
  <si>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</si>
  <si>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</si>
  <si>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</si>
  <si>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</si>
  <si>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</si>
  <si>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</si>
  <si>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</si>
  <si>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</si>
  <si>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</si>
  <si>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</si>
  <si>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</si>
  <si>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</si>
  <si>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</si>
  <si>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</si>
  <si>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</si>
  <si>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</si>
  <si>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</si>
  <si>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</si>
  <si>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</si>
  <si>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</si>
  <si>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</si>
  <si>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</si>
  <si>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</si>
  <si>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</si>
  <si>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</si>
  <si>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</si>
  <si>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</si>
  <si>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</si>
  <si>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</si>
  <si>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</si>
  <si>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</si>
  <si>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</si>
  <si>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</si>
  <si>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</si>
  <si>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</si>
  <si>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</si>
  <si>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</si>
  <si>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</si>
  <si>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</si>
  <si>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</si>
  <si>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</si>
  <si>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</si>
  <si>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</si>
  <si>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</si>
  <si>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</si>
  <si>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</si>
  <si>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</si>
  <si>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</si>
  <si>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</si>
  <si>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</si>
  <si>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</si>
  <si>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</si>
  <si>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</si>
  <si>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</si>
  <si>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</si>
  <si>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</si>
  <si>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</si>
  <si>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</si>
  <si>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</si>
  <si>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</si>
  <si>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</si>
  <si>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</si>
  <si>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</si>
  <si>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</si>
  <si>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</si>
  <si>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</si>
  <si>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</si>
  <si>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</si>
  <si>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</si>
  <si>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</si>
  <si>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</si>
  <si>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</si>
  <si>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</si>
  <si>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</si>
  <si>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</si>
  <si>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</si>
  <si>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</si>
  <si>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</si>
  <si>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</si>
  <si>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</si>
  <si>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</si>
  <si>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</si>
  <si>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</si>
  <si>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</si>
  <si>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</si>
  <si>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</si>
  <si>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</si>
  <si>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</si>
  <si>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</si>
  <si>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</si>
  <si>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</si>
  <si>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</si>
  <si>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</si>
  <si>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</si>
  <si>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</si>
  <si>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</si>
  <si>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</si>
  <si>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</si>
  <si>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</si>
  <si>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</si>
  <si>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</si>
  <si>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</si>
  <si>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</si>
  <si>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</si>
  <si>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</si>
  <si>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</si>
  <si>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</si>
  <si>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</si>
  <si>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</si>
  <si>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</si>
  <si>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</si>
  <si>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</si>
  <si>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</si>
  <si>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</si>
  <si>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</si>
  <si>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</si>
  <si>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</si>
  <si>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</si>
  <si>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</si>
  <si>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</si>
  <si>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</si>
  <si>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</si>
  <si>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</si>
  <si>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</si>
  <si>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</si>
  <si>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</si>
  <si>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</si>
  <si>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</si>
  <si>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</si>
  <si>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</si>
  <si>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</si>
  <si>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</si>
  <si>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</si>
  <si>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</si>
  <si>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</si>
  <si>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</si>
  <si>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</si>
  <si>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</si>
  <si>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</si>
  <si>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</si>
  <si>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</si>
  <si>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</si>
  <si>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</si>
  <si>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</si>
  <si>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</si>
  <si>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</si>
  <si>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</si>
  <si>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</si>
  <si>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</si>
  <si>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</si>
  <si>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</si>
  <si>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</si>
  <si>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</si>
  <si>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</si>
  <si>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</si>
  <si>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</si>
  <si>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</si>
  <si>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</si>
  <si>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</si>
  <si>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</si>
  <si>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</si>
  <si>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</si>
  <si>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</si>
  <si>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</si>
  <si>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</si>
  <si>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</si>
  <si>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</si>
  <si>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</si>
  <si>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</si>
  <si>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</si>
  <si>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</si>
  <si>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</si>
  <si>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</si>
  <si>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</si>
  <si>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</si>
  <si>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</si>
  <si>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</si>
  <si>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</si>
  <si>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</si>
  <si>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</si>
  <si>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</si>
  <si>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</si>
  <si>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</si>
  <si>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</si>
  <si>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</si>
  <si>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</si>
  <si>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</si>
  <si>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</si>
  <si>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</si>
  <si>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</si>
  <si>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</si>
  <si>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</si>
  <si>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</si>
  <si>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</si>
  <si>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</si>
  <si>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</si>
  <si>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</si>
  <si>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</si>
  <si>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</si>
  <si>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</si>
  <si>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Franklin &amp; Vaughn, LLC</t>
  </si>
  <si>
    <t>Calhoun</t>
  </si>
  <si>
    <t>2852 Homer Adams Parkway</t>
  </si>
  <si>
    <t>128 School Street, P.O. Box 128</t>
  </si>
  <si>
    <t>Alton</t>
  </si>
  <si>
    <t>IL</t>
  </si>
  <si>
    <t xml:space="preserve">Brussels  </t>
  </si>
  <si>
    <t>618-462-1162</t>
  </si>
  <si>
    <t>618-462-1168</t>
  </si>
  <si>
    <t>mark@franklinvaughncpa.com</t>
  </si>
  <si>
    <t>Mark E. Vaughn, CPA</t>
  </si>
  <si>
    <t>066-00-4377</t>
  </si>
  <si>
    <t>TR-Support Services-Purchased Services</t>
  </si>
  <si>
    <t>40-2550-300</t>
  </si>
  <si>
    <t>Midwest Bus Sales, Inc</t>
  </si>
  <si>
    <t>MISSVIC - Insurance Cooperative</t>
  </si>
  <si>
    <t>Calhoun CUSD #40</t>
  </si>
  <si>
    <t>Illinois Electric Cooperative</t>
  </si>
  <si>
    <t>No barriers to implementation</t>
  </si>
  <si>
    <t>Four Rivers Special Education District</t>
  </si>
  <si>
    <t>Central Illinois Rural Region Career and Technical Education System &amp; Perkins</t>
  </si>
  <si>
    <t>1290 - Other Payments In Lieu of Taxes</t>
  </si>
  <si>
    <t>10-1290 PILOT $4,411</t>
  </si>
  <si>
    <t>20-1290 PILOT $896</t>
  </si>
  <si>
    <t>40-1290 PILOT $286</t>
  </si>
  <si>
    <t>50-1290 PILOT $535</t>
  </si>
  <si>
    <t>70-1290 PILOT $62</t>
  </si>
  <si>
    <t>80-1290 PILOT $127</t>
  </si>
  <si>
    <t>10-1690 Other Food Service</t>
  </si>
  <si>
    <t>St Mary's Catholic School claim reimbursement $6,687</t>
  </si>
  <si>
    <t>10-1790 Other District/School Activity Revenue</t>
  </si>
  <si>
    <t>Athletic Fees $5,000</t>
  </si>
  <si>
    <t>Other Local Revenues</t>
  </si>
  <si>
    <t>10-1999 Reimbursements $4,592</t>
  </si>
  <si>
    <t>20-1999 Insurance claim $907</t>
  </si>
  <si>
    <t>40-1999 Insurance claim $4,098</t>
  </si>
  <si>
    <t>Other Restricted Grants-In-Aid Received Directly from the Federal Govt</t>
  </si>
  <si>
    <t>E-Rate $3,300</t>
  </si>
  <si>
    <t>REAP $15,910</t>
  </si>
  <si>
    <t>Total = $19,210</t>
  </si>
  <si>
    <t>Other Support Services - Pupils</t>
  </si>
  <si>
    <t>Homeless student expenses $50</t>
  </si>
  <si>
    <t>PDF in Opinion Page with signature</t>
  </si>
  <si>
    <t>Brussels CUSD 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</si>
</sst>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17" fontId="55" fillId="0" borderId="0" xfId="0"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819150</xdr:colOff>
          <xdr:row>0</xdr:row>
          <xdr:rowOff>0</xdr:rowOff>
        </xdr:from>
        <xdr:to>
          <xdr:col>1</xdr:col>
          <xdr:colOff>1733550</xdr:colOff>
          <xdr:row>4</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1743075</xdr:colOff>
          <xdr:row>0</xdr:row>
          <xdr:rowOff>0</xdr:rowOff>
        </xdr:from>
        <xdr:to>
          <xdr:col>1</xdr:col>
          <xdr:colOff>2657475</xdr:colOff>
          <xdr:row>4</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800100</xdr:colOff>
          <xdr:row>4</xdr:row>
          <xdr:rowOff>38100</xdr:rowOff>
        </xdr:from>
        <xdr:to>
          <xdr:col>1</xdr:col>
          <xdr:colOff>1714500</xdr:colOff>
          <xdr:row>8</xdr:row>
          <xdr:rowOff>76200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1733550</xdr:colOff>
          <xdr:row>4</xdr:row>
          <xdr:rowOff>38100</xdr:rowOff>
        </xdr:from>
        <xdr:to>
          <xdr:col>1</xdr:col>
          <xdr:colOff>2647950</xdr:colOff>
          <xdr:row>8</xdr:row>
          <xdr:rowOff>76200</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2667000</xdr:colOff>
          <xdr:row>0</xdr:row>
          <xdr:rowOff>0</xdr:rowOff>
        </xdr:from>
        <xdr:to>
          <xdr:col>1</xdr:col>
          <xdr:colOff>3581400</xdr:colOff>
          <xdr:row>4</xdr:row>
          <xdr:rowOff>38100</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3590925</xdr:colOff>
          <xdr:row>2</xdr:row>
          <xdr:rowOff>57150</xdr:rowOff>
        </xdr:from>
        <xdr:to>
          <xdr:col>2</xdr:col>
          <xdr:colOff>523875</xdr:colOff>
          <xdr:row>6</xdr:row>
          <xdr:rowOff>95250</xdr:rowOff>
        </xdr:to>
        <xdr:sp macro="" textlink="">
          <xdr:nvSpPr>
            <xdr:cNvPr id="35849" name="Object 9" hidden="1">
              <a:extLst>
                <a:ext uri="{63B3BB69-23CF-44E3-9099-C40C66FF867C}">
                  <a14:compatExt spid="_x0000_s358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38100</xdr:rowOff>
        </xdr:from>
        <xdr:to>
          <xdr:col>1</xdr:col>
          <xdr:colOff>790575</xdr:colOff>
          <xdr:row>8</xdr:row>
          <xdr:rowOff>76200</xdr:rowOff>
        </xdr:to>
        <xdr:sp macro="" textlink="">
          <xdr:nvSpPr>
            <xdr:cNvPr id="35850" name="Object 10" hidden="1">
              <a:extLst>
                <a:ext uri="{63B3BB69-23CF-44E3-9099-C40C66FF867C}">
                  <a14:compatExt spid="_x0000_s358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2657475</xdr:colOff>
          <xdr:row>4</xdr:row>
          <xdr:rowOff>47625</xdr:rowOff>
        </xdr:from>
        <xdr:to>
          <xdr:col>1</xdr:col>
          <xdr:colOff>3571875</xdr:colOff>
          <xdr:row>8</xdr:row>
          <xdr:rowOff>85725</xdr:rowOff>
        </xdr:to>
        <xdr:sp macro="" textlink="">
          <xdr:nvSpPr>
            <xdr:cNvPr id="35851" name="Object 11" hidden="1">
              <a:extLst>
                <a:ext uri="{63B3BB69-23CF-44E3-9099-C40C66FF867C}">
                  <a14:compatExt spid="_x0000_s358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40007042026</v>
      </c>
      <c r="B13" s="2038"/>
      <c r="C13" s="2038"/>
      <c r="D13" s="2038"/>
      <c r="E13" s="2038"/>
      <c r="F13" s="2038"/>
      <c r="G13" s="2038"/>
      <c r="H13" s="2039"/>
      <c r="I13" s="31"/>
      <c r="J13" s="30"/>
      <c r="K13" s="28"/>
      <c r="L13" s="30"/>
      <c r="M13" s="30"/>
      <c r="N13" s="30"/>
      <c r="O13" s="30"/>
      <c r="P13" s="30"/>
      <c r="Q13" s="30"/>
      <c r="R13" s="30"/>
      <c r="S13" s="30"/>
      <c r="T13" s="2042" t="s">
        <v>2078</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2079</v>
      </c>
      <c r="B15" s="2040"/>
      <c r="C15" s="2040"/>
      <c r="D15" s="2040"/>
      <c r="E15" s="2040"/>
      <c r="F15" s="2040"/>
      <c r="G15" s="2040"/>
      <c r="H15" s="2041"/>
      <c r="T15" s="2046" t="s">
        <v>2088</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2121</v>
      </c>
      <c r="B17" s="1997"/>
      <c r="C17" s="1997"/>
      <c r="D17" s="1997"/>
      <c r="E17" s="1997"/>
      <c r="F17" s="1997"/>
      <c r="G17" s="1997"/>
      <c r="H17" s="2022"/>
      <c r="T17" s="2053" t="s">
        <v>2080</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2081</v>
      </c>
      <c r="B19" s="1982"/>
      <c r="C19" s="1982"/>
      <c r="D19" s="1982"/>
      <c r="E19" s="1982"/>
      <c r="F19" s="1982"/>
      <c r="G19" s="1982"/>
      <c r="H19" s="1962"/>
      <c r="I19" s="30"/>
      <c r="J19" s="99"/>
      <c r="K19" s="40"/>
      <c r="L19" s="38"/>
      <c r="M19" s="112" t="s">
        <v>333</v>
      </c>
      <c r="P19" s="27"/>
      <c r="Q19" s="27"/>
      <c r="R19" s="27"/>
      <c r="S19" s="31"/>
      <c r="T19" s="2036" t="s">
        <v>2082</v>
      </c>
      <c r="U19" s="1961"/>
      <c r="V19" s="1961"/>
      <c r="W19" s="1962"/>
      <c r="X19" s="2051" t="s">
        <v>2083</v>
      </c>
      <c r="Y19" s="2052"/>
      <c r="Z19" s="2049">
        <v>62002</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2084</v>
      </c>
      <c r="B21" s="1961"/>
      <c r="C21" s="1961"/>
      <c r="D21" s="1961"/>
      <c r="E21" s="1961"/>
      <c r="F21" s="1961"/>
      <c r="G21" s="1961"/>
      <c r="H21" s="1962"/>
      <c r="I21" s="2016" t="s">
        <v>699</v>
      </c>
      <c r="J21" s="2011"/>
      <c r="K21" s="2011"/>
      <c r="L21" s="2011"/>
      <c r="M21" s="2011"/>
      <c r="N21" s="2011"/>
      <c r="O21" s="2011"/>
      <c r="P21" s="2011"/>
      <c r="Q21" s="2011"/>
      <c r="R21" s="2011"/>
      <c r="S21" s="2017"/>
      <c r="T21" s="2060" t="s">
        <v>2085</v>
      </c>
      <c r="U21" s="2061"/>
      <c r="V21" s="2061"/>
      <c r="W21" s="2061"/>
      <c r="X21" s="2066" t="s">
        <v>2086</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c r="B23" s="2014"/>
      <c r="C23" s="2014"/>
      <c r="D23" s="2014"/>
      <c r="E23" s="2014"/>
      <c r="F23" s="2014"/>
      <c r="G23" s="2014"/>
      <c r="H23" s="2015"/>
      <c r="T23" s="1996" t="s">
        <v>2089</v>
      </c>
      <c r="U23" s="2059"/>
      <c r="V23" s="2059"/>
      <c r="W23" s="2059"/>
      <c r="X23" s="2063">
        <v>43434</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62013</v>
      </c>
      <c r="B25" s="1961"/>
      <c r="C25" s="1961"/>
      <c r="D25" s="1961"/>
      <c r="E25" s="1961"/>
      <c r="F25" s="1961"/>
      <c r="G25" s="1961"/>
      <c r="H25" s="1962"/>
      <c r="I25" s="113"/>
      <c r="J25" s="1985"/>
      <c r="K25" s="1985"/>
      <c r="L25" s="1985"/>
      <c r="M25" s="1985"/>
      <c r="N25" s="1985"/>
      <c r="O25" s="1985"/>
      <c r="P25" s="1985"/>
      <c r="Q25" s="1985"/>
      <c r="R25" s="1985"/>
      <c r="S25" s="1986"/>
      <c r="T25" s="2056" t="s">
        <v>2087</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c r="B42" s="1980"/>
      <c r="C42" s="1981"/>
      <c r="D42" s="1979"/>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1" sqref="E1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730930</v>
      </c>
      <c r="C4" s="1546"/>
      <c r="D4" s="1774">
        <f>B4-C4</f>
        <v>730930</v>
      </c>
      <c r="E4" s="1546">
        <v>807500</v>
      </c>
      <c r="F4" s="1774">
        <f>E4-C4</f>
        <v>807500</v>
      </c>
    </row>
    <row r="5" spans="1:6" ht="13.7" customHeight="1" x14ac:dyDescent="0.2">
      <c r="A5" s="716" t="s">
        <v>925</v>
      </c>
      <c r="B5" s="1772">
        <f>'Revenues 9-14'!D5</f>
        <v>150196</v>
      </c>
      <c r="C5" s="585"/>
      <c r="D5" s="1775">
        <f t="shared" ref="D5:D18" si="0">B5-C5</f>
        <v>150196</v>
      </c>
      <c r="E5" s="585">
        <v>123539</v>
      </c>
      <c r="F5" s="1775">
        <f>E5-C5</f>
        <v>123539</v>
      </c>
    </row>
    <row r="6" spans="1:6" ht="13.7" customHeight="1" x14ac:dyDescent="0.2">
      <c r="A6" s="716" t="s">
        <v>431</v>
      </c>
      <c r="B6" s="1772">
        <f>'Revenues 9-14'!E5</f>
        <v>0</v>
      </c>
      <c r="C6" s="585"/>
      <c r="D6" s="1775">
        <f t="shared" si="0"/>
        <v>0</v>
      </c>
      <c r="E6" s="585">
        <v>0</v>
      </c>
      <c r="F6" s="1775">
        <f t="shared" ref="F6:F18" si="1">E6-C6</f>
        <v>0</v>
      </c>
    </row>
    <row r="7" spans="1:6" ht="13.7" customHeight="1" x14ac:dyDescent="0.2">
      <c r="A7" s="716" t="s">
        <v>157</v>
      </c>
      <c r="B7" s="1772">
        <f>'Revenues 9-14'!F5</f>
        <v>48067</v>
      </c>
      <c r="C7" s="585"/>
      <c r="D7" s="1775">
        <f t="shared" si="0"/>
        <v>48067</v>
      </c>
      <c r="E7" s="585">
        <v>50739</v>
      </c>
      <c r="F7" s="1775">
        <f t="shared" si="1"/>
        <v>50739</v>
      </c>
    </row>
    <row r="8" spans="1:6" ht="13.7" customHeight="1" x14ac:dyDescent="0.2">
      <c r="A8" s="716" t="s">
        <v>1241</v>
      </c>
      <c r="B8" s="1772">
        <f>'Revenues 9-14'!G5</f>
        <v>44826</v>
      </c>
      <c r="C8" s="585"/>
      <c r="D8" s="1775">
        <f t="shared" si="0"/>
        <v>44826</v>
      </c>
      <c r="E8" s="585">
        <v>47317</v>
      </c>
      <c r="F8" s="1775">
        <f t="shared" si="1"/>
        <v>47317</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10346</v>
      </c>
      <c r="C10" s="585"/>
      <c r="D10" s="1775">
        <f t="shared" si="0"/>
        <v>10346</v>
      </c>
      <c r="E10" s="585">
        <v>10920</v>
      </c>
      <c r="F10" s="1775">
        <f t="shared" si="1"/>
        <v>10920</v>
      </c>
    </row>
    <row r="11" spans="1:6" x14ac:dyDescent="0.2">
      <c r="A11" s="716" t="s">
        <v>429</v>
      </c>
      <c r="B11" s="1772">
        <f>'Revenues 9-14'!J5</f>
        <v>21247</v>
      </c>
      <c r="C11" s="585"/>
      <c r="D11" s="1775">
        <f t="shared" si="0"/>
        <v>21247</v>
      </c>
      <c r="E11" s="585">
        <v>22429</v>
      </c>
      <c r="F11" s="1775">
        <f t="shared" si="1"/>
        <v>22429</v>
      </c>
    </row>
    <row r="12" spans="1:6" ht="13.7" customHeight="1" x14ac:dyDescent="0.2">
      <c r="A12" s="716" t="s">
        <v>159</v>
      </c>
      <c r="B12" s="1772">
        <f>'Revenues 9-14'!K5</f>
        <v>10035</v>
      </c>
      <c r="C12" s="585"/>
      <c r="D12" s="1775">
        <f t="shared" si="0"/>
        <v>10035</v>
      </c>
      <c r="E12" s="585">
        <v>10593</v>
      </c>
      <c r="F12" s="1775">
        <f t="shared" si="1"/>
        <v>10593</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8037</v>
      </c>
      <c r="C14" s="585"/>
      <c r="D14" s="1775">
        <f t="shared" si="0"/>
        <v>8037</v>
      </c>
      <c r="E14" s="585">
        <v>8484</v>
      </c>
      <c r="F14" s="1775">
        <f t="shared" si="1"/>
        <v>8484</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44826</v>
      </c>
      <c r="C16" s="585"/>
      <c r="D16" s="1775">
        <f t="shared" si="0"/>
        <v>44826</v>
      </c>
      <c r="E16" s="585">
        <v>47317</v>
      </c>
      <c r="F16" s="1775">
        <f t="shared" si="1"/>
        <v>47317</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1068510</v>
      </c>
      <c r="C19" s="1773">
        <f>SUM(C4:C18)</f>
        <v>0</v>
      </c>
      <c r="D19" s="1773">
        <f>SUM(D4:D18)</f>
        <v>1068510</v>
      </c>
      <c r="E19" s="1773">
        <f>SUM(E4:E18)</f>
        <v>1128838</v>
      </c>
      <c r="F19" s="1773">
        <f>SUM(F4:F18)</f>
        <v>1128838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2038</v>
      </c>
      <c r="D2" s="724" t="s">
        <v>2045</v>
      </c>
      <c r="E2" s="724" t="s">
        <v>2046</v>
      </c>
      <c r="F2" s="1909"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v>40791</v>
      </c>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8037</v>
      </c>
      <c r="I5" s="773"/>
      <c r="J5" s="774"/>
      <c r="K5" s="774"/>
    </row>
    <row r="6" spans="1:11" x14ac:dyDescent="0.2">
      <c r="A6" s="775" t="s">
        <v>744</v>
      </c>
      <c r="B6" s="776"/>
      <c r="C6" s="776"/>
      <c r="D6" s="776"/>
      <c r="E6" s="777"/>
      <c r="F6" s="778" t="s">
        <v>904</v>
      </c>
      <c r="G6" s="765"/>
      <c r="H6" s="765"/>
      <c r="I6" s="765"/>
      <c r="J6" s="766">
        <v>208</v>
      </c>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28526</v>
      </c>
      <c r="K8" s="770"/>
    </row>
    <row r="9" spans="1:11" x14ac:dyDescent="0.2">
      <c r="A9" s="779" t="s">
        <v>140</v>
      </c>
      <c r="B9" s="780"/>
      <c r="C9" s="780"/>
      <c r="D9" s="780"/>
      <c r="E9" s="781"/>
      <c r="F9" s="778" t="s">
        <v>908</v>
      </c>
      <c r="G9" s="783"/>
      <c r="H9" s="772"/>
      <c r="I9" s="772"/>
      <c r="J9" s="782"/>
      <c r="K9" s="766">
        <v>3382</v>
      </c>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8037</v>
      </c>
      <c r="I12" s="1780">
        <f>SUM(I5:I11)</f>
        <v>0</v>
      </c>
      <c r="J12" s="1780">
        <f>SUM(J5:J11)</f>
        <v>28734</v>
      </c>
      <c r="K12" s="1780">
        <f>SUM(K5:K11)</f>
        <v>3382</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8037</v>
      </c>
      <c r="I14" s="772"/>
      <c r="J14" s="774"/>
      <c r="K14" s="766">
        <v>3382</v>
      </c>
    </row>
    <row r="15" spans="1:11" x14ac:dyDescent="0.2">
      <c r="A15" s="2237" t="s">
        <v>4</v>
      </c>
      <c r="B15" s="2237"/>
      <c r="C15" s="2237"/>
      <c r="D15" s="2237"/>
      <c r="E15" s="2238"/>
      <c r="F15" s="790" t="s">
        <v>910</v>
      </c>
      <c r="G15" s="772"/>
      <c r="H15" s="765"/>
      <c r="I15" s="765"/>
      <c r="J15" s="766">
        <v>10447</v>
      </c>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8037</v>
      </c>
      <c r="I23" s="1780">
        <f>SUM(I14:I16,I21,I22)</f>
        <v>0</v>
      </c>
      <c r="J23" s="1780">
        <f>SUM(J14:J16,J21,J22)</f>
        <v>10447</v>
      </c>
      <c r="K23" s="1780">
        <f>SUM(K14:K16,K21,K22)</f>
        <v>3382</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59078</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59078</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v>0</v>
      </c>
      <c r="D3" s="836"/>
      <c r="E3" s="836"/>
      <c r="F3" s="1782">
        <f>(C3+D3)-E3</f>
        <v>0</v>
      </c>
      <c r="G3" s="837"/>
      <c r="H3" s="836">
        <v>0</v>
      </c>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6500</v>
      </c>
      <c r="D5" s="842"/>
      <c r="E5" s="842"/>
      <c r="F5" s="1782">
        <f>(C5+D5)-E5</f>
        <v>6500</v>
      </c>
      <c r="G5" s="838"/>
      <c r="H5" s="843"/>
      <c r="I5" s="843"/>
      <c r="J5" s="843"/>
      <c r="K5" s="794"/>
      <c r="L5" s="1791">
        <f>F5-K5</f>
        <v>6500</v>
      </c>
    </row>
    <row r="6" spans="1:14" ht="14.25" thickTop="1" thickBot="1" x14ac:dyDescent="0.25">
      <c r="A6" s="779" t="s">
        <v>1179</v>
      </c>
      <c r="B6" s="841">
        <v>222</v>
      </c>
      <c r="C6" s="766">
        <v>0</v>
      </c>
      <c r="D6" s="766"/>
      <c r="E6" s="766"/>
      <c r="F6" s="1782">
        <f>(C6+D6)-E6</f>
        <v>0</v>
      </c>
      <c r="G6" s="838">
        <v>50</v>
      </c>
      <c r="H6" s="766">
        <v>0</v>
      </c>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1035757</v>
      </c>
      <c r="D8" s="845"/>
      <c r="E8" s="845"/>
      <c r="F8" s="1782">
        <f>(C8+D8)-E8</f>
        <v>1035757</v>
      </c>
      <c r="G8" s="844">
        <v>50</v>
      </c>
      <c r="H8" s="766">
        <v>729061</v>
      </c>
      <c r="I8" s="766">
        <v>20715</v>
      </c>
      <c r="J8" s="766"/>
      <c r="K8" s="1791">
        <f>(H8+I8)-J8</f>
        <v>749776</v>
      </c>
      <c r="L8" s="1791">
        <f>F8-K8</f>
        <v>285981</v>
      </c>
    </row>
    <row r="9" spans="1:14" ht="14.25" thickTop="1" thickBot="1" x14ac:dyDescent="0.25">
      <c r="A9" s="779" t="s">
        <v>1181</v>
      </c>
      <c r="B9" s="841">
        <v>232</v>
      </c>
      <c r="C9" s="766">
        <v>6293</v>
      </c>
      <c r="D9" s="766"/>
      <c r="E9" s="766"/>
      <c r="F9" s="1782">
        <f>(C9+D9)-E9</f>
        <v>6293</v>
      </c>
      <c r="G9" s="844">
        <v>20</v>
      </c>
      <c r="H9" s="766">
        <v>1134</v>
      </c>
      <c r="I9" s="766">
        <v>252</v>
      </c>
      <c r="J9" s="766"/>
      <c r="K9" s="1791">
        <f>(H9+I9)-J9</f>
        <v>1386</v>
      </c>
      <c r="L9" s="1791">
        <f>F9-K9</f>
        <v>4907</v>
      </c>
    </row>
    <row r="10" spans="1:14" ht="24" thickTop="1" thickBot="1" x14ac:dyDescent="0.25">
      <c r="A10" s="846" t="s">
        <v>1182</v>
      </c>
      <c r="B10" s="841">
        <v>240</v>
      </c>
      <c r="C10" s="847">
        <v>44054</v>
      </c>
      <c r="D10" s="847">
        <v>29106</v>
      </c>
      <c r="E10" s="847"/>
      <c r="F10" s="1786">
        <f>(C10+D10)-E10</f>
        <v>73160</v>
      </c>
      <c r="G10" s="844">
        <v>20</v>
      </c>
      <c r="H10" s="848">
        <v>14530</v>
      </c>
      <c r="I10" s="848">
        <v>2242</v>
      </c>
      <c r="J10" s="848"/>
      <c r="K10" s="1791">
        <f>(H10+I10)-J10</f>
        <v>16772</v>
      </c>
      <c r="L10" s="1791">
        <f>F10-K10</f>
        <v>56388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606850</v>
      </c>
      <c r="D12" s="845">
        <v>2549</v>
      </c>
      <c r="E12" s="845"/>
      <c r="F12" s="1782">
        <f>(C12+D12)-E12</f>
        <v>609399</v>
      </c>
      <c r="G12" s="844">
        <v>10</v>
      </c>
      <c r="H12" s="766">
        <v>569784</v>
      </c>
      <c r="I12" s="766">
        <v>9388</v>
      </c>
      <c r="J12" s="766"/>
      <c r="K12" s="1791">
        <f>(H12+I12)-J12</f>
        <v>579172</v>
      </c>
      <c r="L12" s="1791">
        <f>F12-K12</f>
        <v>30227</v>
      </c>
    </row>
    <row r="13" spans="1:14" ht="14.25" thickTop="1" thickBot="1" x14ac:dyDescent="0.25">
      <c r="A13" s="849" t="s">
        <v>1184</v>
      </c>
      <c r="B13" s="841">
        <v>252</v>
      </c>
      <c r="C13" s="845">
        <v>130005</v>
      </c>
      <c r="D13" s="845"/>
      <c r="E13" s="845"/>
      <c r="F13" s="1782">
        <f>(C13+D13)-E13</f>
        <v>130005</v>
      </c>
      <c r="G13" s="844">
        <v>5</v>
      </c>
      <c r="H13" s="766">
        <v>124633</v>
      </c>
      <c r="I13" s="766">
        <v>1535</v>
      </c>
      <c r="J13" s="766"/>
      <c r="K13" s="1791">
        <f>(H13+I13)-J13</f>
        <v>126168</v>
      </c>
      <c r="L13" s="1791">
        <f>F13-K13</f>
        <v>3837</v>
      </c>
    </row>
    <row r="14" spans="1:14" ht="14.25" thickTop="1" thickBot="1" x14ac:dyDescent="0.25">
      <c r="A14" s="849" t="s">
        <v>1185</v>
      </c>
      <c r="B14" s="841">
        <v>253</v>
      </c>
      <c r="C14" s="766">
        <v>51159</v>
      </c>
      <c r="D14" s="766"/>
      <c r="E14" s="766"/>
      <c r="F14" s="1782">
        <f>(C14+D14)-E14</f>
        <v>51159</v>
      </c>
      <c r="G14" s="844">
        <v>3</v>
      </c>
      <c r="H14" s="766">
        <v>39299</v>
      </c>
      <c r="I14" s="766">
        <v>5646</v>
      </c>
      <c r="J14" s="766"/>
      <c r="K14" s="1791">
        <f>(H14+I14)-J14</f>
        <v>44945</v>
      </c>
      <c r="L14" s="1791">
        <f>F14-K14</f>
        <v>6214</v>
      </c>
    </row>
    <row r="15" spans="1:14" ht="15" customHeight="1" thickTop="1" thickBot="1" x14ac:dyDescent="0.25">
      <c r="A15" s="1653" t="s">
        <v>549</v>
      </c>
      <c r="B15" s="1652">
        <v>260</v>
      </c>
      <c r="C15" s="845">
        <v>12000</v>
      </c>
      <c r="D15" s="845"/>
      <c r="E15" s="845">
        <v>12000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1892618</v>
      </c>
      <c r="D16" s="1782">
        <f>SUM(D3,D5:D6,D8:D10,D12:D15)</f>
        <v>31655</v>
      </c>
      <c r="E16" s="1782">
        <f>SUM(E3,E5:E6,E8:E10,E12:E15)</f>
        <v>12000</v>
      </c>
      <c r="F16" s="1782">
        <f>SUM(F3,F5:F6,F8:F10,F12:F15)</f>
        <v>1912273</v>
      </c>
      <c r="G16" s="844"/>
      <c r="H16" s="1782">
        <f>SUM(H3,H6,H8:H10,H12:H14,)</f>
        <v>1478441</v>
      </c>
      <c r="I16" s="1782">
        <f>SUM(I3,I6,I8:I10,I12:I14,)</f>
        <v>39778</v>
      </c>
      <c r="J16" s="1782">
        <f>SUM(J3,J6,J8:J10,J12:J14,)</f>
        <v>0</v>
      </c>
      <c r="K16" s="1782">
        <f>(H16+I16)-J16</f>
        <v>1518219</v>
      </c>
      <c r="L16" s="1782">
        <f>F16-K16</f>
        <v>394054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39778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8"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1252339</v>
      </c>
      <c r="G8" s="866"/>
    </row>
    <row r="9" spans="1:7" x14ac:dyDescent="0.2">
      <c r="A9" s="870" t="s">
        <v>480</v>
      </c>
      <c r="B9" s="871" t="s">
        <v>1989</v>
      </c>
      <c r="C9" s="872"/>
      <c r="D9" s="870" t="s">
        <v>522</v>
      </c>
      <c r="E9" s="869"/>
      <c r="F9" s="1935">
        <f>'Expenditures 15-22'!K151</f>
        <v>141205</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117617</v>
      </c>
      <c r="G11" s="873"/>
    </row>
    <row r="12" spans="1:7" x14ac:dyDescent="0.2">
      <c r="A12" s="870" t="s">
        <v>482</v>
      </c>
      <c r="B12" s="871" t="s">
        <v>1992</v>
      </c>
      <c r="C12" s="872"/>
      <c r="D12" s="870" t="s">
        <v>522</v>
      </c>
      <c r="E12" s="869"/>
      <c r="F12" s="1935">
        <f>'Expenditures 15-22'!K295</f>
        <v>51145</v>
      </c>
      <c r="G12" s="873"/>
    </row>
    <row r="13" spans="1:7" x14ac:dyDescent="0.2">
      <c r="A13" s="870" t="s">
        <v>108</v>
      </c>
      <c r="B13" s="871" t="s">
        <v>1993</v>
      </c>
      <c r="C13" s="872"/>
      <c r="D13" s="870" t="s">
        <v>522</v>
      </c>
      <c r="E13" s="869"/>
      <c r="F13" s="1935">
        <f>'Expenditures 15-22'!K342</f>
        <v>52311</v>
      </c>
      <c r="G13" s="874"/>
    </row>
    <row r="14" spans="1:7" ht="12" customHeight="1" thickBot="1" x14ac:dyDescent="0.25">
      <c r="A14" s="1792"/>
      <c r="B14" s="1793"/>
      <c r="C14" s="1794"/>
      <c r="D14" s="1795" t="s">
        <v>522</v>
      </c>
      <c r="E14" s="1796" t="s">
        <v>1015</v>
      </c>
      <c r="F14" s="1797">
        <f>SUM(F8:F13)</f>
        <v>1614617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1088</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7619</v>
      </c>
      <c r="G52" s="866"/>
    </row>
    <row r="53" spans="1:7" x14ac:dyDescent="0.2">
      <c r="A53" s="870" t="s">
        <v>479</v>
      </c>
      <c r="B53" s="870" t="s">
        <v>1551</v>
      </c>
      <c r="C53" s="890">
        <f>'Expenditures 15-22'!B102</f>
        <v>4000</v>
      </c>
      <c r="D53" s="889" t="str">
        <f>'Expenditures 15-22'!A102</f>
        <v>Total Payments to Other Govt Units</v>
      </c>
      <c r="E53" s="869"/>
      <c r="F53" s="1939">
        <f>'Expenditures 15-22'!K102</f>
        <v>55429</v>
      </c>
      <c r="G53" s="866"/>
    </row>
    <row r="54" spans="1:7" x14ac:dyDescent="0.2">
      <c r="A54" s="870" t="s">
        <v>479</v>
      </c>
      <c r="B54" s="870" t="s">
        <v>1552</v>
      </c>
      <c r="C54" s="890" t="s">
        <v>1039</v>
      </c>
      <c r="D54" s="886" t="s">
        <v>1157</v>
      </c>
      <c r="E54" s="869"/>
      <c r="F54" s="1939">
        <f>'Expenditures 15-22'!G114</f>
        <v>2549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17106</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60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83851</v>
      </c>
      <c r="G76" s="866"/>
    </row>
    <row r="77" spans="1:8" s="894" customFormat="1" ht="12" customHeight="1" thickTop="1" thickBot="1" x14ac:dyDescent="0.25">
      <c r="A77" s="1801"/>
      <c r="B77" s="1798"/>
      <c r="C77" s="1794"/>
      <c r="D77" s="1799" t="s">
        <v>2012</v>
      </c>
      <c r="E77" s="1796"/>
      <c r="F77" s="1802">
        <f>(F14-F76)</f>
        <v>1530766</v>
      </c>
      <c r="G77" s="870"/>
    </row>
    <row r="78" spans="1:8" s="894" customFormat="1" ht="12" customHeight="1" thickTop="1" x14ac:dyDescent="0.2">
      <c r="A78" s="1803"/>
      <c r="B78" s="1798"/>
      <c r="C78" s="1794"/>
      <c r="D78" s="1799" t="s">
        <v>2059</v>
      </c>
      <c r="E78" s="1796"/>
      <c r="F78" s="899">
        <v>123.93</v>
      </c>
      <c r="G78" s="900"/>
      <c r="H78" s="870"/>
    </row>
    <row r="79" spans="1:8" s="894" customFormat="1" ht="12" customHeight="1" thickBot="1" x14ac:dyDescent="0.25">
      <c r="A79" s="1804"/>
      <c r="B79" s="1798"/>
      <c r="C79" s="1794"/>
      <c r="D79" s="1799" t="s">
        <v>2013</v>
      </c>
      <c r="E79" s="1796" t="s">
        <v>1015</v>
      </c>
      <c r="F79" s="1805">
        <f>IF(F78&gt;0,F77/F78," Complete Line 78")</f>
        <v>12351.859920923102</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76225</v>
      </c>
      <c r="G94" s="913"/>
    </row>
    <row r="95" spans="1:7" x14ac:dyDescent="0.2">
      <c r="A95" s="909" t="s">
        <v>142</v>
      </c>
      <c r="B95" s="909" t="s">
        <v>177</v>
      </c>
      <c r="C95" s="911">
        <v>1700</v>
      </c>
      <c r="D95" s="919" t="str">
        <f>'Revenues 9-14'!A82</f>
        <v>Total District/School Activity Income</v>
      </c>
      <c r="E95" s="907"/>
      <c r="F95" s="1811">
        <f>SUM('Revenues 9-14'!C82,'Revenues 9-14'!D82)</f>
        <v>16571</v>
      </c>
      <c r="G95" s="913"/>
    </row>
    <row r="96" spans="1:7" x14ac:dyDescent="0.2">
      <c r="A96" s="909" t="s">
        <v>479</v>
      </c>
      <c r="B96" s="909" t="s">
        <v>178</v>
      </c>
      <c r="C96" s="911">
        <f>'Revenues 9-14'!B84</f>
        <v>1811</v>
      </c>
      <c r="D96" s="912" t="str">
        <f>'Revenues 9-14'!A84</f>
        <v>Rentals - Regular Textbooks</v>
      </c>
      <c r="E96" s="907"/>
      <c r="F96" s="1811">
        <f>'Revenues 9-14'!C84</f>
        <v>1578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24343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4972</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517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3382</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40655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19210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37745</v>
      </c>
      <c r="G129" s="931"/>
    </row>
    <row r="130" spans="1:7" x14ac:dyDescent="0.2">
      <c r="A130" s="928" t="s">
        <v>689</v>
      </c>
      <c r="B130" s="928" t="s">
        <v>804</v>
      </c>
      <c r="C130" s="933">
        <v>4300</v>
      </c>
      <c r="D130" s="934" t="str">
        <f>'Revenues 9-14'!A211</f>
        <v>Total Title I</v>
      </c>
      <c r="E130" s="907"/>
      <c r="F130" s="1811">
        <f>SUM('Revenues 9-14'!C211,'Revenues 9-14'!D211,'Revenues 9-14'!F211,'Revenues 9-14'!G211)</f>
        <v>10218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4003</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9727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5190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1323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255659</v>
      </c>
    </row>
    <row r="179" spans="1:7" ht="12" customHeight="1" x14ac:dyDescent="0.2">
      <c r="A179" s="1792"/>
      <c r="B179" s="1806"/>
      <c r="C179" s="1807"/>
      <c r="D179" s="1808" t="s">
        <v>2015</v>
      </c>
      <c r="E179" s="1809"/>
      <c r="F179" s="1811">
        <f>'PCTC-OEPP 27-28'!F77-F178</f>
        <v>1275107</v>
      </c>
    </row>
    <row r="180" spans="1:7" ht="12" customHeight="1" x14ac:dyDescent="0.2">
      <c r="A180" s="1792"/>
      <c r="B180" s="1806"/>
      <c r="C180" s="1807"/>
      <c r="D180" s="1808" t="s">
        <v>1924</v>
      </c>
      <c r="E180" s="1809"/>
      <c r="F180" s="1811">
        <f>'Cap Outlay Deprec 26'!I18</f>
        <v>39778</v>
      </c>
    </row>
    <row r="181" spans="1:7" ht="12" customHeight="1" x14ac:dyDescent="0.2">
      <c r="A181" s="1792"/>
      <c r="B181" s="1806"/>
      <c r="C181" s="1807"/>
      <c r="D181" s="1808" t="s">
        <v>2016</v>
      </c>
      <c r="E181" s="1809"/>
      <c r="F181" s="1811">
        <f>F179+F180</f>
        <v>1314885</v>
      </c>
    </row>
    <row r="182" spans="1:7" ht="12" customHeight="1" x14ac:dyDescent="0.2">
      <c r="A182" s="1792"/>
      <c r="B182" s="1812"/>
      <c r="C182" s="1807"/>
      <c r="D182" s="1808" t="str">
        <f>D78</f>
        <v>9 Month ADA from District Average Daily Attendance/Prior General State Aid Inquiry 2017-2018</v>
      </c>
      <c r="E182" s="1809"/>
      <c r="F182" s="1813">
        <f>'PCTC-OEPP 27-28'!F78</f>
        <v>123.93</v>
      </c>
      <c r="G182" s="931"/>
    </row>
    <row r="183" spans="1:7" ht="12" customHeight="1" thickBot="1" x14ac:dyDescent="0.25">
      <c r="A183" s="1792"/>
      <c r="B183" s="1812"/>
      <c r="C183" s="1807"/>
      <c r="D183" s="1808" t="s">
        <v>2017</v>
      </c>
      <c r="E183" s="1809" t="s">
        <v>1626</v>
      </c>
      <c r="F183" s="1814">
        <f>F181/F182</f>
        <v>10609.900750423625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2090</v>
      </c>
      <c r="B17" s="1957" t="s">
        <v>2091</v>
      </c>
      <c r="C17" s="1958" t="s">
        <v>2092</v>
      </c>
      <c r="D17" s="1867">
        <v>37578</v>
      </c>
      <c r="E17" s="1562">
        <f t="shared" ref="E17:E141" si="1">IF(D17&lt;=25000,D17,IF(D17&gt;25000,25000,0))</f>
        <v>25000</v>
      </c>
      <c r="F17" s="1815">
        <f t="shared" si="0"/>
        <v>25000</v>
      </c>
      <c r="G17" s="1816">
        <f>IF(F17=0,0,D17-F17)</f>
        <v>12578</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37578</v>
      </c>
      <c r="E141" s="1563">
        <f t="shared" si="1"/>
        <v>25000</v>
      </c>
      <c r="F141" s="1817">
        <f>SUM(F17:F140)</f>
        <v>25000</v>
      </c>
      <c r="G141" s="1818">
        <f>SUM(G17:G140)</f>
        <v>12578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50602</v>
      </c>
      <c r="F10" s="975"/>
      <c r="G10" s="976"/>
      <c r="H10" s="162"/>
      <c r="I10" s="162"/>
    </row>
    <row r="11" spans="1:9" s="669" customFormat="1" ht="22.5" customHeight="1" x14ac:dyDescent="0.2">
      <c r="A11" s="2306" t="s">
        <v>1945</v>
      </c>
      <c r="B11" s="2307"/>
      <c r="C11" s="2307"/>
      <c r="D11" s="2308"/>
      <c r="E11" s="978">
        <v>11634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833843</v>
      </c>
      <c r="F19" s="1822"/>
      <c r="G19" s="1824">
        <f>'Expenditures 15-22'!K33-SUM('Expenditures 15-22'!G33,'Expenditures 15-22'!I33)+'Expenditures 15-22'!D229</f>
        <v>833843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38394</v>
      </c>
      <c r="F21" s="1825"/>
      <c r="G21" s="1828">
        <f>'Expenditures 15-22'!K42-SUM('Expenditures 15-22'!G42,'Expenditures 15-22'!I42)+'Expenditures 15-22'!K120-SUM('Expenditures 15-22'!G120,'Expenditures 15-22'!I120)+'Expenditures 15-22'!K180-SUM('Expenditures 15-22'!G180,'Expenditures 15-22'!I180)+'Expenditures 15-22'!D238</f>
        <v>38394</v>
      </c>
      <c r="H21" s="988"/>
      <c r="I21" s="162"/>
    </row>
    <row r="22" spans="1:9" s="669" customFormat="1" ht="12" customHeight="1" x14ac:dyDescent="0.2">
      <c r="A22" s="995" t="s">
        <v>585</v>
      </c>
      <c r="B22" s="996"/>
      <c r="C22" s="994">
        <v>2200</v>
      </c>
      <c r="D22" s="1825"/>
      <c r="E22" s="1827">
        <f>'Expenditures 15-22'!K47-SUM('Expenditures 15-22'!G47,'Expenditures 15-22'!I47)+'Expenditures 15-22'!D243</f>
        <v>4507</v>
      </c>
      <c r="F22" s="1825"/>
      <c r="G22" s="1828">
        <f>'Expenditures 15-22'!K47-SUM('Expenditures 15-22'!G47,'Expenditures 15-22'!I47)+'Expenditures 15-22'!D243</f>
        <v>4507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134848</v>
      </c>
      <c r="F23" s="1825"/>
      <c r="G23" s="1827">
        <f>'Expenditures 15-22'!K53-SUM('Expenditures 15-22'!G53,'Expenditures 15-22'!I53)+'Expenditures 15-22'!D257+'Expenditures 15-22'!K330-SUM('Expenditures 15-22'!G330,'Expenditures 15-22'!I330)</f>
        <v>134848</v>
      </c>
      <c r="H23" s="988"/>
      <c r="I23" s="162"/>
    </row>
    <row r="24" spans="1:9" s="669" customFormat="1" ht="12" customHeight="1" x14ac:dyDescent="0.2">
      <c r="A24" s="995" t="s">
        <v>587</v>
      </c>
      <c r="B24" s="996"/>
      <c r="C24" s="994">
        <v>2400</v>
      </c>
      <c r="D24" s="1825"/>
      <c r="E24" s="1827">
        <f>'Expenditures 15-22'!K57-SUM('Expenditures 15-22'!G57,'Expenditures 15-22'!I57)+'Expenditures 15-22'!D261</f>
        <v>90190</v>
      </c>
      <c r="F24" s="1825"/>
      <c r="G24" s="1828">
        <f>'Expenditures 15-22'!K57-SUM('Expenditures 15-22'!G57,'Expenditures 15-22'!I57)+'Expenditures 15-22'!D261</f>
        <v>90190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25356</v>
      </c>
      <c r="E27" s="1827">
        <f>E8</f>
        <v>0</v>
      </c>
      <c r="F27" s="1827">
        <f>'Expenditures 15-22'!K60-SUM('Expenditures 15-22'!G60,'Expenditures 15-22'!I60)+'Expenditures 15-22'!D264-E8</f>
        <v>25356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159534</v>
      </c>
      <c r="F28" s="1829">
        <f>'Expenditures 15-22'!K61-SUM('Expenditures 15-22'!G61,'Expenditures 15-22'!I61)+'Expenditures 15-22'!K124-SUM('Expenditures 15-22'!G124,'Expenditures 15-22'!I124)+'Expenditures 15-22'!D266-E9</f>
        <v>159534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123075</v>
      </c>
      <c r="F29" s="1825"/>
      <c r="G29" s="1828">
        <f>'Expenditures 15-22'!K62-SUM('Expenditures 15-22'!G62,'Expenditures 15-22'!I62)+'Expenditures 15-22'!K125-SUM('Expenditures 15-22'!G125,'Expenditures 15-22'!I125)+'Expenditures 15-22'!K182-SUM('Expenditures 15-22'!G182,'Expenditures 15-22'!I182)+'Expenditures 15-22'!D267</f>
        <v>123075</v>
      </c>
      <c r="H29" s="986"/>
    </row>
    <row r="30" spans="1:9" ht="12" customHeight="1" x14ac:dyDescent="0.2">
      <c r="A30" s="995" t="s">
        <v>102</v>
      </c>
      <c r="B30" s="998"/>
      <c r="C30" s="994">
        <v>2560</v>
      </c>
      <c r="D30" s="1825"/>
      <c r="E30" s="1827">
        <f>'Expenditures 15-22'!K63-SUM('Expenditures 15-22'!G63,'Expenditures 15-22'!I63)+'Expenditures 15-22'!D268-E10</f>
        <v>68581</v>
      </c>
      <c r="F30" s="1825"/>
      <c r="G30" s="1827">
        <f>'Expenditures 15-22'!K63-SUM('Expenditures 15-22'!G63,'Expenditures 15-22'!I63)+'Expenditures 15-22'!D268-E10</f>
        <v>68581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2924</v>
      </c>
      <c r="F33" s="1825"/>
      <c r="G33" s="1827">
        <f>'Expenditures 15-22'!K67-SUM('Expenditures 15-22'!G67,'Expenditures 15-22'!I67)+'Expenditures 15-22'!D272</f>
        <v>2924</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7679</v>
      </c>
      <c r="F39" s="1825"/>
      <c r="G39" s="1827">
        <f>'Expenditures 15-22'!K75-SUM('Expenditures 15-22'!G75,'Expenditures 15-22'!I75)+'Expenditures 15-22'!K130-SUM('Expenditures 15-22'!G130,'Expenditures 15-22'!I130)+'Expenditures 15-22'!K185-SUM('Expenditures 15-22'!G185,'Expenditures 15-22'!I185)+'Expenditures 15-22'!D280</f>
        <v>7679</v>
      </c>
    </row>
    <row r="40" spans="1:7" ht="12" customHeight="1" x14ac:dyDescent="0.2">
      <c r="A40" s="991" t="s">
        <v>1930</v>
      </c>
      <c r="B40" s="992"/>
      <c r="C40" s="994"/>
      <c r="D40" s="1825"/>
      <c r="E40" s="1829">
        <f>-'Contracts Paid in CY 29'!G141</f>
        <v>-12578</v>
      </c>
      <c r="F40" s="1825"/>
      <c r="G40" s="1829">
        <f>-'Contracts Paid in CY 29'!G141</f>
        <v>-12578</v>
      </c>
    </row>
    <row r="41" spans="1:7" ht="12" customHeight="1" x14ac:dyDescent="0.2">
      <c r="A41" s="999" t="s">
        <v>158</v>
      </c>
      <c r="B41" s="1000"/>
      <c r="C41" s="1001"/>
      <c r="D41" s="1829">
        <f>SUM(D19:D39)</f>
        <v>25356</v>
      </c>
      <c r="E41" s="1829">
        <f>SUM(E19:E40)</f>
        <v>1450997</v>
      </c>
      <c r="F41" s="1829">
        <f>SUM(F19:F39)</f>
        <v>184890</v>
      </c>
      <c r="G41" s="1829">
        <f>SUM(G19:G40)</f>
        <v>1291463</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25356</v>
      </c>
      <c r="F43" s="1830" t="s">
        <v>495</v>
      </c>
      <c r="G43" s="1831">
        <f>F41</f>
        <v>184890</v>
      </c>
    </row>
    <row r="44" spans="1:7" ht="12" customHeight="1" x14ac:dyDescent="0.2">
      <c r="A44" s="988"/>
      <c r="B44" s="162"/>
      <c r="C44" s="1002"/>
      <c r="D44" s="1830" t="s">
        <v>494</v>
      </c>
      <c r="E44" s="1831">
        <f>E41</f>
        <v>1450997</v>
      </c>
      <c r="F44" s="1830" t="s">
        <v>494</v>
      </c>
      <c r="G44" s="1831">
        <f>G41</f>
        <v>1291463</v>
      </c>
    </row>
    <row r="45" spans="1:7" ht="12" customHeight="1" x14ac:dyDescent="0.2">
      <c r="A45" s="988"/>
      <c r="B45" s="162"/>
      <c r="C45" s="162"/>
      <c r="D45" s="1832" t="s">
        <v>1063</v>
      </c>
      <c r="E45" s="1833">
        <f>(E43/E44)</f>
        <v>1.7474881064537005E-2</v>
      </c>
      <c r="F45" s="1832" t="s">
        <v>1063</v>
      </c>
      <c r="G45" s="1833">
        <f>(G43/G44)</f>
        <v>0.14316321876817223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4" t="s">
        <v>1446</v>
      </c>
      <c r="B1" s="2324"/>
      <c r="C1" s="2324"/>
      <c r="D1" s="2324"/>
      <c r="E1" s="2324"/>
      <c r="F1" s="2324"/>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5" t="s">
        <v>1627</v>
      </c>
      <c r="B5" s="2326"/>
      <c r="C5" s="2327"/>
      <c r="D5" s="2327"/>
      <c r="E5" s="2327"/>
      <c r="F5" s="2327"/>
    </row>
    <row r="6" spans="1:10" ht="12" customHeight="1" x14ac:dyDescent="0.25">
      <c r="A6" s="1875"/>
      <c r="B6" s="1876"/>
      <c r="C6" s="2328" t="str">
        <f>COVER!A17</f>
        <v>Brussels CUSD 42</v>
      </c>
      <c r="D6" s="2328"/>
      <c r="E6" s="2328"/>
      <c r="F6" s="1877"/>
    </row>
    <row r="7" spans="1:10" ht="11.25" customHeight="1" thickBot="1" x14ac:dyDescent="0.3">
      <c r="A7" s="1875"/>
      <c r="B7" s="1876"/>
      <c r="C7" s="2329">
        <f>COVER!A13</f>
        <v>40007042026</v>
      </c>
      <c r="D7" s="2329"/>
      <c r="E7" s="2329"/>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2077</v>
      </c>
      <c r="D15" s="1890" t="s">
        <v>2077</v>
      </c>
      <c r="E15" s="1893" t="s">
        <v>2077</v>
      </c>
      <c r="F15" s="1892" t="s">
        <v>2095</v>
      </c>
      <c r="H15" s="1903">
        <f t="shared" si="0"/>
        <v>5</v>
      </c>
      <c r="I15" s="1903">
        <f t="shared" si="1"/>
        <v>5</v>
      </c>
      <c r="J15" s="1903">
        <f t="shared" si="2"/>
        <v>5</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2093</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t="s">
        <v>2077</v>
      </c>
      <c r="F25" s="1892" t="s">
        <v>2094</v>
      </c>
      <c r="H25" s="1903">
        <f t="shared" si="0"/>
        <v>5</v>
      </c>
      <c r="I25" s="1903">
        <f t="shared" si="1"/>
        <v>5</v>
      </c>
      <c r="J25" s="1903">
        <f t="shared" si="2"/>
        <v>5</v>
      </c>
    </row>
    <row r="26" spans="1:12" ht="12" customHeight="1" x14ac:dyDescent="0.2">
      <c r="A26" s="1888" t="s">
        <v>1615</v>
      </c>
      <c r="B26" s="1889"/>
      <c r="C26" s="1890" t="s">
        <v>2077</v>
      </c>
      <c r="D26" s="1890" t="s">
        <v>2077</v>
      </c>
      <c r="E26" s="1893" t="s">
        <v>2077</v>
      </c>
      <c r="F26" s="1892" t="s">
        <v>2097</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t="s">
        <v>2077</v>
      </c>
      <c r="F31" s="1892" t="s">
        <v>2098</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25</v>
      </c>
      <c r="J34" s="1903">
        <f>SUM(J11:J32)</f>
        <v>25</v>
      </c>
      <c r="K34" s="1903">
        <f>SUM(H34:J34)</f>
        <v>75</v>
      </c>
    </row>
    <row r="35" spans="1:11" ht="12" customHeight="1" x14ac:dyDescent="0.2">
      <c r="A35" s="1896" t="s">
        <v>1459</v>
      </c>
      <c r="B35" s="1897"/>
      <c r="C35" s="2330"/>
      <c r="D35" s="2330"/>
      <c r="E35" s="2330"/>
      <c r="F35" s="2331"/>
    </row>
    <row r="36" spans="1:11" ht="12" customHeight="1" x14ac:dyDescent="0.2">
      <c r="A36" s="2323" t="s">
        <v>2096</v>
      </c>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6"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E19" sqref="E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Brussels CUSD 42</v>
      </c>
      <c r="J6" s="2338"/>
      <c r="Q6" s="1686"/>
    </row>
    <row r="7" spans="1:17" x14ac:dyDescent="0.2">
      <c r="A7" s="2339" t="s">
        <v>924</v>
      </c>
      <c r="B7" s="2340"/>
      <c r="C7" s="2340"/>
      <c r="D7" s="2340"/>
      <c r="E7" s="2341"/>
      <c r="F7" s="1018"/>
      <c r="G7" s="1010"/>
      <c r="H7" s="1017" t="s">
        <v>390</v>
      </c>
      <c r="I7" s="2342">
        <f>COVER!A13</f>
        <v>40007042026</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64820</v>
      </c>
      <c r="F12" s="1040"/>
      <c r="G12" s="1834">
        <f t="shared" ref="G12:G18" si="0">SUM(E12:F12)</f>
        <v>64820</v>
      </c>
      <c r="H12" s="1041">
        <v>62502</v>
      </c>
      <c r="I12" s="1040"/>
      <c r="J12" s="1834">
        <f t="shared" ref="J12:J18" si="1">SUM(H12:I12)</f>
        <v>62502</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v>0</v>
      </c>
      <c r="J15" s="1834">
        <f t="shared" si="1"/>
        <v>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2883</v>
      </c>
      <c r="F17" s="1040"/>
      <c r="G17" s="1834">
        <f t="shared" si="0"/>
        <v>2883</v>
      </c>
      <c r="H17" s="1041">
        <v>3032</v>
      </c>
      <c r="I17" s="1040"/>
      <c r="J17" s="1834">
        <f t="shared" si="1"/>
        <v>3032</v>
      </c>
    </row>
    <row r="18" spans="1:10" ht="22.5" customHeight="1" x14ac:dyDescent="0.2">
      <c r="A18" s="1043">
        <v>7</v>
      </c>
      <c r="B18" s="2346" t="s">
        <v>7</v>
      </c>
      <c r="C18" s="2347"/>
      <c r="D18" s="2348"/>
      <c r="E18" s="1044">
        <v>0</v>
      </c>
      <c r="F18" s="1044">
        <v>0</v>
      </c>
      <c r="G18" s="1835">
        <f t="shared" si="0"/>
        <v>0</v>
      </c>
      <c r="H18" s="1041">
        <v>0</v>
      </c>
      <c r="I18" s="1041">
        <v>0</v>
      </c>
      <c r="J18" s="1834">
        <f t="shared" si="1"/>
        <v>0</v>
      </c>
    </row>
    <row r="19" spans="1:10" ht="12.75" customHeight="1" thickBot="1" x14ac:dyDescent="0.25">
      <c r="A19" s="1036">
        <v>8</v>
      </c>
      <c r="B19" s="1045" t="s">
        <v>1223</v>
      </c>
      <c r="D19" s="1046"/>
      <c r="E19" s="1836">
        <f t="shared" ref="E19:J19" si="2">SUM(E12:E17)-E18</f>
        <v>67703</v>
      </c>
      <c r="F19" s="1836">
        <f t="shared" si="2"/>
        <v>0</v>
      </c>
      <c r="G19" s="1836">
        <f t="shared" si="2"/>
        <v>67703</v>
      </c>
      <c r="H19" s="1836">
        <f t="shared" si="2"/>
        <v>65534</v>
      </c>
      <c r="I19" s="1836">
        <f t="shared" si="2"/>
        <v>0</v>
      </c>
      <c r="J19" s="1836">
        <f t="shared" si="2"/>
        <v>65534</v>
      </c>
    </row>
    <row r="20" spans="1:10" ht="13.5" thickTop="1" x14ac:dyDescent="0.2">
      <c r="A20" s="1036">
        <v>9</v>
      </c>
      <c r="B20" s="2349" t="s">
        <v>1703</v>
      </c>
      <c r="C20" s="2349"/>
      <c r="D20" s="2350"/>
      <c r="E20" s="1047"/>
      <c r="F20" s="1047"/>
      <c r="G20" s="1047"/>
      <c r="H20" s="1047"/>
      <c r="I20" s="1047"/>
      <c r="J20" s="1837">
        <f>IF(AND(G19&gt;0,J19&gt;0),(((J19-G19)/G19)),"Enter Budget Data")</f>
        <v>-3.2036985067131443E-2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topLeftCell="A34" zoomScale="110" zoomScaleNormal="110" workbookViewId="0">
      <selection activeCell="B53" sqref="B53:B5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89" t="s">
        <v>2099</v>
      </c>
    </row>
    <row r="6" spans="1:2" x14ac:dyDescent="0.2">
      <c r="A6" s="1069"/>
      <c r="B6" s="329" t="s">
        <v>2100</v>
      </c>
    </row>
    <row r="7" spans="1:2" x14ac:dyDescent="0.2">
      <c r="A7" s="1069"/>
      <c r="B7" s="329" t="s">
        <v>2101</v>
      </c>
    </row>
    <row r="8" spans="1:2" x14ac:dyDescent="0.2">
      <c r="A8" s="1069"/>
      <c r="B8" s="329" t="s">
        <v>2102</v>
      </c>
    </row>
    <row r="9" spans="1:2" x14ac:dyDescent="0.2">
      <c r="A9" s="1069"/>
      <c r="B9" s="329" t="s">
        <v>2103</v>
      </c>
    </row>
    <row r="10" spans="1:2" x14ac:dyDescent="0.2">
      <c r="A10" s="1069"/>
      <c r="B10" s="329" t="s">
        <v>2104</v>
      </c>
    </row>
    <row r="11" spans="1:2" x14ac:dyDescent="0.2">
      <c r="A11" s="1069"/>
      <c r="B11" s="329" t="s">
        <v>2105</v>
      </c>
    </row>
    <row r="12" spans="1:2" x14ac:dyDescent="0.2">
      <c r="A12" s="1069"/>
    </row>
    <row r="13" spans="1:2" x14ac:dyDescent="0.2">
      <c r="A13" s="1069">
        <v>2</v>
      </c>
      <c r="B13" s="389" t="s">
        <v>2106</v>
      </c>
    </row>
    <row r="14" spans="1:2" x14ac:dyDescent="0.2">
      <c r="A14" s="1069"/>
      <c r="B14" s="329" t="s">
        <v>2107</v>
      </c>
    </row>
    <row r="15" spans="1:2" x14ac:dyDescent="0.2">
      <c r="A15" s="1069"/>
    </row>
    <row r="16" spans="1:2" x14ac:dyDescent="0.2">
      <c r="A16" s="1069">
        <v>3</v>
      </c>
      <c r="B16" s="389" t="s">
        <v>2108</v>
      </c>
    </row>
    <row r="17" spans="1:2" x14ac:dyDescent="0.2">
      <c r="A17" s="1069"/>
      <c r="B17" s="329" t="s">
        <v>2109</v>
      </c>
    </row>
    <row r="18" spans="1:2" x14ac:dyDescent="0.2">
      <c r="A18" s="1069"/>
    </row>
    <row r="19" spans="1:2" x14ac:dyDescent="0.2">
      <c r="A19" s="1069">
        <v>4</v>
      </c>
      <c r="B19" s="389" t="s">
        <v>2110</v>
      </c>
    </row>
    <row r="20" spans="1:2" x14ac:dyDescent="0.2">
      <c r="A20" s="1070"/>
      <c r="B20" s="329" t="s">
        <v>2111</v>
      </c>
    </row>
    <row r="21" spans="1:2" x14ac:dyDescent="0.2">
      <c r="A21" s="1070"/>
      <c r="B21" s="1959" t="s">
        <v>2112</v>
      </c>
    </row>
    <row r="22" spans="1:2" x14ac:dyDescent="0.2">
      <c r="A22" s="1070"/>
      <c r="B22" s="329" t="s">
        <v>2113</v>
      </c>
    </row>
    <row r="23" spans="1:2" x14ac:dyDescent="0.2">
      <c r="A23" s="1070"/>
    </row>
    <row r="24" spans="1:2" x14ac:dyDescent="0.2">
      <c r="A24" s="1069">
        <v>5</v>
      </c>
      <c r="B24" s="389" t="s">
        <v>2114</v>
      </c>
    </row>
    <row r="25" spans="1:2" x14ac:dyDescent="0.2">
      <c r="A25" s="1069"/>
      <c r="B25" s="329" t="s">
        <v>2115</v>
      </c>
    </row>
    <row r="26" spans="1:2" x14ac:dyDescent="0.2">
      <c r="A26" s="1070"/>
      <c r="B26" s="329" t="s">
        <v>2116</v>
      </c>
    </row>
    <row r="27" spans="1:2" x14ac:dyDescent="0.2">
      <c r="A27" s="1070"/>
      <c r="B27" s="329" t="s">
        <v>2117</v>
      </c>
    </row>
    <row r="28" spans="1:2" x14ac:dyDescent="0.2">
      <c r="A28" s="1070"/>
    </row>
    <row r="29" spans="1:2" x14ac:dyDescent="0.2">
      <c r="A29" s="1069">
        <v>6</v>
      </c>
      <c r="B29" s="389" t="s">
        <v>2118</v>
      </c>
    </row>
    <row r="30" spans="1:2" x14ac:dyDescent="0.2">
      <c r="A30" s="1070"/>
      <c r="B30" s="329" t="s">
        <v>2119</v>
      </c>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Brussels CUSD 42</v>
      </c>
    </row>
    <row r="66" spans="1:2" x14ac:dyDescent="0.2">
      <c r="B66" s="1071">
        <f>COVER!A13</f>
        <v>40007042026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37" sqref="C3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autoPict="0" r:id="rId7">
            <anchor moveWithCells="1">
              <from>
                <xdr:col>1</xdr:col>
                <xdr:colOff>819150</xdr:colOff>
                <xdr:row>0</xdr:row>
                <xdr:rowOff>0</xdr:rowOff>
              </from>
              <to>
                <xdr:col>1</xdr:col>
                <xdr:colOff>1733550</xdr:colOff>
                <xdr:row>4</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autoPict="0" r:id="rId9">
            <anchor moveWithCells="1">
              <from>
                <xdr:col>1</xdr:col>
                <xdr:colOff>1743075</xdr:colOff>
                <xdr:row>0</xdr:row>
                <xdr:rowOff>0</xdr:rowOff>
              </from>
              <to>
                <xdr:col>1</xdr:col>
                <xdr:colOff>2657475</xdr:colOff>
                <xdr:row>4</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5" r:id="rId10">
          <objectPr defaultSize="0" autoPict="0" r:id="rId11">
            <anchor moveWithCells="1">
              <from>
                <xdr:col>1</xdr:col>
                <xdr:colOff>800100</xdr:colOff>
                <xdr:row>4</xdr:row>
                <xdr:rowOff>38100</xdr:rowOff>
              </from>
              <to>
                <xdr:col>1</xdr:col>
                <xdr:colOff>1714500</xdr:colOff>
                <xdr:row>8</xdr:row>
                <xdr:rowOff>76200</xdr:rowOff>
              </to>
            </anchor>
          </objectPr>
        </oleObject>
      </mc:Choice>
      <mc:Fallback>
        <oleObject progId="Acrobat Document" dvAspect="DVASPECT_ICON" shapeId="35845" r:id="rId10"/>
      </mc:Fallback>
    </mc:AlternateContent>
    <mc:AlternateContent xmlns:mc="http://schemas.openxmlformats.org/markup-compatibility/2006">
      <mc:Choice Requires="x14">
        <oleObject progId="Acrobat Document" dvAspect="DVASPECT_ICON" shapeId="35846" r:id="rId12">
          <objectPr defaultSize="0" autoPict="0" r:id="rId13">
            <anchor moveWithCells="1">
              <from>
                <xdr:col>1</xdr:col>
                <xdr:colOff>1733550</xdr:colOff>
                <xdr:row>4</xdr:row>
                <xdr:rowOff>38100</xdr:rowOff>
              </from>
              <to>
                <xdr:col>1</xdr:col>
                <xdr:colOff>2647950</xdr:colOff>
                <xdr:row>8</xdr:row>
                <xdr:rowOff>76200</xdr:rowOff>
              </to>
            </anchor>
          </objectPr>
        </oleObject>
      </mc:Choice>
      <mc:Fallback>
        <oleObject progId="Acrobat Document" dvAspect="DVASPECT_ICON" shapeId="35846" r:id="rId12"/>
      </mc:Fallback>
    </mc:AlternateContent>
    <mc:AlternateContent xmlns:mc="http://schemas.openxmlformats.org/markup-compatibility/2006">
      <mc:Choice Requires="x14">
        <oleObject progId="Acrobat Document" dvAspect="DVASPECT_ICON" shapeId="35847" r:id="rId14">
          <objectPr defaultSize="0" autoPict="0" r:id="rId15">
            <anchor moveWithCells="1">
              <from>
                <xdr:col>1</xdr:col>
                <xdr:colOff>2667000</xdr:colOff>
                <xdr:row>0</xdr:row>
                <xdr:rowOff>0</xdr:rowOff>
              </from>
              <to>
                <xdr:col>1</xdr:col>
                <xdr:colOff>3581400</xdr:colOff>
                <xdr:row>4</xdr:row>
                <xdr:rowOff>38100</xdr:rowOff>
              </to>
            </anchor>
          </objectPr>
        </oleObject>
      </mc:Choice>
      <mc:Fallback>
        <oleObject progId="Acrobat Document" dvAspect="DVASPECT_ICON" shapeId="35847" r:id="rId14"/>
      </mc:Fallback>
    </mc:AlternateContent>
    <mc:AlternateContent xmlns:mc="http://schemas.openxmlformats.org/markup-compatibility/2006">
      <mc:Choice Requires="x14">
        <oleObject progId="Acrobat Document" dvAspect="DVASPECT_ICON" shapeId="35849" r:id="rId16">
          <objectPr defaultSize="0" r:id="rId17">
            <anchor moveWithCells="1">
              <from>
                <xdr:col>1</xdr:col>
                <xdr:colOff>3590925</xdr:colOff>
                <xdr:row>2</xdr:row>
                <xdr:rowOff>57150</xdr:rowOff>
              </from>
              <to>
                <xdr:col>2</xdr:col>
                <xdr:colOff>523875</xdr:colOff>
                <xdr:row>6</xdr:row>
                <xdr:rowOff>95250</xdr:rowOff>
              </to>
            </anchor>
          </objectPr>
        </oleObject>
      </mc:Choice>
      <mc:Fallback>
        <oleObject progId="Acrobat Document" dvAspect="DVASPECT_ICON" shapeId="35849" r:id="rId16"/>
      </mc:Fallback>
    </mc:AlternateContent>
    <mc:AlternateContent xmlns:mc="http://schemas.openxmlformats.org/markup-compatibility/2006">
      <mc:Choice Requires="x14">
        <oleObject progId="Acrobat Document" dvAspect="DVASPECT_ICON" shapeId="35850" r:id="rId18">
          <objectPr defaultSize="0" r:id="rId19">
            <anchor moveWithCells="1">
              <from>
                <xdr:col>0</xdr:col>
                <xdr:colOff>0</xdr:colOff>
                <xdr:row>4</xdr:row>
                <xdr:rowOff>38100</xdr:rowOff>
              </from>
              <to>
                <xdr:col>1</xdr:col>
                <xdr:colOff>790575</xdr:colOff>
                <xdr:row>8</xdr:row>
                <xdr:rowOff>76200</xdr:rowOff>
              </to>
            </anchor>
          </objectPr>
        </oleObject>
      </mc:Choice>
      <mc:Fallback>
        <oleObject progId="Acrobat Document" dvAspect="DVASPECT_ICON" shapeId="35850" r:id="rId18"/>
      </mc:Fallback>
    </mc:AlternateContent>
    <mc:AlternateContent xmlns:mc="http://schemas.openxmlformats.org/markup-compatibility/2006">
      <mc:Choice Requires="x14">
        <oleObject progId="Acrobat Document" dvAspect="DVASPECT_ICON" shapeId="35851" r:id="rId20">
          <objectPr defaultSize="0" r:id="rId21">
            <anchor moveWithCells="1">
              <from>
                <xdr:col>1</xdr:col>
                <xdr:colOff>2657475</xdr:colOff>
                <xdr:row>4</xdr:row>
                <xdr:rowOff>47625</xdr:rowOff>
              </from>
              <to>
                <xdr:col>1</xdr:col>
                <xdr:colOff>3571875</xdr:colOff>
                <xdr:row>8</xdr:row>
                <xdr:rowOff>85725</xdr:rowOff>
              </to>
            </anchor>
          </objectPr>
        </oleObject>
      </mc:Choice>
      <mc:Fallback>
        <oleObject progId="Acrobat Document" dvAspect="DVASPECT_ICON" shapeId="35851" r:id="rId2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1222805</v>
      </c>
      <c r="C8" s="1838">
        <f>'Acct Summary 7-8'!D8</f>
        <v>154156</v>
      </c>
      <c r="D8" s="1838">
        <f>'Acct Summary 7-8'!F8</f>
        <v>125373</v>
      </c>
      <c r="E8" s="1838">
        <f>'Acct Summary 7-8'!I8</f>
        <v>10612</v>
      </c>
      <c r="F8" s="1838">
        <f>SUM(B8:E8)</f>
        <v>1512946</v>
      </c>
    </row>
    <row r="9" spans="1:8" s="1080" customFormat="1" ht="14.25" customHeight="1" thickBot="1" x14ac:dyDescent="0.25">
      <c r="A9" s="1079" t="s">
        <v>1436</v>
      </c>
      <c r="B9" s="1839">
        <f>'Acct Summary 7-8'!C17</f>
        <v>1252339</v>
      </c>
      <c r="C9" s="1839">
        <f>'Acct Summary 7-8'!D17</f>
        <v>141205</v>
      </c>
      <c r="D9" s="1839">
        <f>'Acct Summary 7-8'!F17</f>
        <v>117617</v>
      </c>
      <c r="E9" s="1838"/>
      <c r="F9" s="1838">
        <f>SUM(B9:E9)</f>
        <v>1511161</v>
      </c>
    </row>
    <row r="10" spans="1:8" s="1080" customFormat="1" ht="14.25" thickTop="1" thickBot="1" x14ac:dyDescent="0.25">
      <c r="A10" s="1081" t="s">
        <v>1437</v>
      </c>
      <c r="B10" s="1840">
        <f>(B8-B9)</f>
        <v>-29534</v>
      </c>
      <c r="C10" s="1840">
        <f>(C8-C9)</f>
        <v>12951</v>
      </c>
      <c r="D10" s="1840">
        <f>(D8-D9)</f>
        <v>7756</v>
      </c>
      <c r="E10" s="1839">
        <f>(E8-E9)</f>
        <v>10612</v>
      </c>
      <c r="F10" s="1841">
        <f>SUM(F8-F9)</f>
        <v>1785</v>
      </c>
    </row>
    <row r="11" spans="1:8" s="1080" customFormat="1" ht="14.25" thickTop="1" thickBot="1" x14ac:dyDescent="0.25">
      <c r="A11" s="1082" t="s">
        <v>1785</v>
      </c>
      <c r="B11" s="1842">
        <f>'Acct Summary 7-8'!C81</f>
        <v>184223</v>
      </c>
      <c r="C11" s="1842">
        <f>'Acct Summary 7-8'!D81</f>
        <v>272140</v>
      </c>
      <c r="D11" s="1842">
        <f>'Acct Summary 7-8'!F81</f>
        <v>184820</v>
      </c>
      <c r="E11" s="1842">
        <f>'Acct Summary 7-8'!I81</f>
        <v>33960</v>
      </c>
      <c r="F11" s="1843">
        <f>SUM(B11:E11)</f>
        <v>675143</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40007042026</v>
      </c>
    </row>
    <row r="3" spans="1:2" x14ac:dyDescent="0.2">
      <c r="A3" t="s">
        <v>1013</v>
      </c>
      <c r="B3" s="138" t="str">
        <f>COVER!A15</f>
        <v>Calhoun</v>
      </c>
    </row>
    <row r="4" spans="1:2" x14ac:dyDescent="0.2">
      <c r="A4" t="s">
        <v>1064</v>
      </c>
      <c r="B4" s="138" t="str">
        <f>COVER!A17</f>
        <v>Brussels CUSD 42</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066-00-4377</v>
      </c>
    </row>
    <row r="16" spans="1:2" x14ac:dyDescent="0.2">
      <c r="A16" t="s">
        <v>442</v>
      </c>
      <c r="B16" s="138" t="str">
        <f>COVER!T13</f>
        <v>Franklin &amp; Vaughn, LLC</v>
      </c>
    </row>
    <row r="17" spans="1:2" x14ac:dyDescent="0.2">
      <c r="A17" t="s">
        <v>939</v>
      </c>
      <c r="B17" s="138" t="str">
        <f>COVER!T15</f>
        <v>Mark E. Vaughn, CPA</v>
      </c>
    </row>
    <row r="18" spans="1:2" x14ac:dyDescent="0.2">
      <c r="A18" t="s">
        <v>1212</v>
      </c>
      <c r="B18" s="138" t="str">
        <f>COVER!T17</f>
        <v>2852 Homer Adams Parkway</v>
      </c>
    </row>
    <row r="19" spans="1:2" x14ac:dyDescent="0.2">
      <c r="A19" t="s">
        <v>941</v>
      </c>
      <c r="B19" s="138" t="str">
        <f>COVER!T25</f>
        <v>mark@franklinvaughncpa.com</v>
      </c>
    </row>
    <row r="20" spans="1:2" x14ac:dyDescent="0.2">
      <c r="A20" t="s">
        <v>942</v>
      </c>
      <c r="B20" s="138" t="str">
        <f>COVER!T19</f>
        <v>Alton</v>
      </c>
    </row>
    <row r="21" spans="1:2" x14ac:dyDescent="0.2">
      <c r="A21" t="s">
        <v>500</v>
      </c>
      <c r="B21" s="138" t="str">
        <f>COVER!X19</f>
        <v>IL</v>
      </c>
    </row>
    <row r="22" spans="1:2" x14ac:dyDescent="0.2">
      <c r="A22" t="s">
        <v>943</v>
      </c>
      <c r="B22" s="138">
        <f>COVER!Z19</f>
        <v>62002</v>
      </c>
    </row>
    <row r="23" spans="1:2" x14ac:dyDescent="0.2">
      <c r="A23" t="s">
        <v>1214</v>
      </c>
      <c r="B23" s="138" t="str">
        <f>COVER!T21</f>
        <v>618-462-1162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184223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184223</v>
      </c>
      <c r="D92" s="2" t="str">
        <f t="shared" si="0"/>
        <v>Error?</v>
      </c>
    </row>
    <row r="93" spans="1:4" x14ac:dyDescent="0.2">
      <c r="A93" s="5">
        <v>32</v>
      </c>
      <c r="B93" s="138">
        <f>'Assets-Liab 5-6'!C41</f>
        <v>184223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272140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272140</v>
      </c>
      <c r="D123" s="2" t="str">
        <f t="shared" si="0"/>
        <v>Error?</v>
      </c>
    </row>
    <row r="124" spans="1:4" x14ac:dyDescent="0.2">
      <c r="A124" s="5">
        <v>63</v>
      </c>
      <c r="B124" s="138">
        <f>'Assets-Liab 5-6'!D41</f>
        <v>272140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9766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9766</v>
      </c>
      <c r="D140" s="2" t="str">
        <f t="shared" si="1"/>
        <v>Error?</v>
      </c>
    </row>
    <row r="141" spans="1:4" x14ac:dyDescent="0.2">
      <c r="A141" s="5">
        <v>80</v>
      </c>
      <c r="B141" s="138">
        <f>'Assets-Liab 5-6'!E41</f>
        <v>9766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184820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184820</v>
      </c>
      <c r="D170" s="2" t="str">
        <f t="shared" si="1"/>
        <v>Error?</v>
      </c>
    </row>
    <row r="171" spans="1:4" x14ac:dyDescent="0.2">
      <c r="A171" s="5">
        <v>110</v>
      </c>
      <c r="B171" s="138">
        <f>'Assets-Liab 5-6'!F41</f>
        <v>184820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169899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55248</v>
      </c>
      <c r="D189" s="2" t="str">
        <f t="shared" si="1"/>
        <v>Error?</v>
      </c>
    </row>
    <row r="190" spans="1:4" x14ac:dyDescent="0.2">
      <c r="A190" s="5">
        <v>129</v>
      </c>
      <c r="B190" s="138">
        <f>'Assets-Liab 5-6'!G41</f>
        <v>169899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59078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59078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6500</v>
      </c>
      <c r="D273" s="2" t="str">
        <f t="shared" si="3"/>
        <v>Error?</v>
      </c>
    </row>
    <row r="274" spans="1:4" x14ac:dyDescent="0.2">
      <c r="A274" s="5">
        <v>213</v>
      </c>
      <c r="B274" s="138">
        <f>'Assets-Liab 5-6'!M17</f>
        <v>1101438</v>
      </c>
      <c r="D274" s="2" t="str">
        <f t="shared" si="3"/>
        <v>Error?</v>
      </c>
    </row>
    <row r="275" spans="1:4" x14ac:dyDescent="0.2">
      <c r="A275" s="5">
        <v>214</v>
      </c>
      <c r="B275" s="138">
        <f>'Assets-Liab 5-6'!M18</f>
        <v>13772</v>
      </c>
      <c r="D275" s="2" t="str">
        <f t="shared" si="3"/>
        <v>Error?</v>
      </c>
    </row>
    <row r="276" spans="1:4" x14ac:dyDescent="0.2">
      <c r="A276" s="5">
        <v>215</v>
      </c>
      <c r="B276" s="138">
        <f>'Assets-Liab 5-6'!M19</f>
        <v>790563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1912273</v>
      </c>
      <c r="C279" s="2" t="s">
        <v>594</v>
      </c>
      <c r="D279" s="2" t="str">
        <f t="shared" si="3"/>
        <v>Error?</v>
      </c>
    </row>
    <row r="280" spans="1:4" x14ac:dyDescent="0.2">
      <c r="A280" s="5">
        <v>219</v>
      </c>
      <c r="B280" s="138">
        <f>'Assets-Liab 5-6'!M40</f>
        <v>1912273</v>
      </c>
      <c r="D280" s="2" t="str">
        <f t="shared" si="3"/>
        <v>Error?</v>
      </c>
    </row>
    <row r="281" spans="1:4" x14ac:dyDescent="0.2">
      <c r="A281" s="5">
        <v>220</v>
      </c>
      <c r="B281" s="138">
        <f>'Assets-Liab 5-6'!M41</f>
        <v>1912273</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543560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81143</v>
      </c>
      <c r="D717" s="2" t="str">
        <f t="shared" si="10"/>
        <v>Error?</v>
      </c>
    </row>
    <row r="718" spans="1:4" x14ac:dyDescent="0.2">
      <c r="A718" s="5">
        <v>657</v>
      </c>
      <c r="B718" s="138">
        <f>'Expenditures 15-22'!C14</f>
        <v>18460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714876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23560</v>
      </c>
      <c r="D722" s="2" t="str">
        <f t="shared" si="10"/>
        <v>Error?</v>
      </c>
    </row>
    <row r="723" spans="1:4" x14ac:dyDescent="0.2">
      <c r="A723" s="5">
        <v>662</v>
      </c>
      <c r="B723" s="138">
        <f>'Expenditures 15-22'!C38</f>
        <v>13191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36751</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61748</v>
      </c>
      <c r="D733" s="2" t="str">
        <f t="shared" si="10"/>
        <v>Error?</v>
      </c>
    </row>
    <row r="734" spans="1:4" x14ac:dyDescent="0.2">
      <c r="A734" s="5">
        <v>673</v>
      </c>
      <c r="B734" s="138">
        <f>'Expenditures 15-22'!C53</f>
        <v>61748</v>
      </c>
      <c r="C734" s="2" t="s">
        <v>594</v>
      </c>
      <c r="D734" s="2" t="str">
        <f t="shared" si="10"/>
        <v>Error?</v>
      </c>
    </row>
    <row r="735" spans="1:4" x14ac:dyDescent="0.2">
      <c r="A735" s="5">
        <v>674</v>
      </c>
      <c r="B735" s="138">
        <f>'Expenditures 15-22'!C55</f>
        <v>81911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81911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19516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58925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78441</v>
      </c>
      <c r="C745" s="2" t="s">
        <v>594</v>
      </c>
      <c r="D745" s="2" t="str">
        <f t="shared" si="10"/>
        <v>Error?</v>
      </c>
    </row>
    <row r="746" spans="1:4" x14ac:dyDescent="0.2">
      <c r="A746" s="5">
        <v>685</v>
      </c>
      <c r="B746" s="138">
        <f>'Expenditures 15-22'!C67</f>
        <v>2842</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2842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261693</v>
      </c>
      <c r="C755" s="2" t="s">
        <v>594</v>
      </c>
      <c r="D755" s="2" t="str">
        <f t="shared" si="10"/>
        <v>Error?</v>
      </c>
    </row>
    <row r="756" spans="1:4" x14ac:dyDescent="0.2">
      <c r="A756" s="5">
        <v>695</v>
      </c>
      <c r="B756" s="138">
        <f>'Expenditures 15-22'!C75</f>
        <v>4145</v>
      </c>
      <c r="D756" s="2" t="str">
        <f t="shared" si="10"/>
        <v>Error?</v>
      </c>
    </row>
    <row r="757" spans="1:4" x14ac:dyDescent="0.2">
      <c r="A757" s="5">
        <v>696</v>
      </c>
      <c r="B757" s="138">
        <f>'Expenditures 15-22'!C114</f>
        <v>980714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8306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1355</v>
      </c>
      <c r="D775" s="2" t="str">
        <f t="shared" si="11"/>
        <v>Error?</v>
      </c>
    </row>
    <row r="776" spans="1:4" x14ac:dyDescent="0.2">
      <c r="A776" s="5">
        <v>715</v>
      </c>
      <c r="B776" s="138">
        <f>'Expenditures 15-22'!D14</f>
        <v>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10795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600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600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689</v>
      </c>
      <c r="D791" s="2" t="str">
        <f t="shared" si="11"/>
        <v>Error?</v>
      </c>
    </row>
    <row r="792" spans="1:4" x14ac:dyDescent="0.2">
      <c r="A792" s="5">
        <v>731</v>
      </c>
      <c r="B792" s="138">
        <f>'Expenditures 15-22'!D53</f>
        <v>689</v>
      </c>
      <c r="C792" s="2" t="s">
        <v>594</v>
      </c>
      <c r="D792" s="2" t="str">
        <f t="shared" si="11"/>
        <v>Error?</v>
      </c>
    </row>
    <row r="793" spans="1:4" x14ac:dyDescent="0.2">
      <c r="A793" s="5">
        <v>732</v>
      </c>
      <c r="B793" s="138">
        <f>'Expenditures 15-22'!D55</f>
        <v>1090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1090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41</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2420</v>
      </c>
      <c r="C813" s="2" t="s">
        <v>594</v>
      </c>
      <c r="D813" s="2" t="str">
        <f t="shared" si="11"/>
        <v>Error?</v>
      </c>
    </row>
    <row r="814" spans="1:4" x14ac:dyDescent="0.2">
      <c r="A814" s="5">
        <v>753</v>
      </c>
      <c r="B814" s="138">
        <f>'Expenditures 15-22'!D75</f>
        <v>231</v>
      </c>
      <c r="D814" s="2" t="str">
        <f t="shared" si="11"/>
        <v>Error?</v>
      </c>
    </row>
    <row r="815" spans="1:4" x14ac:dyDescent="0.2">
      <c r="A815" s="5">
        <v>754</v>
      </c>
      <c r="B815" s="138">
        <f>'Expenditures 15-22'!D114</f>
        <v>13446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9849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74</v>
      </c>
      <c r="D833" s="2" t="str">
        <f t="shared" si="12"/>
        <v>Error?</v>
      </c>
    </row>
    <row r="834" spans="1:4" x14ac:dyDescent="0.2">
      <c r="A834" s="5">
        <v>773</v>
      </c>
      <c r="B834" s="138">
        <f>'Expenditures 15-22'!E14</f>
        <v>13266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24560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v>
      </c>
      <c r="C843" s="2" t="s">
        <v>594</v>
      </c>
      <c r="D843" s="2" t="str">
        <f t="shared" si="12"/>
        <v>Error?</v>
      </c>
    </row>
    <row r="844" spans="1:4" x14ac:dyDescent="0.2">
      <c r="A844" s="5">
        <v>783</v>
      </c>
      <c r="B844" s="138">
        <f>'Expenditures 15-22'!E44</f>
        <v>3650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3650</v>
      </c>
      <c r="C847" s="2" t="s">
        <v>594</v>
      </c>
      <c r="D847" s="2" t="str">
        <f t="shared" si="12"/>
        <v>Error?</v>
      </c>
    </row>
    <row r="848" spans="1:4" x14ac:dyDescent="0.2">
      <c r="A848" s="5">
        <v>787</v>
      </c>
      <c r="B848" s="138">
        <f>'Expenditures 15-22'!E49</f>
        <v>13694</v>
      </c>
      <c r="D848" s="2" t="str">
        <f t="shared" si="12"/>
        <v>Error?</v>
      </c>
    </row>
    <row r="849" spans="1:4" x14ac:dyDescent="0.2">
      <c r="A849" s="5">
        <v>788</v>
      </c>
      <c r="B849" s="138">
        <f>'Expenditures 15-22'!E50</f>
        <v>697</v>
      </c>
      <c r="D849" s="2" t="str">
        <f t="shared" si="12"/>
        <v>Error?</v>
      </c>
    </row>
    <row r="850" spans="1:4" x14ac:dyDescent="0.2">
      <c r="A850" s="5">
        <v>789</v>
      </c>
      <c r="B850" s="138">
        <f>'Expenditures 15-22'!E53</f>
        <v>14391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1824</v>
      </c>
      <c r="D855" s="2" t="str">
        <f t="shared" si="12"/>
        <v>Error?</v>
      </c>
    </row>
    <row r="856" spans="1:4" x14ac:dyDescent="0.2">
      <c r="A856" s="5">
        <v>795</v>
      </c>
      <c r="B856" s="138">
        <f>'Expenditures 15-22'!E61</f>
        <v>28495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6809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37128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55194</v>
      </c>
      <c r="C871" s="2" t="s">
        <v>594</v>
      </c>
      <c r="D871" s="2" t="str">
        <f t="shared" si="12"/>
        <v>Error?</v>
      </c>
    </row>
    <row r="872" spans="1:4" x14ac:dyDescent="0.2">
      <c r="A872" s="5">
        <v>811</v>
      </c>
      <c r="B872" s="138">
        <f>'Expenditures 15-22'!E75</f>
        <v>2343</v>
      </c>
      <c r="D872" s="2" t="str">
        <f t="shared" si="12"/>
        <v>Error?</v>
      </c>
    </row>
    <row r="873" spans="1:4" x14ac:dyDescent="0.2">
      <c r="A873" s="5">
        <v>812</v>
      </c>
      <c r="B873" s="138">
        <f>'Expenditures 15-22'!E114</f>
        <v>137526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56238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4110</v>
      </c>
      <c r="D891" s="2" t="str">
        <f t="shared" si="12"/>
        <v>Error?</v>
      </c>
    </row>
    <row r="892" spans="1:4" x14ac:dyDescent="0.2">
      <c r="A892" s="5">
        <v>831</v>
      </c>
      <c r="B892" s="138">
        <f>'Expenditures 15-22'!F14</f>
        <v>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63594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125</v>
      </c>
      <c r="D899" s="2" t="str">
        <f t="shared" si="13"/>
        <v>Error?</v>
      </c>
    </row>
    <row r="900" spans="1:4" x14ac:dyDescent="0.2">
      <c r="A900" s="5">
        <v>839</v>
      </c>
      <c r="B900" s="138">
        <f>'Expenditures 15-22'!F41</f>
        <v>50</v>
      </c>
      <c r="D900" s="2" t="str">
        <f t="shared" si="13"/>
        <v>Error?</v>
      </c>
    </row>
    <row r="901" spans="1:4" x14ac:dyDescent="0.2">
      <c r="A901" s="5">
        <v>840</v>
      </c>
      <c r="B901" s="138">
        <f>'Expenditures 15-22'!F42</f>
        <v>267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257</v>
      </c>
      <c r="C905" s="2" t="s">
        <v>594</v>
      </c>
      <c r="D905" s="2" t="str">
        <f t="shared" si="13"/>
        <v>Error?</v>
      </c>
    </row>
    <row r="906" spans="1:4" x14ac:dyDescent="0.2">
      <c r="A906" s="5">
        <v>845</v>
      </c>
      <c r="B906" s="138">
        <f>'Expenditures 15-22'!F49</f>
        <v>823</v>
      </c>
      <c r="D906" s="2" t="str">
        <f t="shared" si="13"/>
        <v>Error?</v>
      </c>
    </row>
    <row r="907" spans="1:4" x14ac:dyDescent="0.2">
      <c r="A907" s="5">
        <v>846</v>
      </c>
      <c r="B907" s="138">
        <f>'Expenditures 15-22'!F50</f>
        <v>1686</v>
      </c>
      <c r="D907" s="2" t="str">
        <f t="shared" si="13"/>
        <v>Error?</v>
      </c>
    </row>
    <row r="908" spans="1:4" x14ac:dyDescent="0.2">
      <c r="A908" s="5">
        <v>847</v>
      </c>
      <c r="B908" s="138">
        <f>'Expenditures 15-22'!F53</f>
        <v>2509</v>
      </c>
      <c r="C908" s="2" t="s">
        <v>594</v>
      </c>
      <c r="D908" s="2" t="str">
        <f t="shared" si="13"/>
        <v>Error?</v>
      </c>
    </row>
    <row r="909" spans="1:4" x14ac:dyDescent="0.2">
      <c r="A909" s="5">
        <v>848</v>
      </c>
      <c r="B909" s="138">
        <f>'Expenditures 15-22'!F55</f>
        <v>4876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4876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766</v>
      </c>
      <c r="D913" s="2" t="str">
        <f t="shared" si="13"/>
        <v>Error?</v>
      </c>
    </row>
    <row r="914" spans="1:4" x14ac:dyDescent="0.2">
      <c r="A914" s="5">
        <v>853</v>
      </c>
      <c r="B914" s="138">
        <f>'Expenditures 15-22'!F61</f>
        <v>1142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43793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45701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53610</v>
      </c>
      <c r="C929" s="2" t="s">
        <v>594</v>
      </c>
      <c r="D929" s="2" t="str">
        <f t="shared" si="13"/>
        <v>Error?</v>
      </c>
    </row>
    <row r="930" spans="1:4" x14ac:dyDescent="0.2">
      <c r="A930" s="5">
        <v>869</v>
      </c>
      <c r="B930" s="138">
        <f>'Expenditures 15-22'!F75</f>
        <v>900</v>
      </c>
      <c r="D930" s="2" t="str">
        <f t="shared" si="13"/>
        <v>Error?</v>
      </c>
    </row>
    <row r="931" spans="1:4" x14ac:dyDescent="0.2">
      <c r="A931" s="5">
        <v>870</v>
      </c>
      <c r="B931" s="138">
        <f>'Expenditures 15-22'!F114</f>
        <v>118104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2549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2549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2549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617953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89231</v>
      </c>
      <c r="C1105" s="2" t="s">
        <v>594</v>
      </c>
      <c r="D1105" s="2" t="str">
        <f t="shared" si="16"/>
        <v>Error?</v>
      </c>
    </row>
    <row r="1106" spans="1:4" x14ac:dyDescent="0.2">
      <c r="A1106" s="5">
        <v>1045</v>
      </c>
      <c r="B1106" s="138">
        <f>'Expenditures 15-22'!K14</f>
        <v>31790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816374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23560</v>
      </c>
      <c r="C1110" s="2" t="s">
        <v>594</v>
      </c>
      <c r="D1110" s="2" t="str">
        <f t="shared" si="16"/>
        <v>Error?</v>
      </c>
    </row>
    <row r="1111" spans="1:4" x14ac:dyDescent="0.2">
      <c r="A1111" s="5">
        <v>1050</v>
      </c>
      <c r="B1111" s="138">
        <f>'Expenditures 15-22'!K38</f>
        <v>13308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125</v>
      </c>
      <c r="C1113" s="2" t="s">
        <v>594</v>
      </c>
      <c r="D1113" s="2" t="str">
        <f t="shared" si="16"/>
        <v>Error?</v>
      </c>
    </row>
    <row r="1114" spans="1:4" x14ac:dyDescent="0.2">
      <c r="A1114" s="5">
        <v>1053</v>
      </c>
      <c r="B1114" s="138">
        <f>'Expenditures 15-22'!K41</f>
        <v>50</v>
      </c>
      <c r="C1114" s="2" t="s">
        <v>594</v>
      </c>
      <c r="D1114" s="2" t="str">
        <f t="shared" si="16"/>
        <v>Error?</v>
      </c>
    </row>
    <row r="1115" spans="1:4" x14ac:dyDescent="0.2">
      <c r="A1115" s="5">
        <v>1054</v>
      </c>
      <c r="B1115" s="138">
        <f>'Expenditures 15-22'!K42</f>
        <v>37043</v>
      </c>
      <c r="C1115" s="2" t="s">
        <v>594</v>
      </c>
      <c r="D1115" s="2" t="str">
        <f t="shared" si="16"/>
        <v>Error?</v>
      </c>
    </row>
    <row r="1116" spans="1:4" x14ac:dyDescent="0.2">
      <c r="A1116" s="5">
        <v>1055</v>
      </c>
      <c r="B1116" s="138">
        <f>'Expenditures 15-22'!K44</f>
        <v>4250</v>
      </c>
      <c r="C1116" s="2" t="s">
        <v>594</v>
      </c>
      <c r="D1116" s="2" t="str">
        <f t="shared" si="16"/>
        <v>Error?</v>
      </c>
    </row>
    <row r="1117" spans="1:4" x14ac:dyDescent="0.2">
      <c r="A1117" s="5">
        <v>1056</v>
      </c>
      <c r="B1117" s="138">
        <f>'Expenditures 15-22'!K45</f>
        <v>257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4507</v>
      </c>
      <c r="C1119" s="2" t="s">
        <v>594</v>
      </c>
      <c r="D1119" s="2" t="str">
        <f t="shared" si="16"/>
        <v>Error?</v>
      </c>
    </row>
    <row r="1120" spans="1:4" x14ac:dyDescent="0.2">
      <c r="A1120" s="5">
        <v>1059</v>
      </c>
      <c r="B1120" s="138">
        <f>'Expenditures 15-22'!K49</f>
        <v>14517</v>
      </c>
      <c r="C1120" s="2" t="s">
        <v>594</v>
      </c>
      <c r="D1120" s="2" t="str">
        <f t="shared" si="16"/>
        <v>Error?</v>
      </c>
    </row>
    <row r="1121" spans="1:4" x14ac:dyDescent="0.2">
      <c r="A1121" s="5">
        <v>1060</v>
      </c>
      <c r="B1121" s="138">
        <f>'Expenditures 15-22'!K50</f>
        <v>64820</v>
      </c>
      <c r="C1121" s="2" t="s">
        <v>594</v>
      </c>
      <c r="D1121" s="2" t="str">
        <f t="shared" si="16"/>
        <v>Error?</v>
      </c>
    </row>
    <row r="1122" spans="1:4" x14ac:dyDescent="0.2">
      <c r="A1122" s="5">
        <v>1061</v>
      </c>
      <c r="B1122" s="138">
        <f>'Expenditures 15-22'!K53</f>
        <v>79337</v>
      </c>
      <c r="C1122" s="2" t="s">
        <v>594</v>
      </c>
      <c r="D1122" s="2" t="str">
        <f t="shared" si="16"/>
        <v>Error?</v>
      </c>
    </row>
    <row r="1123" spans="1:4" x14ac:dyDescent="0.2">
      <c r="A1123" s="5">
        <v>1062</v>
      </c>
      <c r="B1123" s="138">
        <f>'Expenditures 15-22'!K55</f>
        <v>87877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87877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22106</v>
      </c>
      <c r="C1127" s="2" t="s">
        <v>594</v>
      </c>
      <c r="D1127" s="2" t="str">
        <f t="shared" si="16"/>
        <v>Error?</v>
      </c>
    </row>
    <row r="1128" spans="1:4" x14ac:dyDescent="0.2">
      <c r="A1128" s="5">
        <v>1067</v>
      </c>
      <c r="B1128" s="138">
        <f>'Expenditures 15-22'!K61</f>
        <v>29637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109527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161270</v>
      </c>
      <c r="C1133" s="2" t="s">
        <v>594</v>
      </c>
      <c r="D1133" s="2" t="str">
        <f t="shared" si="16"/>
        <v>Error?</v>
      </c>
    </row>
    <row r="1134" spans="1:4" x14ac:dyDescent="0.2">
      <c r="A1134" s="5">
        <v>1073</v>
      </c>
      <c r="B1134" s="138">
        <f>'Expenditures 15-22'!K67</f>
        <v>2883</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2883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372917</v>
      </c>
      <c r="C1143" s="2" t="s">
        <v>594</v>
      </c>
      <c r="D1143" s="2" t="str">
        <f t="shared" si="16"/>
        <v>Error?</v>
      </c>
    </row>
    <row r="1144" spans="1:4" x14ac:dyDescent="0.2">
      <c r="A1144" s="5">
        <v>1083</v>
      </c>
      <c r="B1144" s="138">
        <f>'Expenditures 15-22'!K75</f>
        <v>7619</v>
      </c>
      <c r="C1144" s="2" t="s">
        <v>594</v>
      </c>
      <c r="D1144" s="2" t="str">
        <f t="shared" si="16"/>
        <v>Error?</v>
      </c>
    </row>
    <row r="1145" spans="1:4" x14ac:dyDescent="0.2">
      <c r="A1145" s="5">
        <v>1084</v>
      </c>
      <c r="B1145" s="138">
        <f>'Expenditures 15-22'!K102</f>
        <v>55429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1252339</v>
      </c>
      <c r="C1152" s="2" t="s">
        <v>594</v>
      </c>
      <c r="D1152" s="2" t="str">
        <f t="shared" si="17"/>
        <v>Error?</v>
      </c>
    </row>
    <row r="1153" spans="1:4" x14ac:dyDescent="0.2">
      <c r="A1153" s="5">
        <v>1092</v>
      </c>
      <c r="B1153" s="138">
        <f>'Expenditures 15-22'!K115</f>
        <v>-29534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44480</v>
      </c>
      <c r="D1221" s="2" t="str">
        <f t="shared" si="18"/>
        <v>Error?</v>
      </c>
    </row>
    <row r="1222" spans="1:4" x14ac:dyDescent="0.2">
      <c r="A1222" s="10">
        <v>1161</v>
      </c>
      <c r="D1222" s="2" t="str">
        <f t="shared" si="18"/>
        <v>OK</v>
      </c>
    </row>
    <row r="1223" spans="1:4" x14ac:dyDescent="0.2">
      <c r="A1223" s="5">
        <v>1162</v>
      </c>
      <c r="B1223" s="138">
        <f>'Expenditures 15-22'!C127</f>
        <v>44480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44480</v>
      </c>
      <c r="C1225" s="2" t="s">
        <v>594</v>
      </c>
      <c r="D1225" s="2" t="str">
        <f t="shared" si="18"/>
        <v>Error?</v>
      </c>
    </row>
    <row r="1226" spans="1:4" x14ac:dyDescent="0.2">
      <c r="A1226" s="5">
        <v>1165</v>
      </c>
      <c r="B1226" s="138">
        <f>'Expenditures 15-22'!C151</f>
        <v>44480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23804</v>
      </c>
      <c r="D1237" s="2" t="str">
        <f t="shared" si="18"/>
        <v>Error?</v>
      </c>
    </row>
    <row r="1238" spans="1:4" x14ac:dyDescent="0.2">
      <c r="A1238" s="10">
        <v>1177</v>
      </c>
      <c r="D1238" s="2" t="str">
        <f t="shared" si="18"/>
        <v>OK</v>
      </c>
    </row>
    <row r="1239" spans="1:4" x14ac:dyDescent="0.2">
      <c r="A1239" s="5">
        <v>1178</v>
      </c>
      <c r="B1239" s="138">
        <f>'Expenditures 15-22'!E127</f>
        <v>23804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23804</v>
      </c>
      <c r="C1241" s="2" t="s">
        <v>594</v>
      </c>
      <c r="D1241" s="2" t="str">
        <f t="shared" si="18"/>
        <v>Error?</v>
      </c>
    </row>
    <row r="1242" spans="1:4" x14ac:dyDescent="0.2">
      <c r="A1242" s="5">
        <v>1181</v>
      </c>
      <c r="B1242" s="138">
        <f>'Expenditures 15-22'!E151</f>
        <v>23804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55815</v>
      </c>
      <c r="D1245" s="2" t="str">
        <f t="shared" si="18"/>
        <v>Error?</v>
      </c>
    </row>
    <row r="1246" spans="1:4" x14ac:dyDescent="0.2">
      <c r="A1246" s="10">
        <v>1185</v>
      </c>
      <c r="D1246" s="2" t="str">
        <f t="shared" si="18"/>
        <v>OK</v>
      </c>
    </row>
    <row r="1247" spans="1:4" x14ac:dyDescent="0.2">
      <c r="A1247" s="5">
        <v>1186</v>
      </c>
      <c r="B1247" s="138">
        <f>'Expenditures 15-22'!F127</f>
        <v>55815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55815</v>
      </c>
      <c r="C1249" s="2" t="s">
        <v>594</v>
      </c>
      <c r="D1249" s="2" t="str">
        <f t="shared" si="18"/>
        <v>Error?</v>
      </c>
    </row>
    <row r="1250" spans="1:4" x14ac:dyDescent="0.2">
      <c r="A1250" s="5">
        <v>1189</v>
      </c>
      <c r="B1250" s="138">
        <f>'Expenditures 15-22'!F151</f>
        <v>55815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17106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17106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17106</v>
      </c>
      <c r="C1258" s="2" t="s">
        <v>594</v>
      </c>
      <c r="D1258" s="2" t="str">
        <f t="shared" si="18"/>
        <v>Error?</v>
      </c>
    </row>
    <row r="1259" spans="1:4" x14ac:dyDescent="0.2">
      <c r="A1259" s="5">
        <v>1198</v>
      </c>
      <c r="B1259" s="138">
        <f>'Expenditures 15-22'!G151</f>
        <v>17106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141205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141205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141205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141205</v>
      </c>
      <c r="C1288" s="2" t="s">
        <v>594</v>
      </c>
      <c r="D1288" s="2" t="str">
        <f t="shared" si="19"/>
        <v>Error?</v>
      </c>
    </row>
    <row r="1289" spans="1:4" x14ac:dyDescent="0.2">
      <c r="A1289" s="5">
        <v>1228</v>
      </c>
      <c r="B1289" s="138">
        <f>'Expenditures 15-22'!K152</f>
        <v>12951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73</v>
      </c>
      <c r="C1333" s="2" t="s">
        <v>594</v>
      </c>
      <c r="D1333" s="2" t="str">
        <f t="shared" si="19"/>
        <v>Error?</v>
      </c>
    </row>
    <row r="1334" spans="1:4" x14ac:dyDescent="0.2">
      <c r="A1334" s="10">
        <v>1273</v>
      </c>
      <c r="D1334" s="2" t="str">
        <f t="shared" si="19"/>
        <v>OK</v>
      </c>
    </row>
    <row r="1335" spans="1:4" x14ac:dyDescent="0.2">
      <c r="A1335" s="5">
        <v>1274</v>
      </c>
      <c r="B1335" s="138">
        <f>'Expenditures 15-22'!C182</f>
        <v>55257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55257</v>
      </c>
      <c r="C1339" s="2" t="s">
        <v>594</v>
      </c>
      <c r="D1339" s="2" t="str">
        <f t="shared" si="19"/>
        <v>Error?</v>
      </c>
    </row>
    <row r="1340" spans="1:4" x14ac:dyDescent="0.2">
      <c r="A1340" s="5">
        <v>1279</v>
      </c>
      <c r="B1340" s="138">
        <f>'Expenditures 15-22'!C210</f>
        <v>55257</v>
      </c>
      <c r="C1340" s="2" t="s">
        <v>594</v>
      </c>
      <c r="D1340" s="2" t="str">
        <f t="shared" si="19"/>
        <v>Error?</v>
      </c>
    </row>
    <row r="1341" spans="1:4" x14ac:dyDescent="0.2">
      <c r="A1341" s="5">
        <v>1280</v>
      </c>
      <c r="B1341" s="138">
        <f>'Expenditures 15-22'!D182</f>
        <v>83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83</v>
      </c>
      <c r="C1345" s="2" t="s">
        <v>594</v>
      </c>
      <c r="D1345" s="2" t="str">
        <f t="shared" si="20"/>
        <v>Error?</v>
      </c>
    </row>
    <row r="1346" spans="1:4" x14ac:dyDescent="0.2">
      <c r="A1346" s="5">
        <v>1285</v>
      </c>
      <c r="B1346" s="138">
        <f>'Expenditures 15-22'!D210</f>
        <v>83</v>
      </c>
      <c r="C1346" s="2" t="s">
        <v>594</v>
      </c>
      <c r="D1346" s="2" t="str">
        <f t="shared" si="20"/>
        <v>Error?</v>
      </c>
    </row>
    <row r="1347" spans="1:4" x14ac:dyDescent="0.2">
      <c r="A1347" s="5">
        <v>1286</v>
      </c>
      <c r="B1347" s="138">
        <f>'Expenditures 15-22'!E182</f>
        <v>49783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49783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49783</v>
      </c>
      <c r="C1353" s="2" t="s">
        <v>594</v>
      </c>
      <c r="D1353" s="2" t="str">
        <f t="shared" si="20"/>
        <v>Error?</v>
      </c>
    </row>
    <row r="1354" spans="1:4" x14ac:dyDescent="0.2">
      <c r="A1354" s="5">
        <v>1293</v>
      </c>
      <c r="B1354" s="138">
        <f>'Expenditures 15-22'!F182</f>
        <v>12494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12494</v>
      </c>
      <c r="C1358" s="2" t="s">
        <v>594</v>
      </c>
      <c r="D1358" s="2" t="str">
        <f t="shared" si="20"/>
        <v>Error?</v>
      </c>
    </row>
    <row r="1359" spans="1:4" x14ac:dyDescent="0.2">
      <c r="A1359" s="5">
        <v>1298</v>
      </c>
      <c r="B1359" s="138">
        <f>'Expenditures 15-22'!F210</f>
        <v>12494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117617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117617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117617</v>
      </c>
      <c r="C1388" s="2" t="s">
        <v>594</v>
      </c>
      <c r="D1388" s="2" t="str">
        <f t="shared" si="20"/>
        <v>Error?</v>
      </c>
    </row>
    <row r="1389" spans="1:4" x14ac:dyDescent="0.2">
      <c r="A1389" s="5">
        <v>1328</v>
      </c>
      <c r="B1389" s="138">
        <f>'Expenditures 15-22'!K211</f>
        <v>7756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1185</v>
      </c>
      <c r="D1407" s="2" t="str">
        <f t="shared" ref="D1407:D1470" si="21">IF(ISBLANK(B1407),"OK",IF(A1407-B1407=0,"OK","Error?"))</f>
        <v>Error?</v>
      </c>
    </row>
    <row r="1408" spans="1:4" x14ac:dyDescent="0.2">
      <c r="A1408" s="5">
        <v>1347</v>
      </c>
      <c r="B1408" s="138">
        <f>'Expenditures 15-22'!D223</f>
        <v>1688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20018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342</v>
      </c>
      <c r="D1412" s="2" t="str">
        <f t="shared" si="21"/>
        <v>Error?</v>
      </c>
    </row>
    <row r="1413" spans="1:4" x14ac:dyDescent="0.2">
      <c r="A1413" s="5">
        <v>1352</v>
      </c>
      <c r="B1413" s="138">
        <f>'Expenditures 15-22'!D234</f>
        <v>1009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1351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92</v>
      </c>
      <c r="D1422" s="2" t="str">
        <f t="shared" si="21"/>
        <v>Error?</v>
      </c>
    </row>
    <row r="1423" spans="1:4" x14ac:dyDescent="0.2">
      <c r="A1423" s="5">
        <v>1362</v>
      </c>
      <c r="B1423" s="138">
        <f>'Expenditures 15-22'!D246</f>
        <v>3108</v>
      </c>
      <c r="D1423" s="2" t="str">
        <f t="shared" si="21"/>
        <v>Error?</v>
      </c>
    </row>
    <row r="1424" spans="1:4" x14ac:dyDescent="0.2">
      <c r="A1424" s="5">
        <v>1363</v>
      </c>
      <c r="B1424" s="138">
        <f>'Expenditures 15-22'!D257</f>
        <v>3200</v>
      </c>
      <c r="C1424" s="2" t="s">
        <v>594</v>
      </c>
      <c r="D1424" s="2" t="str">
        <f t="shared" si="21"/>
        <v>Error?</v>
      </c>
    </row>
    <row r="1425" spans="1:4" x14ac:dyDescent="0.2">
      <c r="A1425" s="5">
        <v>1364</v>
      </c>
      <c r="B1425" s="138">
        <f>'Expenditures 15-22'!D259</f>
        <v>2313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2313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3250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5798</v>
      </c>
      <c r="D1431" s="2" t="str">
        <f t="shared" si="21"/>
        <v>Error?</v>
      </c>
    </row>
    <row r="1432" spans="1:4" x14ac:dyDescent="0.2">
      <c r="A1432" s="5">
        <v>1371</v>
      </c>
      <c r="B1432" s="138">
        <f>'Expenditures 15-22'!D267</f>
        <v>5458</v>
      </c>
      <c r="D1432" s="2" t="str">
        <f t="shared" si="21"/>
        <v>Error?</v>
      </c>
    </row>
    <row r="1433" spans="1:4" x14ac:dyDescent="0.2">
      <c r="A1433" s="5">
        <v>1372</v>
      </c>
      <c r="B1433" s="138">
        <f>'Expenditures 15-22'!D268</f>
        <v>9656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24162</v>
      </c>
      <c r="C1436" s="2" t="s">
        <v>594</v>
      </c>
      <c r="D1436" s="2" t="str">
        <f t="shared" si="21"/>
        <v>Error?</v>
      </c>
    </row>
    <row r="1437" spans="1:4" x14ac:dyDescent="0.2">
      <c r="A1437" s="5">
        <v>1376</v>
      </c>
      <c r="B1437" s="138">
        <f>'Expenditures 15-22'!D272</f>
        <v>41</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31067</v>
      </c>
      <c r="C1446" s="2" t="s">
        <v>594</v>
      </c>
      <c r="D1446" s="2" t="str">
        <f t="shared" si="21"/>
        <v>Error?</v>
      </c>
    </row>
    <row r="1447" spans="1:4" x14ac:dyDescent="0.2">
      <c r="A1447" s="5">
        <v>1386</v>
      </c>
      <c r="B1447" s="138">
        <f>'Expenditures 15-22'!D280</f>
        <v>60</v>
      </c>
      <c r="D1447" s="2" t="str">
        <f t="shared" si="21"/>
        <v>Error?</v>
      </c>
    </row>
    <row r="1448" spans="1:4" x14ac:dyDescent="0.2">
      <c r="A1448" s="5">
        <v>1387</v>
      </c>
      <c r="B1448" s="138">
        <f>'Expenditures 15-22'!D295</f>
        <v>51145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1185</v>
      </c>
      <c r="C1471" s="2" t="s">
        <v>594</v>
      </c>
      <c r="D1471" s="2" t="str">
        <f t="shared" ref="D1471:D1534" si="22">IF(ISBLANK(B1471),"OK",IF(A1471-B1471=0,"OK","Error?"))</f>
        <v>Error?</v>
      </c>
    </row>
    <row r="1472" spans="1:4" x14ac:dyDescent="0.2">
      <c r="A1472" s="5">
        <v>1411</v>
      </c>
      <c r="B1472" s="138">
        <f>'Expenditures 15-22'!K223</f>
        <v>1688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20018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342</v>
      </c>
      <c r="C1476" s="2" t="s">
        <v>594</v>
      </c>
      <c r="D1476" s="2" t="str">
        <f t="shared" si="22"/>
        <v>Error?</v>
      </c>
    </row>
    <row r="1477" spans="1:4" x14ac:dyDescent="0.2">
      <c r="A1477" s="5">
        <v>1416</v>
      </c>
      <c r="B1477" s="138">
        <f>'Expenditures 15-22'!K234</f>
        <v>1009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1351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92</v>
      </c>
      <c r="C1486" s="2" t="s">
        <v>594</v>
      </c>
      <c r="D1486" s="2" t="str">
        <f t="shared" si="22"/>
        <v>Error?</v>
      </c>
    </row>
    <row r="1487" spans="1:4" x14ac:dyDescent="0.2">
      <c r="A1487" s="5">
        <v>1426</v>
      </c>
      <c r="B1487" s="138">
        <f>'Expenditures 15-22'!K246</f>
        <v>3108</v>
      </c>
      <c r="C1487" s="2" t="s">
        <v>594</v>
      </c>
      <c r="D1487" s="2" t="str">
        <f t="shared" si="22"/>
        <v>Error?</v>
      </c>
    </row>
    <row r="1488" spans="1:4" x14ac:dyDescent="0.2">
      <c r="A1488" s="5">
        <v>1427</v>
      </c>
      <c r="B1488" s="138">
        <f>'Expenditures 15-22'!K257</f>
        <v>3200</v>
      </c>
      <c r="C1488" s="2" t="s">
        <v>594</v>
      </c>
      <c r="D1488" s="2" t="str">
        <f t="shared" si="22"/>
        <v>Error?</v>
      </c>
    </row>
    <row r="1489" spans="1:4" x14ac:dyDescent="0.2">
      <c r="A1489" s="5">
        <v>1428</v>
      </c>
      <c r="B1489" s="138">
        <f>'Expenditures 15-22'!K259</f>
        <v>2313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2313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3250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5798</v>
      </c>
      <c r="C1495" s="2" t="s">
        <v>594</v>
      </c>
      <c r="D1495" s="2" t="str">
        <f t="shared" si="22"/>
        <v>Error?</v>
      </c>
    </row>
    <row r="1496" spans="1:4" x14ac:dyDescent="0.2">
      <c r="A1496" s="5">
        <v>1435</v>
      </c>
      <c r="B1496" s="138">
        <f>'Expenditures 15-22'!K267</f>
        <v>5458</v>
      </c>
      <c r="C1496" s="2" t="s">
        <v>594</v>
      </c>
      <c r="D1496" s="2" t="str">
        <f t="shared" si="22"/>
        <v>Error?</v>
      </c>
    </row>
    <row r="1497" spans="1:4" x14ac:dyDescent="0.2">
      <c r="A1497" s="5">
        <v>1436</v>
      </c>
      <c r="B1497" s="138">
        <f>'Expenditures 15-22'!K268</f>
        <v>9656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24162</v>
      </c>
      <c r="C1500" s="2" t="s">
        <v>594</v>
      </c>
      <c r="D1500" s="2" t="str">
        <f t="shared" si="22"/>
        <v>Error?</v>
      </c>
    </row>
    <row r="1501" spans="1:4" x14ac:dyDescent="0.2">
      <c r="A1501" s="5">
        <v>1440</v>
      </c>
      <c r="B1501" s="138">
        <f>'Expenditures 15-22'!K272</f>
        <v>41</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41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31067</v>
      </c>
      <c r="C1510" s="2" t="s">
        <v>594</v>
      </c>
      <c r="D1510" s="2" t="str">
        <f t="shared" si="22"/>
        <v>Error?</v>
      </c>
    </row>
    <row r="1511" spans="1:4" x14ac:dyDescent="0.2">
      <c r="A1511" s="5">
        <v>1450</v>
      </c>
      <c r="B1511" s="138">
        <f>'Expenditures 15-22'!K280</f>
        <v>60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51145</v>
      </c>
      <c r="C1517" s="2" t="s">
        <v>594</v>
      </c>
      <c r="D1517" s="2" t="str">
        <f t="shared" si="22"/>
        <v>Error?</v>
      </c>
    </row>
    <row r="1518" spans="1:4" x14ac:dyDescent="0.2">
      <c r="A1518" s="5">
        <v>1457</v>
      </c>
      <c r="B1518" s="138">
        <f>'Expenditures 15-22'!K296</f>
        <v>40193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28734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213757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184223</v>
      </c>
      <c r="C1630" s="2" t="s">
        <v>594</v>
      </c>
      <c r="D1630" s="2" t="str">
        <f t="shared" si="24"/>
        <v>Error?</v>
      </c>
    </row>
    <row r="1631" spans="1:4" x14ac:dyDescent="0.2">
      <c r="A1631" s="5">
        <v>1570</v>
      </c>
      <c r="B1631" s="138">
        <f>'Acct Summary 7-8'!D79</f>
        <v>248742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272140</v>
      </c>
      <c r="C1644" s="2" t="s">
        <v>594</v>
      </c>
      <c r="D1644" s="2" t="str">
        <f t="shared" si="24"/>
        <v>Error?</v>
      </c>
    </row>
    <row r="1645" spans="1:4" x14ac:dyDescent="0.2">
      <c r="A1645" s="5">
        <v>1584</v>
      </c>
      <c r="B1645" s="138">
        <f>'Acct Summary 7-8'!E79</f>
        <v>9693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9766</v>
      </c>
      <c r="C1658" s="2" t="s">
        <v>594</v>
      </c>
      <c r="D1658" s="2" t="str">
        <f t="shared" si="24"/>
        <v>Error?</v>
      </c>
    </row>
    <row r="1659" spans="1:4" x14ac:dyDescent="0.2">
      <c r="A1659" s="5">
        <v>1598</v>
      </c>
      <c r="B1659" s="138">
        <f>'Acct Summary 7-8'!F79</f>
        <v>177064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184820</v>
      </c>
      <c r="C1672" s="2" t="s">
        <v>594</v>
      </c>
      <c r="D1672" s="2" t="str">
        <f t="shared" si="25"/>
        <v>Error?</v>
      </c>
    </row>
    <row r="1673" spans="1:4" x14ac:dyDescent="0.2">
      <c r="A1673" s="5">
        <v>1612</v>
      </c>
      <c r="B1673" s="138">
        <f>'Acct Summary 7-8'!G79</f>
        <v>129706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169899</v>
      </c>
      <c r="C1686" s="2" t="s">
        <v>594</v>
      </c>
      <c r="D1686" s="2" t="str">
        <f t="shared" si="25"/>
        <v>Error?</v>
      </c>
    </row>
    <row r="1687" spans="1:4" x14ac:dyDescent="0.2">
      <c r="A1687" s="5">
        <v>1626</v>
      </c>
      <c r="B1687" s="138">
        <f>'Acct Summary 7-8'!H79</f>
        <v>40791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59078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730930</v>
      </c>
      <c r="C1744" s="2" t="s">
        <v>594</v>
      </c>
      <c r="D1744" s="2" t="str">
        <f t="shared" si="26"/>
        <v>Error?</v>
      </c>
    </row>
    <row r="1745" spans="1:5" x14ac:dyDescent="0.2">
      <c r="A1745" s="5">
        <v>1684</v>
      </c>
      <c r="B1745" s="138">
        <f>'Tax Sched 23'!B5</f>
        <v>150196</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48067</v>
      </c>
      <c r="C1747" s="2" t="s">
        <v>594</v>
      </c>
      <c r="D1747" s="2" t="str">
        <f t="shared" si="26"/>
        <v>Error?</v>
      </c>
    </row>
    <row r="1748" spans="1:5" x14ac:dyDescent="0.2">
      <c r="A1748" s="5">
        <v>1687</v>
      </c>
      <c r="B1748" s="138">
        <f>'Tax Sched 23'!B8</f>
        <v>44826</v>
      </c>
      <c r="C1748" s="2" t="s">
        <v>594</v>
      </c>
      <c r="D1748" s="2" t="str">
        <f t="shared" si="26"/>
        <v>Error?</v>
      </c>
    </row>
    <row r="1749" spans="1:5" x14ac:dyDescent="0.2">
      <c r="A1749" s="5">
        <v>1688</v>
      </c>
      <c r="B1749" s="138">
        <f>'Tax Sched 23'!B10</f>
        <v>10346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21247</v>
      </c>
      <c r="C1752" s="2" t="s">
        <v>594</v>
      </c>
      <c r="D1752" s="2" t="str">
        <f t="shared" si="26"/>
        <v>Error?</v>
      </c>
    </row>
    <row r="1753" spans="1:5" x14ac:dyDescent="0.2">
      <c r="A1753" s="5">
        <v>1692</v>
      </c>
      <c r="B1753" s="138">
        <f>'Tax Sched 23'!B12</f>
        <v>10035</v>
      </c>
      <c r="C1753" s="2" t="s">
        <v>594</v>
      </c>
      <c r="D1753" s="2" t="str">
        <f t="shared" si="26"/>
        <v>Error?</v>
      </c>
    </row>
    <row r="1754" spans="1:5" x14ac:dyDescent="0.2">
      <c r="A1754" s="5">
        <v>1693</v>
      </c>
      <c r="B1754" s="138">
        <f>'Tax Sched 23'!B14</f>
        <v>8037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1068510</v>
      </c>
      <c r="C1759" s="2" t="s">
        <v>594</v>
      </c>
      <c r="D1759" s="2" t="str">
        <f t="shared" si="26"/>
        <v>Error?</v>
      </c>
    </row>
    <row r="1760" spans="1:5" x14ac:dyDescent="0.2">
      <c r="A1760" s="5">
        <v>1699</v>
      </c>
      <c r="B1760" s="138">
        <f>'Tax Sched 23'!D4</f>
        <v>730930</v>
      </c>
      <c r="C1760" s="2" t="s">
        <v>594</v>
      </c>
      <c r="D1760" s="2" t="str">
        <f t="shared" si="26"/>
        <v>Error?</v>
      </c>
    </row>
    <row r="1761" spans="1:5" x14ac:dyDescent="0.2">
      <c r="A1761" s="5">
        <v>1700</v>
      </c>
      <c r="B1761" s="138">
        <f>'Tax Sched 23'!D5</f>
        <v>150196</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48067</v>
      </c>
      <c r="C1763" s="2" t="s">
        <v>594</v>
      </c>
      <c r="D1763" s="2" t="str">
        <f t="shared" si="26"/>
        <v>Error?</v>
      </c>
    </row>
    <row r="1764" spans="1:5" x14ac:dyDescent="0.2">
      <c r="A1764" s="5">
        <v>1703</v>
      </c>
      <c r="B1764" s="138">
        <f>'Tax Sched 23'!D8</f>
        <v>44826</v>
      </c>
      <c r="C1764" s="2" t="s">
        <v>594</v>
      </c>
      <c r="D1764" s="2" t="str">
        <f t="shared" si="26"/>
        <v>Error?</v>
      </c>
    </row>
    <row r="1765" spans="1:5" x14ac:dyDescent="0.2">
      <c r="A1765" s="5">
        <v>1704</v>
      </c>
      <c r="B1765" s="138">
        <f>'Tax Sched 23'!D10</f>
        <v>10346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21247</v>
      </c>
      <c r="C1768" s="2" t="s">
        <v>594</v>
      </c>
      <c r="D1768" s="2" t="str">
        <f t="shared" si="26"/>
        <v>Error?</v>
      </c>
    </row>
    <row r="1769" spans="1:5" x14ac:dyDescent="0.2">
      <c r="A1769" s="5">
        <v>1708</v>
      </c>
      <c r="B1769" s="138">
        <f>'Tax Sched 23'!D12</f>
        <v>10035</v>
      </c>
      <c r="C1769" s="2" t="s">
        <v>594</v>
      </c>
      <c r="D1769" s="2" t="str">
        <f t="shared" si="26"/>
        <v>Error?</v>
      </c>
    </row>
    <row r="1770" spans="1:5" x14ac:dyDescent="0.2">
      <c r="A1770" s="5">
        <v>1709</v>
      </c>
      <c r="B1770" s="138">
        <f>'Tax Sched 23'!D14</f>
        <v>8037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1068510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807500</v>
      </c>
      <c r="C1792" s="2" t="s">
        <v>594</v>
      </c>
      <c r="D1792" s="2" t="str">
        <f t="shared" si="27"/>
        <v>Error?</v>
      </c>
    </row>
    <row r="1793" spans="1:4" x14ac:dyDescent="0.2">
      <c r="A1793" s="5">
        <v>1732</v>
      </c>
      <c r="B1793" s="138">
        <f>'Tax Sched 23'!F5</f>
        <v>123539</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50739</v>
      </c>
      <c r="C1795" s="2" t="s">
        <v>594</v>
      </c>
      <c r="D1795" s="2" t="str">
        <f t="shared" si="27"/>
        <v>Error?</v>
      </c>
    </row>
    <row r="1796" spans="1:4" x14ac:dyDescent="0.2">
      <c r="A1796" s="5">
        <v>1735</v>
      </c>
      <c r="B1796" s="138">
        <f>'Tax Sched 23'!F8</f>
        <v>47317</v>
      </c>
      <c r="C1796" s="2" t="s">
        <v>594</v>
      </c>
      <c r="D1796" s="2" t="str">
        <f t="shared" si="27"/>
        <v>Error?</v>
      </c>
    </row>
    <row r="1797" spans="1:4" x14ac:dyDescent="0.2">
      <c r="A1797" s="5">
        <v>1736</v>
      </c>
      <c r="B1797" s="138">
        <f>'Tax Sched 23'!F10</f>
        <v>10920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22429</v>
      </c>
      <c r="C1800" s="2" t="s">
        <v>594</v>
      </c>
      <c r="D1800" s="2" t="str">
        <f t="shared" si="27"/>
        <v>Error?</v>
      </c>
    </row>
    <row r="1801" spans="1:4" x14ac:dyDescent="0.2">
      <c r="A1801" s="5">
        <v>1740</v>
      </c>
      <c r="B1801" s="138">
        <f>'Tax Sched 23'!F12</f>
        <v>10593</v>
      </c>
      <c r="C1801" s="2" t="s">
        <v>594</v>
      </c>
      <c r="D1801" s="2" t="str">
        <f t="shared" si="27"/>
        <v>Error?</v>
      </c>
    </row>
    <row r="1802" spans="1:4" x14ac:dyDescent="0.2">
      <c r="A1802" s="5">
        <v>1741</v>
      </c>
      <c r="B1802" s="138">
        <f>'Tax Sched 23'!F14</f>
        <v>8484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1128838</v>
      </c>
      <c r="C1807" s="2" t="s">
        <v>594</v>
      </c>
      <c r="D1807" s="2" t="str">
        <f t="shared" si="27"/>
        <v>Error?</v>
      </c>
    </row>
    <row r="1808" spans="1:4" x14ac:dyDescent="0.2">
      <c r="A1808" s="5">
        <v>1747</v>
      </c>
      <c r="B1808" s="138">
        <f>'Tax Sched 23'!E4</f>
        <v>807500</v>
      </c>
      <c r="D1808" s="2" t="str">
        <f t="shared" si="27"/>
        <v>Error?</v>
      </c>
    </row>
    <row r="1809" spans="1:4" x14ac:dyDescent="0.2">
      <c r="A1809" s="5">
        <v>1748</v>
      </c>
      <c r="B1809" s="138">
        <f>'Tax Sched 23'!E5</f>
        <v>123539</v>
      </c>
      <c r="D1809" s="2" t="str">
        <f t="shared" si="27"/>
        <v>Error?</v>
      </c>
    </row>
    <row r="1810" spans="1:4" x14ac:dyDescent="0.2">
      <c r="A1810" s="5">
        <v>1749</v>
      </c>
      <c r="B1810" s="138">
        <f>'Tax Sched 23'!E6</f>
        <v>0</v>
      </c>
      <c r="D1810" s="2" t="str">
        <f t="shared" si="27"/>
        <v>Error?</v>
      </c>
    </row>
    <row r="1811" spans="1:4" x14ac:dyDescent="0.2">
      <c r="A1811" s="5">
        <v>1750</v>
      </c>
      <c r="B1811" s="138">
        <f>'Tax Sched 23'!E7</f>
        <v>50739</v>
      </c>
      <c r="D1811" s="2" t="str">
        <f t="shared" si="27"/>
        <v>Error?</v>
      </c>
    </row>
    <row r="1812" spans="1:4" x14ac:dyDescent="0.2">
      <c r="A1812" s="5">
        <v>1751</v>
      </c>
      <c r="B1812" s="138">
        <f>'Tax Sched 23'!E8</f>
        <v>47317</v>
      </c>
      <c r="D1812" s="2" t="str">
        <f t="shared" si="27"/>
        <v>Error?</v>
      </c>
    </row>
    <row r="1813" spans="1:4" x14ac:dyDescent="0.2">
      <c r="A1813" s="5">
        <v>1752</v>
      </c>
      <c r="B1813" s="138">
        <f>'Tax Sched 23'!E10</f>
        <v>10920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22429</v>
      </c>
      <c r="D1816" s="2" t="str">
        <f t="shared" si="27"/>
        <v>Error?</v>
      </c>
    </row>
    <row r="1817" spans="1:4" x14ac:dyDescent="0.2">
      <c r="A1817" s="5">
        <v>1756</v>
      </c>
      <c r="B1817" s="138">
        <f>'Tax Sched 23'!E12</f>
        <v>10593</v>
      </c>
      <c r="D1817" s="2" t="str">
        <f t="shared" si="27"/>
        <v>Error?</v>
      </c>
    </row>
    <row r="1818" spans="1:4" x14ac:dyDescent="0.2">
      <c r="A1818" s="5">
        <v>1757</v>
      </c>
      <c r="B1818" s="138">
        <f>'Tax Sched 23'!E14</f>
        <v>8484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1128838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8037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8037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8037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6500</v>
      </c>
      <c r="D2008" s="2" t="str">
        <f t="shared" si="30"/>
        <v>Error?</v>
      </c>
    </row>
    <row r="2009" spans="1:4" x14ac:dyDescent="0.2">
      <c r="A2009" s="5">
        <v>1948</v>
      </c>
      <c r="B2009" s="138">
        <f>'Cap Outlay Deprec 26'!C8</f>
        <v>1035757</v>
      </c>
      <c r="D2009" s="2" t="str">
        <f t="shared" si="30"/>
        <v>Error?</v>
      </c>
    </row>
    <row r="2010" spans="1:4" x14ac:dyDescent="0.2">
      <c r="A2010" s="5">
        <v>1949</v>
      </c>
      <c r="B2010" s="138">
        <f>'Cap Outlay Deprec 26'!C10</f>
        <v>44054</v>
      </c>
      <c r="D2010" s="2" t="str">
        <f t="shared" si="30"/>
        <v>Error?</v>
      </c>
    </row>
    <row r="2011" spans="1:4" x14ac:dyDescent="0.2">
      <c r="A2011" s="5">
        <v>1950</v>
      </c>
      <c r="B2011" s="138">
        <f>'Cap Outlay Deprec 26'!C12</f>
        <v>606850</v>
      </c>
      <c r="D2011" s="2" t="str">
        <f t="shared" si="30"/>
        <v>Error?</v>
      </c>
    </row>
    <row r="2012" spans="1:4" x14ac:dyDescent="0.2">
      <c r="A2012" s="5">
        <v>1951</v>
      </c>
      <c r="B2012" s="138">
        <f>'Cap Outlay Deprec 26'!C13</f>
        <v>130005</v>
      </c>
      <c r="D2012" s="2" t="str">
        <f t="shared" si="30"/>
        <v>Error?</v>
      </c>
    </row>
    <row r="2013" spans="1:4" x14ac:dyDescent="0.2">
      <c r="A2013" s="5">
        <v>1952</v>
      </c>
      <c r="B2013" s="138">
        <f>'Cap Outlay Deprec 26'!C16</f>
        <v>1892618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29106</v>
      </c>
      <c r="D2016" s="2" t="str">
        <f t="shared" si="30"/>
        <v>Error?</v>
      </c>
    </row>
    <row r="2017" spans="1:4" x14ac:dyDescent="0.2">
      <c r="A2017" s="5">
        <v>1956</v>
      </c>
      <c r="B2017" s="138">
        <f>'Cap Outlay Deprec 26'!D12</f>
        <v>2549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31655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12000</v>
      </c>
      <c r="C2025" s="2" t="s">
        <v>594</v>
      </c>
      <c r="D2025" s="2" t="str">
        <f t="shared" si="30"/>
        <v>Error?</v>
      </c>
    </row>
    <row r="2026" spans="1:4" x14ac:dyDescent="0.2">
      <c r="A2026" s="5">
        <v>1965</v>
      </c>
      <c r="B2026" s="138">
        <f>'Cap Outlay Deprec 26'!F5</f>
        <v>6500</v>
      </c>
      <c r="C2026" s="2" t="s">
        <v>594</v>
      </c>
      <c r="D2026" s="2" t="str">
        <f t="shared" si="30"/>
        <v>Error?</v>
      </c>
    </row>
    <row r="2027" spans="1:4" x14ac:dyDescent="0.2">
      <c r="A2027" s="5">
        <v>1966</v>
      </c>
      <c r="B2027" s="138">
        <f>'Cap Outlay Deprec 26'!F8</f>
        <v>1035757</v>
      </c>
      <c r="C2027" s="2" t="s">
        <v>594</v>
      </c>
      <c r="D2027" s="2" t="str">
        <f t="shared" si="30"/>
        <v>Error?</v>
      </c>
    </row>
    <row r="2028" spans="1:4" x14ac:dyDescent="0.2">
      <c r="A2028" s="5">
        <v>1967</v>
      </c>
      <c r="B2028" s="138">
        <f>'Cap Outlay Deprec 26'!F10</f>
        <v>73160</v>
      </c>
      <c r="C2028" s="2" t="s">
        <v>594</v>
      </c>
      <c r="D2028" s="2" t="str">
        <f t="shared" si="30"/>
        <v>Error?</v>
      </c>
    </row>
    <row r="2029" spans="1:4" x14ac:dyDescent="0.2">
      <c r="A2029" s="5">
        <v>1968</v>
      </c>
      <c r="B2029" s="138">
        <f>'Cap Outlay Deprec 26'!F12</f>
        <v>609399</v>
      </c>
      <c r="C2029" s="2" t="s">
        <v>594</v>
      </c>
      <c r="D2029" s="2" t="str">
        <f t="shared" si="30"/>
        <v>Error?</v>
      </c>
    </row>
    <row r="2030" spans="1:4" x14ac:dyDescent="0.2">
      <c r="A2030" s="5">
        <v>1969</v>
      </c>
      <c r="B2030" s="138">
        <f>'Cap Outlay Deprec 26'!F13</f>
        <v>130005</v>
      </c>
      <c r="C2030" s="2" t="s">
        <v>594</v>
      </c>
      <c r="D2030" s="2" t="str">
        <f t="shared" si="30"/>
        <v>Error?</v>
      </c>
    </row>
    <row r="2031" spans="1:4" x14ac:dyDescent="0.2">
      <c r="A2031" s="5">
        <v>1970</v>
      </c>
      <c r="B2031" s="138">
        <f>'Cap Outlay Deprec 26'!F16</f>
        <v>1912273</v>
      </c>
      <c r="C2031" s="2" t="s">
        <v>594</v>
      </c>
      <c r="D2031" s="2" t="str">
        <f t="shared" si="30"/>
        <v>Error?</v>
      </c>
    </row>
    <row r="2032" spans="1:4" x14ac:dyDescent="0.2">
      <c r="A2032" s="10">
        <v>1971</v>
      </c>
      <c r="D2032" s="2" t="str">
        <f t="shared" si="30"/>
        <v>OK</v>
      </c>
    </row>
    <row r="2033" spans="1:4" x14ac:dyDescent="0.2">
      <c r="A2033" s="5">
        <v>1972</v>
      </c>
      <c r="B2033" s="138">
        <f>'Cap Outlay Deprec 26'!H8</f>
        <v>729061</v>
      </c>
      <c r="D2033" s="2" t="str">
        <f t="shared" si="30"/>
        <v>Error?</v>
      </c>
    </row>
    <row r="2034" spans="1:4" x14ac:dyDescent="0.2">
      <c r="A2034" s="5">
        <v>1973</v>
      </c>
      <c r="B2034" s="138">
        <f>'Cap Outlay Deprec 26'!H10</f>
        <v>14530</v>
      </c>
      <c r="D2034" s="2" t="str">
        <f t="shared" si="30"/>
        <v>Error?</v>
      </c>
    </row>
    <row r="2035" spans="1:4" x14ac:dyDescent="0.2">
      <c r="A2035" s="5">
        <v>1974</v>
      </c>
      <c r="B2035" s="138">
        <f>'Cap Outlay Deprec 26'!H12</f>
        <v>569784</v>
      </c>
      <c r="D2035" s="2" t="str">
        <f t="shared" si="30"/>
        <v>Error?</v>
      </c>
    </row>
    <row r="2036" spans="1:4" x14ac:dyDescent="0.2">
      <c r="A2036" s="5">
        <v>1975</v>
      </c>
      <c r="B2036" s="138">
        <f>'Cap Outlay Deprec 26'!H13</f>
        <v>124633</v>
      </c>
      <c r="D2036" s="2" t="str">
        <f t="shared" si="30"/>
        <v>Error?</v>
      </c>
    </row>
    <row r="2037" spans="1:4" x14ac:dyDescent="0.2">
      <c r="A2037" s="5">
        <v>1976</v>
      </c>
      <c r="B2037" s="138">
        <f>'Cap Outlay Deprec 26'!H16</f>
        <v>1478441</v>
      </c>
      <c r="C2037" s="2" t="s">
        <v>594</v>
      </c>
      <c r="D2037" s="2" t="str">
        <f t="shared" si="30"/>
        <v>Error?</v>
      </c>
    </row>
    <row r="2038" spans="1:4" x14ac:dyDescent="0.2">
      <c r="A2038" s="10">
        <v>1977</v>
      </c>
      <c r="D2038" s="2" t="str">
        <f t="shared" si="30"/>
        <v>OK</v>
      </c>
    </row>
    <row r="2039" spans="1:4" x14ac:dyDescent="0.2">
      <c r="A2039" s="5">
        <v>1978</v>
      </c>
      <c r="B2039" s="138">
        <f>'Cap Outlay Deprec 26'!I8</f>
        <v>20715</v>
      </c>
      <c r="D2039" s="2" t="str">
        <f t="shared" si="30"/>
        <v>Error?</v>
      </c>
    </row>
    <row r="2040" spans="1:4" x14ac:dyDescent="0.2">
      <c r="A2040" s="5">
        <v>1979</v>
      </c>
      <c r="B2040" s="138">
        <f>'Cap Outlay Deprec 26'!I10</f>
        <v>2242</v>
      </c>
      <c r="D2040" s="2" t="str">
        <f t="shared" si="30"/>
        <v>Error?</v>
      </c>
    </row>
    <row r="2041" spans="1:4" x14ac:dyDescent="0.2">
      <c r="A2041" s="5">
        <v>1980</v>
      </c>
      <c r="B2041" s="138">
        <f>'Cap Outlay Deprec 26'!I12</f>
        <v>9388</v>
      </c>
      <c r="D2041" s="2" t="str">
        <f t="shared" si="30"/>
        <v>Error?</v>
      </c>
    </row>
    <row r="2042" spans="1:4" x14ac:dyDescent="0.2">
      <c r="A2042" s="5">
        <v>1981</v>
      </c>
      <c r="B2042" s="138">
        <f>'Cap Outlay Deprec 26'!I13</f>
        <v>1535</v>
      </c>
      <c r="D2042" s="2" t="str">
        <f t="shared" si="30"/>
        <v>Error?</v>
      </c>
    </row>
    <row r="2043" spans="1:4" x14ac:dyDescent="0.2">
      <c r="A2043" s="5">
        <v>1982</v>
      </c>
      <c r="B2043" s="138">
        <f>'Cap Outlay Deprec 26'!I16</f>
        <v>39778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749776</v>
      </c>
      <c r="C2051" s="2" t="s">
        <v>594</v>
      </c>
      <c r="D2051" s="2" t="str">
        <f t="shared" si="31"/>
        <v>Error?</v>
      </c>
    </row>
    <row r="2052" spans="1:4" x14ac:dyDescent="0.2">
      <c r="A2052" s="5">
        <v>1991</v>
      </c>
      <c r="B2052" s="138">
        <f>'Cap Outlay Deprec 26'!K10</f>
        <v>16772</v>
      </c>
      <c r="C2052" s="2" t="s">
        <v>594</v>
      </c>
      <c r="D2052" s="2" t="str">
        <f t="shared" si="31"/>
        <v>Error?</v>
      </c>
    </row>
    <row r="2053" spans="1:4" x14ac:dyDescent="0.2">
      <c r="A2053" s="5">
        <v>1992</v>
      </c>
      <c r="B2053" s="138">
        <f>'Cap Outlay Deprec 26'!K12</f>
        <v>579172</v>
      </c>
      <c r="C2053" s="2" t="s">
        <v>594</v>
      </c>
      <c r="D2053" s="2" t="str">
        <f t="shared" si="31"/>
        <v>Error?</v>
      </c>
    </row>
    <row r="2054" spans="1:4" x14ac:dyDescent="0.2">
      <c r="A2054" s="5">
        <v>1993</v>
      </c>
      <c r="B2054" s="138">
        <f>'Cap Outlay Deprec 26'!K13</f>
        <v>126168</v>
      </c>
      <c r="C2054" s="2" t="s">
        <v>594</v>
      </c>
      <c r="D2054" s="2" t="str">
        <f t="shared" si="31"/>
        <v>Error?</v>
      </c>
    </row>
    <row r="2055" spans="1:4" x14ac:dyDescent="0.2">
      <c r="A2055" s="5">
        <v>1994</v>
      </c>
      <c r="B2055" s="138">
        <f>'Cap Outlay Deprec 26'!K16</f>
        <v>1518219</v>
      </c>
      <c r="C2055" s="2" t="s">
        <v>594</v>
      </c>
      <c r="D2055" s="2" t="str">
        <f t="shared" si="31"/>
        <v>Error?</v>
      </c>
    </row>
    <row r="2056" spans="1:4" x14ac:dyDescent="0.2">
      <c r="A2056" s="5">
        <v>1995</v>
      </c>
      <c r="B2056" s="138">
        <f>'Cap Outlay Deprec 26'!L5</f>
        <v>6500</v>
      </c>
      <c r="C2056" s="2" t="s">
        <v>594</v>
      </c>
      <c r="D2056" s="2" t="str">
        <f t="shared" si="31"/>
        <v>Error?</v>
      </c>
    </row>
    <row r="2057" spans="1:4" x14ac:dyDescent="0.2">
      <c r="A2057" s="5">
        <v>1996</v>
      </c>
      <c r="B2057" s="138">
        <f>'Cap Outlay Deprec 26'!L8</f>
        <v>285981</v>
      </c>
      <c r="C2057" s="2" t="s">
        <v>594</v>
      </c>
      <c r="D2057" s="2" t="str">
        <f t="shared" si="31"/>
        <v>Error?</v>
      </c>
    </row>
    <row r="2058" spans="1:4" x14ac:dyDescent="0.2">
      <c r="A2058" s="5">
        <v>1997</v>
      </c>
      <c r="B2058" s="138">
        <f>'Cap Outlay Deprec 26'!L10</f>
        <v>56388</v>
      </c>
      <c r="C2058" s="2" t="s">
        <v>594</v>
      </c>
      <c r="D2058" s="2" t="str">
        <f t="shared" si="31"/>
        <v>Error?</v>
      </c>
    </row>
    <row r="2059" spans="1:4" x14ac:dyDescent="0.2">
      <c r="A2059" s="5">
        <v>1998</v>
      </c>
      <c r="B2059" s="138">
        <f>'Cap Outlay Deprec 26'!L12</f>
        <v>30227</v>
      </c>
      <c r="C2059" s="2" t="s">
        <v>594</v>
      </c>
      <c r="D2059" s="2" t="str">
        <f t="shared" si="31"/>
        <v>Error?</v>
      </c>
    </row>
    <row r="2060" spans="1:4" x14ac:dyDescent="0.2">
      <c r="A2060" s="5">
        <v>1999</v>
      </c>
      <c r="B2060" s="138">
        <f>'Cap Outlay Deprec 26'!L13</f>
        <v>3837</v>
      </c>
      <c r="C2060" s="2" t="s">
        <v>594</v>
      </c>
      <c r="D2060" s="2" t="str">
        <f t="shared" si="31"/>
        <v>Error?</v>
      </c>
    </row>
    <row r="2061" spans="1:4" x14ac:dyDescent="0.2">
      <c r="A2061" s="5">
        <v>2000</v>
      </c>
      <c r="B2061" s="138">
        <f>'Cap Outlay Deprec 26'!L16</f>
        <v>394054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55429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114651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59078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862899</v>
      </c>
      <c r="C2551" s="2" t="s">
        <v>594</v>
      </c>
      <c r="D2551" s="2" t="str">
        <f t="shared" si="38"/>
        <v>Error?</v>
      </c>
    </row>
    <row r="2552" spans="1:4" x14ac:dyDescent="0.2">
      <c r="A2552" s="10">
        <v>2491</v>
      </c>
      <c r="D2552" s="2" t="str">
        <f t="shared" si="38"/>
        <v>OK</v>
      </c>
    </row>
    <row r="2553" spans="1:4" x14ac:dyDescent="0.2">
      <c r="A2553" s="5">
        <v>2492</v>
      </c>
      <c r="B2553" s="138">
        <f>'Acct Summary 7-8'!C6</f>
        <v>272490</v>
      </c>
      <c r="C2553" s="2" t="s">
        <v>594</v>
      </c>
      <c r="D2553" s="2" t="str">
        <f t="shared" si="38"/>
        <v>Error?</v>
      </c>
    </row>
    <row r="2554" spans="1:4" x14ac:dyDescent="0.2">
      <c r="A2554" s="5">
        <v>2493</v>
      </c>
      <c r="B2554" s="138">
        <f>'Acct Summary 7-8'!C7</f>
        <v>87416</v>
      </c>
      <c r="C2554" s="2" t="s">
        <v>594</v>
      </c>
      <c r="D2554" s="2" t="str">
        <f t="shared" si="38"/>
        <v>Error?</v>
      </c>
    </row>
    <row r="2555" spans="1:4" x14ac:dyDescent="0.2">
      <c r="A2555" s="5">
        <v>2494</v>
      </c>
      <c r="B2555" s="138">
        <f>'Acct Summary 7-8'!C8</f>
        <v>1222805</v>
      </c>
      <c r="C2555" s="2" t="s">
        <v>594</v>
      </c>
      <c r="D2555" s="2" t="str">
        <f t="shared" si="38"/>
        <v>Error?</v>
      </c>
    </row>
    <row r="2556" spans="1:4" x14ac:dyDescent="0.2">
      <c r="A2556" s="5">
        <v>2495</v>
      </c>
      <c r="B2556" s="138">
        <f>'Acct Summary 7-8'!C12</f>
        <v>816374</v>
      </c>
      <c r="C2556" s="2" t="s">
        <v>594</v>
      </c>
      <c r="D2556" s="2" t="str">
        <f t="shared" si="38"/>
        <v>Error?</v>
      </c>
    </row>
    <row r="2557" spans="1:4" x14ac:dyDescent="0.2">
      <c r="A2557" s="5">
        <v>2496</v>
      </c>
      <c r="B2557" s="138">
        <f>'Acct Summary 7-8'!C13</f>
        <v>372917</v>
      </c>
      <c r="C2557" s="2" t="s">
        <v>594</v>
      </c>
      <c r="D2557" s="2" t="str">
        <f t="shared" si="38"/>
        <v>Error?</v>
      </c>
    </row>
    <row r="2558" spans="1:4" x14ac:dyDescent="0.2">
      <c r="A2558" s="5">
        <v>2497</v>
      </c>
      <c r="B2558" s="138">
        <f>'Acct Summary 7-8'!C14</f>
        <v>7619</v>
      </c>
      <c r="C2558" s="2" t="s">
        <v>594</v>
      </c>
      <c r="D2558" s="2" t="str">
        <f t="shared" si="38"/>
        <v>Error?</v>
      </c>
    </row>
    <row r="2559" spans="1:4" x14ac:dyDescent="0.2">
      <c r="A2559" s="5">
        <v>2498</v>
      </c>
      <c r="B2559" s="138">
        <f>'Acct Summary 7-8'!C15</f>
        <v>55429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1252339</v>
      </c>
      <c r="C2561" s="2" t="s">
        <v>594</v>
      </c>
      <c r="D2561" s="2" t="str">
        <f t="shared" si="39"/>
        <v>Error?</v>
      </c>
    </row>
    <row r="2562" spans="1:4" x14ac:dyDescent="0.2">
      <c r="A2562" s="5">
        <v>2501</v>
      </c>
      <c r="B2562" s="138">
        <f>'Acct Summary 7-8'!C20</f>
        <v>-29534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154156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154156</v>
      </c>
      <c r="C2568" s="2" t="s">
        <v>594</v>
      </c>
      <c r="D2568" s="2" t="str">
        <f t="shared" si="39"/>
        <v>Error?</v>
      </c>
    </row>
    <row r="2569" spans="1:4" x14ac:dyDescent="0.2">
      <c r="A2569" s="5">
        <v>2508</v>
      </c>
      <c r="B2569" s="138">
        <f>'Acct Summary 7-8'!D13</f>
        <v>141205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141205</v>
      </c>
      <c r="C2573" s="2" t="s">
        <v>594</v>
      </c>
      <c r="D2573" s="2" t="str">
        <f t="shared" si="39"/>
        <v>Error?</v>
      </c>
    </row>
    <row r="2574" spans="1:4" x14ac:dyDescent="0.2">
      <c r="A2574" s="5">
        <v>2513</v>
      </c>
      <c r="B2574" s="138">
        <f>'Acct Summary 7-8'!D20</f>
        <v>12951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54808</v>
      </c>
      <c r="C2591" s="2" t="s">
        <v>594</v>
      </c>
      <c r="D2591" s="2" t="str">
        <f t="shared" si="39"/>
        <v>Error?</v>
      </c>
    </row>
    <row r="2592" spans="1:4" x14ac:dyDescent="0.2">
      <c r="A2592" s="10">
        <v>2531</v>
      </c>
      <c r="D2592" s="2" t="str">
        <f t="shared" si="39"/>
        <v>OK</v>
      </c>
    </row>
    <row r="2593" spans="1:4" x14ac:dyDescent="0.2">
      <c r="A2593" s="5">
        <v>2532</v>
      </c>
      <c r="B2593" s="138">
        <f>'Acct Summary 7-8'!F6</f>
        <v>70565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125373</v>
      </c>
      <c r="C2595" s="2" t="s">
        <v>594</v>
      </c>
      <c r="D2595" s="2" t="str">
        <f t="shared" si="39"/>
        <v>Error?</v>
      </c>
    </row>
    <row r="2596" spans="1:4" x14ac:dyDescent="0.2">
      <c r="A2596" s="5">
        <v>2535</v>
      </c>
      <c r="B2596" s="138">
        <f>'Acct Summary 7-8'!F13</f>
        <v>117617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117617</v>
      </c>
      <c r="C2600" s="2" t="s">
        <v>594</v>
      </c>
      <c r="D2600" s="2" t="str">
        <f t="shared" si="39"/>
        <v>Error?</v>
      </c>
    </row>
    <row r="2601" spans="1:4" x14ac:dyDescent="0.2">
      <c r="A2601" s="5">
        <v>2540</v>
      </c>
      <c r="B2601" s="138">
        <f>'Acct Summary 7-8'!F20</f>
        <v>7756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91338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91338</v>
      </c>
      <c r="C2606" s="2" t="s">
        <v>594</v>
      </c>
      <c r="D2606" s="2" t="str">
        <f t="shared" si="39"/>
        <v>Error?</v>
      </c>
    </row>
    <row r="2607" spans="1:4" x14ac:dyDescent="0.2">
      <c r="A2607" s="5">
        <v>2546</v>
      </c>
      <c r="B2607" s="138">
        <f>'Acct Summary 7-8'!G12</f>
        <v>20018</v>
      </c>
      <c r="C2607" s="2" t="s">
        <v>594</v>
      </c>
      <c r="D2607" s="2" t="str">
        <f t="shared" si="39"/>
        <v>Error?</v>
      </c>
    </row>
    <row r="2608" spans="1:4" x14ac:dyDescent="0.2">
      <c r="A2608" s="5">
        <v>2547</v>
      </c>
      <c r="B2608" s="138">
        <f>'Acct Summary 7-8'!G13</f>
        <v>31067</v>
      </c>
      <c r="C2608" s="2" t="s">
        <v>594</v>
      </c>
      <c r="D2608" s="2" t="str">
        <f t="shared" si="39"/>
        <v>Error?</v>
      </c>
    </row>
    <row r="2609" spans="1:4" x14ac:dyDescent="0.2">
      <c r="A2609" s="5">
        <v>2548</v>
      </c>
      <c r="B2609" s="138">
        <f>'Acct Summary 7-8'!G14</f>
        <v>60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51145</v>
      </c>
      <c r="C2612" s="2" t="s">
        <v>594</v>
      </c>
      <c r="D2612" s="2" t="str">
        <f t="shared" si="39"/>
        <v>Error?</v>
      </c>
    </row>
    <row r="2613" spans="1:4" x14ac:dyDescent="0.2">
      <c r="A2613" s="5">
        <v>2552</v>
      </c>
      <c r="B2613" s="138">
        <f>'Acct Summary 7-8'!G20</f>
        <v>40193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73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28734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28734</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28734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55429</v>
      </c>
      <c r="C2789" s="2" t="s">
        <v>594</v>
      </c>
      <c r="D2789" s="2" t="str">
        <f t="shared" si="42"/>
        <v>Error?</v>
      </c>
    </row>
    <row r="2790" spans="1:4" x14ac:dyDescent="0.2">
      <c r="A2790" s="5">
        <v>2729</v>
      </c>
      <c r="B2790" s="138">
        <f>'Expenditures 15-22'!E102</f>
        <v>55429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33960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48767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33960</v>
      </c>
      <c r="D2912" s="2" t="str">
        <f t="shared" si="44"/>
        <v>Error?</v>
      </c>
    </row>
    <row r="2913" spans="1:4" x14ac:dyDescent="0.2">
      <c r="A2913" s="5">
        <v>2852</v>
      </c>
      <c r="B2913" s="138">
        <f>'Assets-Liab 5-6'!I41</f>
        <v>33960</v>
      </c>
      <c r="C2913" s="2" t="s">
        <v>594</v>
      </c>
      <c r="D2913" s="2" t="str">
        <f t="shared" si="44"/>
        <v>Error?</v>
      </c>
    </row>
    <row r="2914" spans="1:4" x14ac:dyDescent="0.2">
      <c r="A2914" s="5">
        <v>2853</v>
      </c>
      <c r="B2914" s="138">
        <f>'Assets-Liab 5-6'!L33</f>
        <v>48767</v>
      </c>
      <c r="D2914" s="2" t="str">
        <f t="shared" si="44"/>
        <v>Error?</v>
      </c>
    </row>
    <row r="2915" spans="1:4" x14ac:dyDescent="0.2">
      <c r="A2915" s="10">
        <v>2854</v>
      </c>
      <c r="D2915" s="2" t="str">
        <f t="shared" si="44"/>
        <v>OK</v>
      </c>
    </row>
    <row r="2916" spans="1:4" x14ac:dyDescent="0.2">
      <c r="A2916" s="5">
        <v>2855</v>
      </c>
      <c r="B2916" s="138">
        <f>'Assets-Liab 5-6'!L34</f>
        <v>48767</v>
      </c>
      <c r="C2916" s="2" t="s">
        <v>594</v>
      </c>
      <c r="D2916" s="2" t="str">
        <f t="shared" si="44"/>
        <v>Error?</v>
      </c>
    </row>
    <row r="2917" spans="1:4" x14ac:dyDescent="0.2">
      <c r="A2917" s="5">
        <v>2856</v>
      </c>
      <c r="B2917" s="138">
        <f>'Assets-Liab 5-6'!L41</f>
        <v>48767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55429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55429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7162</v>
      </c>
      <c r="D3055" s="2" t="str">
        <f t="shared" si="46"/>
        <v>Error?</v>
      </c>
    </row>
    <row r="3056" spans="1:4" x14ac:dyDescent="0.2">
      <c r="A3056" s="5">
        <v>2995</v>
      </c>
      <c r="B3056" s="138">
        <f>'Expenditures 15-22'!D10</f>
        <v>594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1117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8873</v>
      </c>
      <c r="C3062" s="2" t="s">
        <v>594</v>
      </c>
      <c r="D3062" s="2" t="str">
        <f t="shared" si="46"/>
        <v>Error?</v>
      </c>
    </row>
    <row r="3063" spans="1:4" x14ac:dyDescent="0.2">
      <c r="A3063" s="10">
        <v>3002</v>
      </c>
      <c r="D3063" s="2" t="str">
        <f t="shared" si="46"/>
        <v>OK</v>
      </c>
    </row>
    <row r="3064" spans="1:4" x14ac:dyDescent="0.2">
      <c r="A3064" s="5">
        <v>3003</v>
      </c>
      <c r="B3064" s="138">
        <f>'Expenditures 15-22'!D219</f>
        <v>107</v>
      </c>
      <c r="D3064" s="2" t="str">
        <f t="shared" si="46"/>
        <v>Error?</v>
      </c>
    </row>
    <row r="3065" spans="1:4" x14ac:dyDescent="0.2">
      <c r="A3065" s="5">
        <v>3004</v>
      </c>
      <c r="B3065" s="138">
        <f>'Expenditures 15-22'!K219</f>
        <v>107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10447</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10447</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10612</v>
      </c>
      <c r="C3225" s="2" t="s">
        <v>594</v>
      </c>
      <c r="D3225" s="2" t="str">
        <f t="shared" si="49"/>
        <v>Error?</v>
      </c>
    </row>
    <row r="3226" spans="1:4" x14ac:dyDescent="0.2">
      <c r="A3226" s="5">
        <v>3165</v>
      </c>
      <c r="B3226" s="138">
        <f>'Acct Summary 7-8'!I8</f>
        <v>10612</v>
      </c>
      <c r="C3226" s="2" t="s">
        <v>594</v>
      </c>
      <c r="D3226" s="2" t="str">
        <f t="shared" si="49"/>
        <v>Error?</v>
      </c>
    </row>
    <row r="3227" spans="1:4" x14ac:dyDescent="0.2">
      <c r="A3227" s="5">
        <v>3166</v>
      </c>
      <c r="B3227" s="138">
        <f>'Acct Summary 7-8'!I20</f>
        <v>10612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-29534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10447</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10447</v>
      </c>
      <c r="C3238" s="2" t="s">
        <v>594</v>
      </c>
      <c r="D3238" s="2" t="str">
        <f t="shared" si="49"/>
        <v>Error?</v>
      </c>
    </row>
    <row r="3239" spans="1:4" x14ac:dyDescent="0.2">
      <c r="A3239" s="5">
        <v>3178</v>
      </c>
      <c r="B3239" s="138">
        <f>'Acct Summary 7-8'!D78</f>
        <v>23398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7756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40193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10447</v>
      </c>
      <c r="C3298" s="2" t="s">
        <v>594</v>
      </c>
      <c r="D3298" s="2" t="str">
        <f t="shared" si="50"/>
        <v>Error?</v>
      </c>
    </row>
    <row r="3299" spans="1:4" x14ac:dyDescent="0.2">
      <c r="A3299" s="5">
        <v>3238</v>
      </c>
      <c r="B3299" s="138">
        <f>'Acct Summary 7-8'!H77</f>
        <v>-10447</v>
      </c>
      <c r="C3299" s="2" t="s">
        <v>594</v>
      </c>
      <c r="D3299" s="2" t="str">
        <f t="shared" si="50"/>
        <v>Error?</v>
      </c>
    </row>
    <row r="3300" spans="1:4" x14ac:dyDescent="0.2">
      <c r="A3300" s="5">
        <v>3239</v>
      </c>
      <c r="B3300" s="138">
        <f>'Acct Summary 7-8'!H78</f>
        <v>18287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10612</v>
      </c>
      <c r="C3320" s="2" t="s">
        <v>594</v>
      </c>
      <c r="D3320" s="2" t="str">
        <f t="shared" si="50"/>
        <v>Error?</v>
      </c>
    </row>
    <row r="3321" spans="1:4" x14ac:dyDescent="0.2">
      <c r="A3321" s="5">
        <v>3260</v>
      </c>
      <c r="B3321" s="138">
        <f>'Acct Summary 7-8'!I79</f>
        <v>23348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33960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61425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1315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64610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11777</v>
      </c>
      <c r="D3387" s="2" t="str">
        <f t="shared" si="51"/>
        <v>Error?</v>
      </c>
    </row>
    <row r="3388" spans="1:4" x14ac:dyDescent="0.2">
      <c r="A3388" s="5">
        <v>3327</v>
      </c>
      <c r="B3388" s="138">
        <f>'Expenditures 15-22'!D217</f>
        <v>5097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11777</v>
      </c>
      <c r="C3390" s="2" t="s">
        <v>594</v>
      </c>
      <c r="D3390" s="2" t="str">
        <f t="shared" si="51"/>
        <v>Error?</v>
      </c>
    </row>
    <row r="3391" spans="1:4" x14ac:dyDescent="0.2">
      <c r="A3391" s="5">
        <v>3330</v>
      </c>
      <c r="B3391" s="138">
        <f>'Expenditures 15-22'!K217</f>
        <v>5097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184223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272140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9766</v>
      </c>
      <c r="D3417" s="2" t="str">
        <f t="shared" si="52"/>
        <v>Error?</v>
      </c>
    </row>
    <row r="3418" spans="1:4" x14ac:dyDescent="0.2">
      <c r="A3418" s="10">
        <v>3357</v>
      </c>
      <c r="D3418" s="2" t="str">
        <f t="shared" si="52"/>
        <v>OK</v>
      </c>
    </row>
    <row r="3419" spans="1:4" x14ac:dyDescent="0.2">
      <c r="A3419" s="5">
        <v>3358</v>
      </c>
      <c r="B3419" s="138">
        <f>'Assets-Liab 5-6'!F4</f>
        <v>184820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169899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59078</v>
      </c>
      <c r="D3425" s="2" t="str">
        <f t="shared" si="52"/>
        <v>Error?</v>
      </c>
    </row>
    <row r="3426" spans="1:4" x14ac:dyDescent="0.2">
      <c r="A3426" s="10">
        <v>3365</v>
      </c>
      <c r="D3426" s="2" t="str">
        <f t="shared" si="52"/>
        <v>OK</v>
      </c>
    </row>
    <row r="3427" spans="1:4" x14ac:dyDescent="0.2">
      <c r="A3427" s="5">
        <v>3366</v>
      </c>
      <c r="B3427" s="138">
        <f>'Assets-Liab 5-6'!I4</f>
        <v>33960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48767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44826</v>
      </c>
      <c r="C3446" s="2" t="s">
        <v>594</v>
      </c>
      <c r="D3446" s="2" t="str">
        <f t="shared" si="52"/>
        <v>Error?</v>
      </c>
    </row>
    <row r="3447" spans="1:4" x14ac:dyDescent="0.2">
      <c r="A3447" s="5">
        <v>3386</v>
      </c>
      <c r="B3447" s="138">
        <f>'Tax Sched 23'!D16</f>
        <v>44826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47317</v>
      </c>
      <c r="C3449" s="2" t="s">
        <v>594</v>
      </c>
      <c r="D3449" s="2" t="str">
        <f t="shared" si="52"/>
        <v>Error?</v>
      </c>
    </row>
    <row r="3450" spans="1:4" x14ac:dyDescent="0.2">
      <c r="A3450" s="5">
        <v>3389</v>
      </c>
      <c r="B3450" s="138">
        <f>'Tax Sched 23'!E16</f>
        <v>47317</v>
      </c>
      <c r="D3450" s="2" t="str">
        <f t="shared" si="52"/>
        <v>Error?</v>
      </c>
    </row>
    <row r="3451" spans="1:4" x14ac:dyDescent="0.2">
      <c r="A3451" s="5">
        <v>3390</v>
      </c>
      <c r="B3451" s="138">
        <f>'Cap Outlay Deprec 26'!C15</f>
        <v>12000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12000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61768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61768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61768</v>
      </c>
      <c r="D3567" s="2" t="str">
        <f t="shared" si="54"/>
        <v>Error?</v>
      </c>
    </row>
    <row r="3568" spans="1:4" x14ac:dyDescent="0.2">
      <c r="A3568" s="5">
        <v>3507</v>
      </c>
      <c r="B3568" s="138">
        <f>'Assets-Liab 5-6'!K41</f>
        <v>61768</v>
      </c>
      <c r="C3568" s="2" t="s">
        <v>594</v>
      </c>
      <c r="D3568" s="2" t="str">
        <f t="shared" si="54"/>
        <v>Error?</v>
      </c>
    </row>
    <row r="3569" spans="1:4" x14ac:dyDescent="0.2">
      <c r="A3569" s="5">
        <v>3508</v>
      </c>
      <c r="B3569" s="138">
        <f>'Acct Summary 7-8'!K4</f>
        <v>10509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10509</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10509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10509</v>
      </c>
      <c r="C3588" s="2" t="s">
        <v>594</v>
      </c>
      <c r="D3588" s="2" t="str">
        <f t="shared" si="55"/>
        <v>Error?</v>
      </c>
    </row>
    <row r="3589" spans="1:4" x14ac:dyDescent="0.2">
      <c r="A3589" s="5">
        <v>3528</v>
      </c>
      <c r="B3589" s="138">
        <f>'Acct Summary 7-8'!K79</f>
        <v>51259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61768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10509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50602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540947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1763752</v>
      </c>
      <c r="C4122" s="2" t="s">
        <v>594</v>
      </c>
      <c r="D4122" s="2" t="str">
        <f t="shared" si="63"/>
        <v>Error?</v>
      </c>
    </row>
    <row r="4123" spans="1:4" x14ac:dyDescent="0.2">
      <c r="A4123" s="5">
        <v>4062</v>
      </c>
      <c r="B4123" s="138">
        <f>'Acct Summary 7-8'!D10</f>
        <v>154156</v>
      </c>
      <c r="C4123" s="2" t="s">
        <v>594</v>
      </c>
      <c r="D4123" s="2" t="str">
        <f t="shared" si="63"/>
        <v>Error?</v>
      </c>
    </row>
    <row r="4124" spans="1:4" x14ac:dyDescent="0.2">
      <c r="A4124" s="5">
        <v>4063</v>
      </c>
      <c r="B4124" s="138">
        <f>'Acct Summary 7-8'!E10</f>
        <v>73</v>
      </c>
      <c r="C4124" s="2" t="s">
        <v>594</v>
      </c>
      <c r="D4124" s="2" t="str">
        <f t="shared" si="63"/>
        <v>Error?</v>
      </c>
    </row>
    <row r="4125" spans="1:4" x14ac:dyDescent="0.2">
      <c r="A4125" s="5">
        <v>4064</v>
      </c>
      <c r="B4125" s="138">
        <f>'Acct Summary 7-8'!F10</f>
        <v>125373</v>
      </c>
      <c r="C4125" s="2" t="s">
        <v>594</v>
      </c>
      <c r="D4125" s="2" t="str">
        <f t="shared" si="63"/>
        <v>Error?</v>
      </c>
    </row>
    <row r="4126" spans="1:4" x14ac:dyDescent="0.2">
      <c r="A4126" s="5">
        <v>4065</v>
      </c>
      <c r="B4126" s="138">
        <f>'Acct Summary 7-8'!G10</f>
        <v>91338</v>
      </c>
      <c r="C4126" s="2" t="s">
        <v>594</v>
      </c>
      <c r="D4126" s="2" t="str">
        <f t="shared" si="63"/>
        <v>Error?</v>
      </c>
    </row>
    <row r="4127" spans="1:4" x14ac:dyDescent="0.2">
      <c r="A4127" s="5">
        <v>4066</v>
      </c>
      <c r="B4127" s="138">
        <f>'Acct Summary 7-8'!H10</f>
        <v>28734</v>
      </c>
      <c r="C4127" s="2" t="s">
        <v>594</v>
      </c>
      <c r="D4127" s="2" t="str">
        <f t="shared" si="63"/>
        <v>Error?</v>
      </c>
    </row>
    <row r="4128" spans="1:4" x14ac:dyDescent="0.2">
      <c r="A4128" s="5">
        <v>4067</v>
      </c>
      <c r="B4128" s="138">
        <f>'Acct Summary 7-8'!I10</f>
        <v>10612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10509</v>
      </c>
      <c r="C4130" s="2" t="s">
        <v>594</v>
      </c>
      <c r="D4130" s="2" t="str">
        <f t="shared" si="63"/>
        <v>Error?</v>
      </c>
    </row>
    <row r="4131" spans="1:4" x14ac:dyDescent="0.2">
      <c r="A4131" s="5">
        <v>4070</v>
      </c>
      <c r="B4131" s="138">
        <f>'Acct Summary 7-8'!C18</f>
        <v>540947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1793286</v>
      </c>
      <c r="C4136" s="2" t="s">
        <v>594</v>
      </c>
      <c r="D4136" s="2" t="str">
        <f t="shared" si="63"/>
        <v>Error?</v>
      </c>
    </row>
    <row r="4137" spans="1:4" x14ac:dyDescent="0.2">
      <c r="A4137" s="5">
        <v>4076</v>
      </c>
      <c r="B4137" s="138">
        <f>'Acct Summary 7-8'!D19</f>
        <v>141205</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117617</v>
      </c>
      <c r="C4139" s="2" t="s">
        <v>594</v>
      </c>
      <c r="D4139" s="2" t="str">
        <f t="shared" si="63"/>
        <v>Error?</v>
      </c>
    </row>
    <row r="4140" spans="1:4" x14ac:dyDescent="0.2">
      <c r="A4140" s="5">
        <v>4079</v>
      </c>
      <c r="B4140" s="138">
        <f>'Acct Summary 7-8'!G19</f>
        <v>51145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3579.7200000000003</v>
      </c>
      <c r="C4265" s="2" t="s">
        <v>594</v>
      </c>
      <c r="D4265" s="2" t="str">
        <f t="shared" si="65"/>
        <v>Error?</v>
      </c>
      <c r="E4265" s="128"/>
    </row>
    <row r="4266" spans="1:5" x14ac:dyDescent="0.2">
      <c r="A4266" s="12">
        <v>4205</v>
      </c>
      <c r="B4266" s="138">
        <f>('FP Info 3'!F10)*100000</f>
        <v>547.66</v>
      </c>
      <c r="C4266" s="2" t="s">
        <v>594</v>
      </c>
      <c r="D4266" s="2" t="str">
        <f t="shared" si="65"/>
        <v>Error?</v>
      </c>
      <c r="E4266" s="128"/>
    </row>
    <row r="4267" spans="1:5" x14ac:dyDescent="0.2">
      <c r="A4267" s="12">
        <v>4206</v>
      </c>
      <c r="B4267" s="138">
        <f>('FP Info 3'!H10)*100000</f>
        <v>224.93</v>
      </c>
      <c r="C4267" s="2" t="s">
        <v>594</v>
      </c>
      <c r="D4267" s="2" t="str">
        <f t="shared" si="65"/>
        <v>Error?</v>
      </c>
      <c r="E4267" s="128"/>
    </row>
    <row r="4268" spans="1:5" x14ac:dyDescent="0.2">
      <c r="A4268" s="12">
        <v>4207</v>
      </c>
      <c r="B4268" s="138">
        <f>('FP Info 3'!J10)*100000</f>
        <v>4352</v>
      </c>
      <c r="C4268" s="2" t="s">
        <v>594</v>
      </c>
      <c r="D4268" s="2" t="str">
        <f t="shared" si="65"/>
        <v>Error?</v>
      </c>
    </row>
    <row r="4269" spans="1:5" x14ac:dyDescent="0.2">
      <c r="A4269" s="12">
        <v>4208</v>
      </c>
      <c r="B4269" s="138">
        <f>'FP Info 3'!J16</f>
        <v>675143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1323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4003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5190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48.410000000000004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19210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22557632</v>
      </c>
      <c r="D4995" s="2" t="str">
        <f t="shared" si="77"/>
        <v>Error?</v>
      </c>
    </row>
    <row r="4996" spans="1:4" x14ac:dyDescent="0.2">
      <c r="A4996" s="12">
        <v>4935</v>
      </c>
      <c r="B4996" s="138">
        <f>'FP Info 3'!H31</f>
        <v>3112953.2160000005</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730930</v>
      </c>
      <c r="D5061" s="2" t="str">
        <f t="shared" si="78"/>
        <v>Error?</v>
      </c>
    </row>
    <row r="5062" spans="1:4" x14ac:dyDescent="0.2">
      <c r="A5062" s="10">
        <v>5001</v>
      </c>
      <c r="D5062" s="2" t="str">
        <f t="shared" si="78"/>
        <v>OK</v>
      </c>
    </row>
    <row r="5063" spans="1:4" x14ac:dyDescent="0.2">
      <c r="A5063" s="5">
        <v>5002</v>
      </c>
      <c r="B5063" s="138">
        <f>'Revenues 9-14'!C7</f>
        <v>8037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738967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18875</v>
      </c>
      <c r="D5069" s="2" t="str">
        <f t="shared" si="78"/>
        <v>Error?</v>
      </c>
    </row>
    <row r="5070" spans="1:4" x14ac:dyDescent="0.2">
      <c r="A5070" s="5">
        <v>5009</v>
      </c>
      <c r="B5070" s="138">
        <f>'Revenues 9-14'!C17</f>
        <v>4410</v>
      </c>
      <c r="D5070" s="2" t="str">
        <f t="shared" si="78"/>
        <v>Error?</v>
      </c>
    </row>
    <row r="5071" spans="1:4" x14ac:dyDescent="0.2">
      <c r="A5071" s="5">
        <v>5010</v>
      </c>
      <c r="B5071" s="138">
        <f>'Revenues 9-14'!C18</f>
        <v>23285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1681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1681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9106</v>
      </c>
      <c r="D5094" s="2" t="str">
        <f t="shared" si="78"/>
        <v>Error?</v>
      </c>
    </row>
    <row r="5095" spans="1:4" x14ac:dyDescent="0.2">
      <c r="A5095" s="5">
        <v>5034</v>
      </c>
      <c r="B5095" s="138">
        <f>'Revenues 9-14'!C74</f>
        <v>6687</v>
      </c>
      <c r="D5095" s="2" t="str">
        <f t="shared" si="78"/>
        <v>Error?</v>
      </c>
    </row>
    <row r="5096" spans="1:4" x14ac:dyDescent="0.2">
      <c r="A5096" s="5">
        <v>5035</v>
      </c>
      <c r="B5096" s="138">
        <f>'Revenues 9-14'!C75</f>
        <v>76225</v>
      </c>
      <c r="C5096" s="2" t="s">
        <v>594</v>
      </c>
      <c r="D5096" s="2" t="str">
        <f t="shared" si="78"/>
        <v>Error?</v>
      </c>
    </row>
    <row r="5097" spans="1:4" x14ac:dyDescent="0.2">
      <c r="A5097" s="5">
        <v>5036</v>
      </c>
      <c r="B5097" s="138">
        <f>'Revenues 9-14'!C77</f>
        <v>11541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5000</v>
      </c>
      <c r="D5101" s="2" t="str">
        <f t="shared" si="78"/>
        <v>Error?</v>
      </c>
    </row>
    <row r="5102" spans="1:4" x14ac:dyDescent="0.2">
      <c r="A5102" s="5">
        <v>5041</v>
      </c>
      <c r="B5102" s="138">
        <f>'Revenues 9-14'!C82</f>
        <v>16571</v>
      </c>
      <c r="C5102" s="2" t="s">
        <v>594</v>
      </c>
      <c r="D5102" s="2" t="str">
        <f t="shared" si="78"/>
        <v>Error?</v>
      </c>
    </row>
    <row r="5103" spans="1:4" x14ac:dyDescent="0.2">
      <c r="A5103" s="5">
        <v>5042</v>
      </c>
      <c r="B5103" s="138">
        <f>'Revenues 9-14'!C84</f>
        <v>1578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1578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4592</v>
      </c>
      <c r="D5119" s="2" t="str">
        <f t="shared" ref="D5119:D5182" si="79">IF(ISBLANK(B5119),"OK",IF(A5119-B5119=0,"OK","Error?"))</f>
        <v>Error?</v>
      </c>
    </row>
    <row r="5120" spans="1:4" x14ac:dyDescent="0.2">
      <c r="A5120" s="5">
        <v>5059</v>
      </c>
      <c r="B5120" s="138">
        <f>'Revenues 9-14'!C108</f>
        <v>4592</v>
      </c>
      <c r="C5120" s="2" t="s">
        <v>594</v>
      </c>
      <c r="D5120" s="2" t="str">
        <f t="shared" si="79"/>
        <v>Error?</v>
      </c>
    </row>
    <row r="5121" spans="1:4" x14ac:dyDescent="0.2">
      <c r="A5121" s="5">
        <v>5060</v>
      </c>
      <c r="B5121" s="138">
        <f>'Revenues 9-14'!C109</f>
        <v>862899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239276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239276</v>
      </c>
      <c r="C5132" s="2" t="s">
        <v>594</v>
      </c>
      <c r="D5132" s="2" t="str">
        <f t="shared" si="79"/>
        <v>Error?</v>
      </c>
    </row>
    <row r="5133" spans="1:4" x14ac:dyDescent="0.2">
      <c r="A5133" s="5">
        <v>5072</v>
      </c>
      <c r="B5133" s="138">
        <f>'Revenues 9-14'!C124</f>
        <v>5575</v>
      </c>
      <c r="D5133" s="2" t="str">
        <f t="shared" si="79"/>
        <v>Error?</v>
      </c>
    </row>
    <row r="5134" spans="1:4" x14ac:dyDescent="0.2">
      <c r="A5134" s="5">
        <v>5073</v>
      </c>
      <c r="B5134" s="138">
        <f>'Revenues 9-14'!C125</f>
        <v>9652</v>
      </c>
      <c r="D5134" s="2" t="str">
        <f t="shared" si="79"/>
        <v>Error?</v>
      </c>
    </row>
    <row r="5135" spans="1:4" x14ac:dyDescent="0.2">
      <c r="A5135" s="5">
        <v>5074</v>
      </c>
      <c r="B5135" s="138">
        <f>'Revenues 9-14'!C126</f>
        <v>9116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24343</v>
      </c>
      <c r="C5147" s="2" t="s">
        <v>594</v>
      </c>
      <c r="D5147" s="2" t="str">
        <f t="shared" si="79"/>
        <v>Error?</v>
      </c>
    </row>
    <row r="5148" spans="1:4" x14ac:dyDescent="0.2">
      <c r="A5148" s="5">
        <v>5087</v>
      </c>
      <c r="B5148" s="138">
        <f>'Revenues 9-14'!C133</f>
        <v>4972</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4972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517</v>
      </c>
      <c r="D5167" s="2" t="str">
        <f t="shared" si="79"/>
        <v>Error?</v>
      </c>
    </row>
    <row r="5168" spans="1:4" x14ac:dyDescent="0.2">
      <c r="A5168" s="5">
        <v>5107</v>
      </c>
      <c r="B5168" s="138">
        <f>'Revenues 9-14'!C147</f>
        <v>3382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33214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272490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19210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27773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9972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37745</v>
      </c>
      <c r="C5246" s="2" t="s">
        <v>594</v>
      </c>
      <c r="D5246" s="2" t="str">
        <f t="shared" si="80"/>
        <v>Error?</v>
      </c>
    </row>
    <row r="5247" spans="1:4" x14ac:dyDescent="0.2">
      <c r="A5247" s="5">
        <v>5186</v>
      </c>
      <c r="B5247" s="138">
        <f>'Revenues 9-14'!C203</f>
        <v>10218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4003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10218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9727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9727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68206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87416</v>
      </c>
      <c r="C5326" s="2" t="s">
        <v>594</v>
      </c>
      <c r="D5326" s="2" t="str">
        <f t="shared" si="82"/>
        <v>Error?</v>
      </c>
    </row>
    <row r="5327" spans="1:4" x14ac:dyDescent="0.2">
      <c r="A5327" s="5">
        <v>5266</v>
      </c>
      <c r="B5327" s="138">
        <f>'Revenues 9-14'!C275</f>
        <v>1222805</v>
      </c>
      <c r="C5327" s="2" t="s">
        <v>594</v>
      </c>
      <c r="D5327" s="2" t="str">
        <f t="shared" si="82"/>
        <v>Error?</v>
      </c>
    </row>
    <row r="5328" spans="1:4" x14ac:dyDescent="0.2">
      <c r="A5328" s="5">
        <v>5267</v>
      </c>
      <c r="B5328" s="138">
        <f>'Revenues 9-14'!D5</f>
        <v>150196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150196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896</v>
      </c>
      <c r="D5338" s="2" t="str">
        <f t="shared" si="82"/>
        <v>Error?</v>
      </c>
    </row>
    <row r="5339" spans="1:4" x14ac:dyDescent="0.2">
      <c r="A5339" s="5">
        <v>5278</v>
      </c>
      <c r="B5339" s="138">
        <f>'Revenues 9-14'!D18</f>
        <v>896</v>
      </c>
      <c r="C5339" s="2" t="s">
        <v>594</v>
      </c>
      <c r="D5339" s="2" t="str">
        <f t="shared" si="82"/>
        <v>Error?</v>
      </c>
    </row>
    <row r="5340" spans="1:4" x14ac:dyDescent="0.2">
      <c r="A5340" s="5">
        <v>5279</v>
      </c>
      <c r="B5340" s="138">
        <f>'Revenues 9-14'!D65</f>
        <v>2157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2157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907</v>
      </c>
      <c r="D5354" s="2" t="str">
        <f t="shared" si="82"/>
        <v>Error?</v>
      </c>
    </row>
    <row r="5355" spans="1:4" x14ac:dyDescent="0.2">
      <c r="A5355" s="5">
        <v>5294</v>
      </c>
      <c r="B5355" s="138">
        <f>'Revenues 9-14'!D108</f>
        <v>907</v>
      </c>
      <c r="C5355" s="2" t="s">
        <v>594</v>
      </c>
      <c r="D5355" s="2" t="str">
        <f t="shared" si="82"/>
        <v>Error?</v>
      </c>
    </row>
    <row r="5356" spans="1:4" x14ac:dyDescent="0.2">
      <c r="A5356" s="5">
        <v>5295</v>
      </c>
      <c r="B5356" s="138">
        <f>'Revenues 9-14'!D109</f>
        <v>154156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154156</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73</v>
      </c>
      <c r="C5552" s="2" t="s">
        <v>594</v>
      </c>
      <c r="D5552" s="2" t="str">
        <f t="shared" si="85"/>
        <v>Error?</v>
      </c>
    </row>
    <row r="5553" spans="1:4" x14ac:dyDescent="0.2">
      <c r="A5553" s="5">
        <v>5492</v>
      </c>
      <c r="B5553" s="138">
        <f>'Revenues 9-14'!F5</f>
        <v>48067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48067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287</v>
      </c>
      <c r="D5561" s="2" t="str">
        <f t="shared" si="85"/>
        <v>Error?</v>
      </c>
    </row>
    <row r="5562" spans="1:4" x14ac:dyDescent="0.2">
      <c r="A5562" s="5">
        <v>5501</v>
      </c>
      <c r="B5562" s="138">
        <f>'Revenues 9-14'!F18</f>
        <v>287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1088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1088</v>
      </c>
      <c r="C5579" s="2" t="s">
        <v>594</v>
      </c>
      <c r="D5579" s="2" t="str">
        <f t="shared" si="86"/>
        <v>Error?</v>
      </c>
    </row>
    <row r="5580" spans="1:4" x14ac:dyDescent="0.2">
      <c r="A5580" s="5">
        <v>5519</v>
      </c>
      <c r="B5580" s="138">
        <f>'Revenues 9-14'!F65</f>
        <v>1268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1268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4098</v>
      </c>
      <c r="D5586" s="2" t="str">
        <f t="shared" si="86"/>
        <v>Error?</v>
      </c>
    </row>
    <row r="5587" spans="1:4" x14ac:dyDescent="0.2">
      <c r="A5587" s="5">
        <v>5526</v>
      </c>
      <c r="B5587" s="138">
        <f>'Revenues 9-14'!F108</f>
        <v>4098</v>
      </c>
      <c r="C5587" s="2" t="s">
        <v>594</v>
      </c>
      <c r="D5587" s="2" t="str">
        <f t="shared" si="86"/>
        <v>Error?</v>
      </c>
    </row>
    <row r="5588" spans="1:4" x14ac:dyDescent="0.2">
      <c r="A5588" s="5">
        <v>5527</v>
      </c>
      <c r="B5588" s="138">
        <f>'Revenues 9-14'!F109</f>
        <v>54808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29910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29910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34120</v>
      </c>
      <c r="D5615" s="2" t="str">
        <f t="shared" si="86"/>
        <v>Error?</v>
      </c>
    </row>
    <row r="5616" spans="1:4" x14ac:dyDescent="0.2">
      <c r="A5616" s="10">
        <v>5555</v>
      </c>
      <c r="D5616" s="2" t="str">
        <f t="shared" si="86"/>
        <v>OK</v>
      </c>
    </row>
    <row r="5617" spans="1:4" x14ac:dyDescent="0.2">
      <c r="A5617" s="5">
        <v>5556</v>
      </c>
      <c r="B5617" s="138">
        <f>'Revenues 9-14'!F152</f>
        <v>6535</v>
      </c>
      <c r="D5617" s="2" t="str">
        <f t="shared" si="86"/>
        <v>Error?</v>
      </c>
    </row>
    <row r="5618" spans="1:4" x14ac:dyDescent="0.2">
      <c r="A5618" s="5">
        <v>5557</v>
      </c>
      <c r="B5618" s="138">
        <f>'Revenues 9-14'!F154</f>
        <v>40655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40655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70565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125373</v>
      </c>
      <c r="C5720" s="2" t="s">
        <v>594</v>
      </c>
      <c r="D5720" s="2" t="str">
        <f t="shared" si="88"/>
        <v>Error?</v>
      </c>
    </row>
    <row r="5721" spans="1:4" x14ac:dyDescent="0.2">
      <c r="A5721" s="5">
        <v>5660</v>
      </c>
      <c r="B5721" s="138">
        <f>'Revenues 9-14'!G5</f>
        <v>44826</v>
      </c>
      <c r="D5721" s="2" t="str">
        <f t="shared" si="88"/>
        <v>Error?</v>
      </c>
    </row>
    <row r="5722" spans="1:4" x14ac:dyDescent="0.2">
      <c r="A5722" s="5">
        <v>5661</v>
      </c>
      <c r="B5722" s="138">
        <f>'Revenues 9-14'!G7</f>
        <v>0</v>
      </c>
      <c r="D5722" s="2" t="str">
        <f t="shared" si="88"/>
        <v>Error?</v>
      </c>
    </row>
    <row r="5723" spans="1:4" x14ac:dyDescent="0.2">
      <c r="A5723" s="5">
        <v>5662</v>
      </c>
      <c r="B5723" s="138">
        <f>'Revenues 9-14'!G8</f>
        <v>44826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89652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535</v>
      </c>
      <c r="D5729" s="2" t="str">
        <f t="shared" si="88"/>
        <v>Error?</v>
      </c>
    </row>
    <row r="5730" spans="1:4" x14ac:dyDescent="0.2">
      <c r="A5730" s="5">
        <v>5669</v>
      </c>
      <c r="B5730" s="138">
        <f>'Revenues 9-14'!G18</f>
        <v>535</v>
      </c>
      <c r="C5730" s="2" t="s">
        <v>594</v>
      </c>
      <c r="D5730" s="2" t="str">
        <f t="shared" si="88"/>
        <v>Error?</v>
      </c>
    </row>
    <row r="5731" spans="1:4" x14ac:dyDescent="0.2">
      <c r="A5731" s="5">
        <v>5670</v>
      </c>
      <c r="B5731" s="138">
        <f>'Revenues 9-14'!G65</f>
        <v>1151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1151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91338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208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208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28526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28734</v>
      </c>
      <c r="C5915" s="2" t="s">
        <v>594</v>
      </c>
      <c r="D5915" s="2" t="str">
        <f t="shared" si="91"/>
        <v>Error?</v>
      </c>
    </row>
    <row r="5916" spans="1:4" x14ac:dyDescent="0.2">
      <c r="A5916" s="5">
        <v>5855</v>
      </c>
      <c r="B5916" s="138">
        <f>'Revenues 9-14'!I5</f>
        <v>10346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10346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62</v>
      </c>
      <c r="D5922" s="2" t="str">
        <f t="shared" si="91"/>
        <v>Error?</v>
      </c>
    </row>
    <row r="5923" spans="1:4" x14ac:dyDescent="0.2">
      <c r="A5923" s="5">
        <v>5862</v>
      </c>
      <c r="B5923" s="138">
        <f>'Revenues 9-14'!I18</f>
        <v>62</v>
      </c>
      <c r="C5923" s="2" t="s">
        <v>594</v>
      </c>
      <c r="D5923" s="2" t="str">
        <f t="shared" si="91"/>
        <v>Error?</v>
      </c>
    </row>
    <row r="5924" spans="1:4" x14ac:dyDescent="0.2">
      <c r="A5924" s="5">
        <v>5863</v>
      </c>
      <c r="B5924" s="138">
        <f>'Revenues 9-14'!I65</f>
        <v>204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10612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10035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10035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60</v>
      </c>
      <c r="D5991" s="2" t="str">
        <f t="shared" si="92"/>
        <v>Error?</v>
      </c>
    </row>
    <row r="5992" spans="1:4" x14ac:dyDescent="0.2">
      <c r="A5992" s="5">
        <v>5931</v>
      </c>
      <c r="B5992" s="138">
        <f>'Revenues 9-14'!K18</f>
        <v>60</v>
      </c>
      <c r="C5992" s="2" t="s">
        <v>594</v>
      </c>
      <c r="D5992" s="2" t="str">
        <f t="shared" si="92"/>
        <v>Error?</v>
      </c>
    </row>
    <row r="5993" spans="1:4" x14ac:dyDescent="0.2">
      <c r="A5993" s="5">
        <v>5932</v>
      </c>
      <c r="B5993" s="138">
        <f>'Revenues 9-14'!K65</f>
        <v>414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414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10509</v>
      </c>
      <c r="C6023" s="2" t="s">
        <v>594</v>
      </c>
      <c r="D6023" s="2" t="str">
        <f t="shared" si="93"/>
        <v>Error?</v>
      </c>
    </row>
    <row r="6024" spans="1:5" x14ac:dyDescent="0.2">
      <c r="A6024" s="5">
        <v>5963</v>
      </c>
      <c r="B6024" s="138">
        <f>'Revenues 9-14'!G109</f>
        <v>91338</v>
      </c>
      <c r="C6024" s="2" t="s">
        <v>594</v>
      </c>
      <c r="D6024" s="2" t="str">
        <f t="shared" si="93"/>
        <v>Error?</v>
      </c>
    </row>
    <row r="6025" spans="1:5" x14ac:dyDescent="0.2">
      <c r="A6025" s="5">
        <v>5964</v>
      </c>
      <c r="B6025" s="138">
        <f>'Revenues 9-14'!H109</f>
        <v>28734</v>
      </c>
      <c r="C6025" s="2" t="s">
        <v>594</v>
      </c>
      <c r="D6025" s="2" t="str">
        <f t="shared" si="93"/>
        <v>Error?</v>
      </c>
    </row>
    <row r="6026" spans="1:5" x14ac:dyDescent="0.2">
      <c r="A6026" s="5">
        <v>5965</v>
      </c>
      <c r="B6026" s="138">
        <f>'Revenues 9-14'!I109</f>
        <v>10612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10509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60432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11634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123.93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41554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41554</v>
      </c>
      <c r="D6215" s="2" t="str">
        <f t="shared" si="96"/>
        <v>Error?</v>
      </c>
      <c r="E6215" s="2" t="s">
        <v>199</v>
      </c>
    </row>
    <row r="6216" spans="1:5" x14ac:dyDescent="0.2">
      <c r="A6216">
        <v>6155</v>
      </c>
      <c r="B6216" s="138">
        <f>'Assets-Liab 5-6'!J41</f>
        <v>41554</v>
      </c>
      <c r="D6216" s="2" t="str">
        <f t="shared" si="96"/>
        <v>Error?</v>
      </c>
      <c r="E6216" s="2" t="s">
        <v>199</v>
      </c>
    </row>
    <row r="6217" spans="1:5" x14ac:dyDescent="0.2">
      <c r="A6217">
        <v>6156</v>
      </c>
      <c r="B6217" s="138">
        <f>'Assets-Liab 5-6'!J4</f>
        <v>41554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21594</v>
      </c>
      <c r="D6220" s="2" t="str">
        <f t="shared" si="96"/>
        <v>Error?</v>
      </c>
      <c r="E6220" s="2" t="s">
        <v>199</v>
      </c>
    </row>
    <row r="6221" spans="1:5" x14ac:dyDescent="0.2">
      <c r="A6221">
        <v>6160</v>
      </c>
      <c r="B6221" s="138">
        <f>'Acct Summary 7-8'!J6</f>
        <v>29910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51504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51504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52311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52311</v>
      </c>
      <c r="D6229" s="2" t="str">
        <f t="shared" si="96"/>
        <v>Error?</v>
      </c>
      <c r="E6229" s="2" t="s">
        <v>199</v>
      </c>
    </row>
    <row r="6230" spans="1:5" x14ac:dyDescent="0.2">
      <c r="A6230">
        <v>6169</v>
      </c>
      <c r="B6230" s="138">
        <f>'Acct Summary 7-8'!J20</f>
        <v>-807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-807</v>
      </c>
      <c r="D6263" s="2" t="str">
        <f t="shared" si="96"/>
        <v>Error?</v>
      </c>
      <c r="E6263" s="2" t="s">
        <v>199</v>
      </c>
    </row>
    <row r="6264" spans="1:5" x14ac:dyDescent="0.2">
      <c r="A6264">
        <v>6203</v>
      </c>
      <c r="B6264" s="138">
        <f>'Acct Summary 7-8'!J79</f>
        <v>42361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41554</v>
      </c>
      <c r="D6266" s="2" t="str">
        <f t="shared" si="96"/>
        <v>Error?</v>
      </c>
      <c r="E6266" s="2" t="s">
        <v>199</v>
      </c>
    </row>
    <row r="6267" spans="1:5" x14ac:dyDescent="0.2">
      <c r="A6267">
        <v>6206</v>
      </c>
      <c r="B6267" s="138">
        <f>'Acct Summary 7-8'!C82</f>
        <v>-29534</v>
      </c>
      <c r="D6267" s="2" t="str">
        <f t="shared" si="96"/>
        <v>Error?</v>
      </c>
      <c r="E6267" s="2" t="s">
        <v>199</v>
      </c>
    </row>
    <row r="6268" spans="1:5" x14ac:dyDescent="0.2">
      <c r="A6268">
        <v>6207</v>
      </c>
      <c r="B6268" s="138">
        <f>'Acct Summary 7-8'!D82</f>
        <v>23398</v>
      </c>
      <c r="D6268" s="2" t="str">
        <f t="shared" si="96"/>
        <v>Error?</v>
      </c>
      <c r="E6268" s="2" t="s">
        <v>199</v>
      </c>
    </row>
    <row r="6269" spans="1:5" x14ac:dyDescent="0.2">
      <c r="A6269">
        <v>6208</v>
      </c>
      <c r="B6269" s="138">
        <f>'Acct Summary 7-8'!E82</f>
        <v>73</v>
      </c>
      <c r="D6269" s="2" t="str">
        <f t="shared" si="96"/>
        <v>Error?</v>
      </c>
      <c r="E6269" s="2" t="s">
        <v>199</v>
      </c>
    </row>
    <row r="6270" spans="1:5" x14ac:dyDescent="0.2">
      <c r="A6270">
        <v>6209</v>
      </c>
      <c r="B6270" s="138">
        <f>'Acct Summary 7-8'!F82</f>
        <v>7756</v>
      </c>
      <c r="D6270" s="2" t="str">
        <f t="shared" si="96"/>
        <v>Error?</v>
      </c>
      <c r="E6270" s="2" t="s">
        <v>199</v>
      </c>
    </row>
    <row r="6271" spans="1:5" x14ac:dyDescent="0.2">
      <c r="A6271">
        <v>6210</v>
      </c>
      <c r="B6271" s="138">
        <f>'Acct Summary 7-8'!G82</f>
        <v>40193</v>
      </c>
      <c r="D6271" s="2" t="str">
        <f t="shared" ref="D6271:D6334" si="97">IF(ISBLANK(B6271),"OK",IF(A6271-B6271=0,"OK","Error?"))</f>
        <v>Error?</v>
      </c>
      <c r="E6271" s="2" t="s">
        <v>199</v>
      </c>
    </row>
    <row r="6272" spans="1:5" x14ac:dyDescent="0.2">
      <c r="A6272">
        <v>6211</v>
      </c>
      <c r="B6272" s="138">
        <f>'Acct Summary 7-8'!H82</f>
        <v>18287</v>
      </c>
      <c r="D6272" s="2" t="str">
        <f t="shared" si="97"/>
        <v>Error?</v>
      </c>
      <c r="E6272" s="2" t="s">
        <v>199</v>
      </c>
    </row>
    <row r="6273" spans="1:5" x14ac:dyDescent="0.2">
      <c r="A6273">
        <v>6212</v>
      </c>
      <c r="B6273" s="138">
        <f>'Acct Summary 7-8'!I82</f>
        <v>10612</v>
      </c>
      <c r="D6273" s="2" t="str">
        <f t="shared" si="97"/>
        <v>Error?</v>
      </c>
      <c r="E6273" s="2" t="s">
        <v>199</v>
      </c>
    </row>
    <row r="6274" spans="1:5" x14ac:dyDescent="0.2">
      <c r="A6274">
        <v>6213</v>
      </c>
      <c r="B6274" s="138">
        <f>'Acct Summary 7-8'!J82</f>
        <v>-807</v>
      </c>
      <c r="D6274" s="2" t="str">
        <f t="shared" si="97"/>
        <v>Error?</v>
      </c>
      <c r="E6274" s="2" t="s">
        <v>199</v>
      </c>
    </row>
    <row r="6275" spans="1:5" x14ac:dyDescent="0.2">
      <c r="A6275">
        <v>6214</v>
      </c>
      <c r="B6275" s="138">
        <f>'Acct Summary 7-8'!K82</f>
        <v>10509</v>
      </c>
      <c r="D6275" s="2" t="str">
        <f t="shared" si="97"/>
        <v>Error?</v>
      </c>
      <c r="E6275" s="2" t="s">
        <v>199</v>
      </c>
    </row>
    <row r="6276" spans="1:5" x14ac:dyDescent="0.2">
      <c r="A6276">
        <v>6215</v>
      </c>
      <c r="B6276" s="138">
        <f>'Acct Summary 7-8'!C83</f>
        <v>-0.16031657284920992</v>
      </c>
      <c r="D6276" s="2" t="str">
        <f t="shared" si="97"/>
        <v>Error?</v>
      </c>
      <c r="E6276" s="2" t="s">
        <v>199</v>
      </c>
    </row>
    <row r="6277" spans="1:5" x14ac:dyDescent="0.2">
      <c r="A6277">
        <v>6216</v>
      </c>
      <c r="B6277" s="138">
        <f>'Acct Summary 7-8'!D83</f>
        <v>8.5977805541265523E-2</v>
      </c>
      <c r="D6277" s="2" t="str">
        <f t="shared" si="97"/>
        <v>Error?</v>
      </c>
      <c r="E6277" s="2" t="s">
        <v>199</v>
      </c>
    </row>
    <row r="6278" spans="1:5" x14ac:dyDescent="0.2">
      <c r="A6278">
        <v>6217</v>
      </c>
      <c r="B6278" s="138">
        <f>'Acct Summary 7-8'!E83</f>
        <v>7.4749129633422074E-3</v>
      </c>
      <c r="D6278" s="2" t="str">
        <f t="shared" si="97"/>
        <v>Error?</v>
      </c>
      <c r="E6278" s="2" t="s">
        <v>199</v>
      </c>
    </row>
    <row r="6279" spans="1:5" x14ac:dyDescent="0.2">
      <c r="A6279">
        <v>6218</v>
      </c>
      <c r="B6279" s="138">
        <f>'Acct Summary 7-8'!F83</f>
        <v>4.1965155286224437E-2</v>
      </c>
      <c r="D6279" s="2" t="str">
        <f t="shared" si="97"/>
        <v>Error?</v>
      </c>
      <c r="E6279" s="2" t="s">
        <v>199</v>
      </c>
    </row>
    <row r="6280" spans="1:5" x14ac:dyDescent="0.2">
      <c r="A6280">
        <v>6219</v>
      </c>
      <c r="B6280" s="138">
        <f>'Acct Summary 7-8'!G83</f>
        <v>0.2365699621539856</v>
      </c>
      <c r="D6280" s="2" t="str">
        <f t="shared" si="97"/>
        <v>Error?</v>
      </c>
      <c r="E6280" s="2" t="s">
        <v>199</v>
      </c>
    </row>
    <row r="6281" spans="1:5" x14ac:dyDescent="0.2">
      <c r="A6281">
        <v>6220</v>
      </c>
      <c r="B6281" s="138">
        <f>'Acct Summary 7-8'!H83</f>
        <v>0.30953993026168791</v>
      </c>
      <c r="D6281" s="2" t="str">
        <f t="shared" si="97"/>
        <v>Error?</v>
      </c>
      <c r="E6281" s="2" t="s">
        <v>199</v>
      </c>
    </row>
    <row r="6282" spans="1:5" x14ac:dyDescent="0.2">
      <c r="A6282">
        <v>6221</v>
      </c>
      <c r="B6282" s="138">
        <f>'Acct Summary 7-8'!I83</f>
        <v>0.31248527679623084</v>
      </c>
      <c r="D6282" s="2" t="str">
        <f t="shared" si="97"/>
        <v>Error?</v>
      </c>
      <c r="E6282" s="2" t="s">
        <v>199</v>
      </c>
    </row>
    <row r="6283" spans="1:5" x14ac:dyDescent="0.2">
      <c r="A6283">
        <v>6222</v>
      </c>
      <c r="B6283" s="138">
        <f>'Acct Summary 7-8'!J83</f>
        <v>-1.9420513067334073E-2</v>
      </c>
      <c r="D6283" s="2" t="str">
        <f t="shared" si="97"/>
        <v>Error?</v>
      </c>
      <c r="E6283" s="2" t="s">
        <v>199</v>
      </c>
    </row>
    <row r="6284" spans="1:5" x14ac:dyDescent="0.2">
      <c r="A6284">
        <v>6223</v>
      </c>
      <c r="B6284" s="138">
        <f>'Acct Summary 7-8'!K83</f>
        <v>0.17013664033156328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21247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21247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127</v>
      </c>
      <c r="D6305" s="2" t="str">
        <f t="shared" si="97"/>
        <v>Error?</v>
      </c>
      <c r="E6305" s="2" t="s">
        <v>199</v>
      </c>
    </row>
    <row r="6306" spans="1:5" x14ac:dyDescent="0.2">
      <c r="A6306">
        <v>6245</v>
      </c>
      <c r="B6306" s="138">
        <f>'Revenues 9-14'!J18</f>
        <v>127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220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220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21594</v>
      </c>
      <c r="D6352" s="2" t="str">
        <f t="shared" si="98"/>
        <v>Error?</v>
      </c>
      <c r="E6352" s="2" t="s">
        <v>199</v>
      </c>
    </row>
    <row r="6353" spans="1:5" x14ac:dyDescent="0.2">
      <c r="A6353">
        <v>6292</v>
      </c>
      <c r="B6353" s="138">
        <f>'Revenues 9-14'!J117</f>
        <v>29910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29910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29910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3917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52311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51504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164</v>
      </c>
      <c r="D7079" s="2" t="str">
        <f t="shared" si="109"/>
        <v>Error?</v>
      </c>
    </row>
    <row r="7080" spans="1:4" x14ac:dyDescent="0.2">
      <c r="A7080">
        <v>7019</v>
      </c>
      <c r="B7080" s="138">
        <f>'Expenditures 15-22'!K226</f>
        <v>164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26360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26360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11720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11720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14231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14231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52311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52311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52311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52311</v>
      </c>
      <c r="D7224" s="2" t="str">
        <f t="shared" si="111"/>
        <v>Error?</v>
      </c>
    </row>
    <row r="7225" spans="1:4" x14ac:dyDescent="0.2">
      <c r="A7225">
        <v>7164</v>
      </c>
      <c r="B7225" s="138">
        <f>'Expenditures 15-22'!K343</f>
        <v>-807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3126</v>
      </c>
      <c r="D7263" s="2" t="str">
        <f t="shared" si="112"/>
        <v>Error?</v>
      </c>
    </row>
    <row r="7264" spans="1:4" x14ac:dyDescent="0.2">
      <c r="A7264">
        <f t="shared" si="113"/>
        <v>7203</v>
      </c>
      <c r="B7264" s="138">
        <f>'Expenditures 15-22'!D17</f>
        <v>11</v>
      </c>
      <c r="D7264" s="2" t="str">
        <f t="shared" si="112"/>
        <v>Error?</v>
      </c>
    </row>
    <row r="7265" spans="1:5" x14ac:dyDescent="0.2">
      <c r="A7265">
        <f t="shared" si="113"/>
        <v>7204</v>
      </c>
      <c r="B7265" s="138">
        <f>'Expenditures 15-22'!E17</f>
        <v>56</v>
      </c>
      <c r="D7265" s="2" t="str">
        <f t="shared" si="112"/>
        <v>Error?</v>
      </c>
    </row>
    <row r="7266" spans="1:5" x14ac:dyDescent="0.2">
      <c r="A7266">
        <f t="shared" si="113"/>
        <v>7205</v>
      </c>
      <c r="B7266" s="138">
        <f>'Expenditures 15-22'!F17</f>
        <v>724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6293</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6293</v>
      </c>
      <c r="D7609" s="2" t="str">
        <f t="shared" si="122"/>
        <v>Error?</v>
      </c>
      <c r="E7609" s="2" t="s">
        <v>19</v>
      </c>
    </row>
    <row r="7610" spans="1:5" x14ac:dyDescent="0.2">
      <c r="A7610">
        <f t="shared" si="123"/>
        <v>7549</v>
      </c>
      <c r="B7610" s="138">
        <f>'Cap Outlay Deprec 26'!H9</f>
        <v>1134</v>
      </c>
      <c r="D7610" s="2" t="str">
        <f t="shared" si="122"/>
        <v>Error?</v>
      </c>
      <c r="E7610" s="2" t="s">
        <v>19</v>
      </c>
    </row>
    <row r="7611" spans="1:5" x14ac:dyDescent="0.2">
      <c r="A7611">
        <f t="shared" si="123"/>
        <v>7550</v>
      </c>
      <c r="B7611" s="138">
        <f>'Cap Outlay Deprec 26'!I9</f>
        <v>252</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1386</v>
      </c>
      <c r="D7613" s="2" t="str">
        <f t="shared" si="122"/>
        <v>Error?</v>
      </c>
      <c r="E7613" s="2" t="s">
        <v>19</v>
      </c>
    </row>
    <row r="7614" spans="1:5" x14ac:dyDescent="0.2">
      <c r="A7614">
        <f t="shared" si="123"/>
        <v>7553</v>
      </c>
      <c r="B7614" s="138">
        <f>'Cap Outlay Deprec 26'!L9</f>
        <v>4907</v>
      </c>
      <c r="D7614" s="2" t="str">
        <f t="shared" si="122"/>
        <v>Error?</v>
      </c>
      <c r="E7614" s="2" t="s">
        <v>19</v>
      </c>
    </row>
    <row r="7615" spans="1:5" x14ac:dyDescent="0.2">
      <c r="A7615">
        <f t="shared" si="123"/>
        <v>7554</v>
      </c>
      <c r="B7615" s="138">
        <f>'Cap Outlay Deprec 26'!C14</f>
        <v>51159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51159</v>
      </c>
      <c r="D7618" s="2" t="str">
        <f t="shared" si="124"/>
        <v>Error?</v>
      </c>
      <c r="E7618" s="2" t="s">
        <v>19</v>
      </c>
    </row>
    <row r="7619" spans="1:5" x14ac:dyDescent="0.2">
      <c r="A7619">
        <f t="shared" si="123"/>
        <v>7558</v>
      </c>
      <c r="B7619" s="138">
        <f>'Cap Outlay Deprec 26'!H14</f>
        <v>39299</v>
      </c>
      <c r="D7619" s="2" t="str">
        <f t="shared" si="124"/>
        <v>Error?</v>
      </c>
      <c r="E7619" s="2" t="s">
        <v>19</v>
      </c>
    </row>
    <row r="7620" spans="1:5" x14ac:dyDescent="0.2">
      <c r="A7620">
        <f t="shared" si="123"/>
        <v>7559</v>
      </c>
      <c r="B7620" s="138">
        <f>'Cap Outlay Deprec 26'!I14</f>
        <v>5646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44945</v>
      </c>
      <c r="D7622" s="2" t="str">
        <f t="shared" si="124"/>
        <v>Error?</v>
      </c>
      <c r="E7622" s="2" t="s">
        <v>19</v>
      </c>
    </row>
    <row r="7623" spans="1:5" x14ac:dyDescent="0.2">
      <c r="A7623">
        <f t="shared" si="123"/>
        <v>7562</v>
      </c>
      <c r="B7623" s="138">
        <f>'Cap Outlay Deprec 26'!L14</f>
        <v>6214</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39778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40791</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208</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28526</v>
      </c>
      <c r="D7713" s="2" t="str">
        <f t="shared" si="126"/>
        <v>Error?</v>
      </c>
      <c r="E7713" s="2" t="s">
        <v>881</v>
      </c>
    </row>
    <row r="7714" spans="1:6" x14ac:dyDescent="0.2">
      <c r="A7714">
        <v>7653</v>
      </c>
      <c r="B7714" s="138">
        <f>'Rest Tax Levies-Tort Im 25'!K9</f>
        <v>3382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28734</v>
      </c>
      <c r="D7718" s="2" t="str">
        <f t="shared" si="126"/>
        <v>Error?</v>
      </c>
      <c r="E7718" s="2" t="s">
        <v>881</v>
      </c>
    </row>
    <row r="7719" spans="1:6" x14ac:dyDescent="0.2">
      <c r="A7719">
        <v>7658</v>
      </c>
      <c r="B7719" s="138">
        <f>'Rest Tax Levies-Tort Im 25'!K12</f>
        <v>3382</v>
      </c>
      <c r="D7719" s="2" t="str">
        <f t="shared" si="126"/>
        <v>Error?</v>
      </c>
      <c r="E7719" s="2" t="s">
        <v>881</v>
      </c>
    </row>
    <row r="7720" spans="1:6" x14ac:dyDescent="0.2">
      <c r="A7720">
        <v>7659</v>
      </c>
      <c r="B7720" s="138">
        <f>'Rest Tax Levies-Tort Im 25'!H14</f>
        <v>8037</v>
      </c>
      <c r="D7720" s="2" t="str">
        <f t="shared" si="126"/>
        <v>Error?</v>
      </c>
      <c r="E7720" s="2" t="s">
        <v>881</v>
      </c>
    </row>
    <row r="7721" spans="1:6" x14ac:dyDescent="0.2">
      <c r="A7721">
        <v>7660</v>
      </c>
      <c r="B7721" s="138">
        <f>'Rest Tax Levies-Tort Im 25'!K14</f>
        <v>3382</v>
      </c>
      <c r="D7721" s="2" t="str">
        <f t="shared" si="126"/>
        <v>Error?</v>
      </c>
      <c r="E7721" s="2" t="s">
        <v>881</v>
      </c>
    </row>
    <row r="7722" spans="1:6" x14ac:dyDescent="0.2">
      <c r="A7722">
        <v>7661</v>
      </c>
      <c r="B7722" s="138">
        <f>'Rest Tax Levies-Tort Im 25'!J15</f>
        <v>10447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10447</v>
      </c>
      <c r="D7730" s="2" t="str">
        <f t="shared" si="126"/>
        <v>Error?</v>
      </c>
      <c r="E7730" s="2" t="s">
        <v>881</v>
      </c>
    </row>
    <row r="7731" spans="1:6" x14ac:dyDescent="0.2">
      <c r="A7731">
        <v>7670</v>
      </c>
      <c r="B7731" s="138">
        <f>'Revenues 9-14'!H103</f>
        <v>28526</v>
      </c>
      <c r="D7731" s="2" t="str">
        <f t="shared" si="126"/>
        <v>Error?</v>
      </c>
      <c r="E7731" s="2" t="s">
        <v>881</v>
      </c>
    </row>
    <row r="7732" spans="1:6" x14ac:dyDescent="0.2">
      <c r="A7732">
        <v>7671</v>
      </c>
      <c r="B7732" s="138">
        <f>'Rest Tax Levies-Tort Im 25'!J24</f>
        <v>59078</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59078</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37578</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12578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1799</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4" t="str">
        <f>COVER!A17</f>
        <v>Brussels CUSD 42</v>
      </c>
      <c r="B7" s="2405"/>
      <c r="C7" s="2405"/>
      <c r="D7" s="2442"/>
      <c r="E7" s="2443">
        <f>COVER!A13</f>
        <v>40007042026</v>
      </c>
      <c r="F7" s="2444"/>
      <c r="G7" s="2411" t="str">
        <f>COVER!T23</f>
        <v>066-00-4377</v>
      </c>
      <c r="H7" s="2412"/>
      <c r="I7" s="2412"/>
      <c r="J7" s="2412"/>
      <c r="K7" s="2412"/>
      <c r="L7" s="241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4"/>
      <c r="B9" s="2415"/>
      <c r="C9" s="2415"/>
      <c r="D9" s="2415"/>
      <c r="E9" s="2415"/>
      <c r="F9" s="2416"/>
      <c r="G9" s="2417" t="str">
        <f>COVER!T13</f>
        <v>Franklin &amp; Vaughn, LLC</v>
      </c>
      <c r="H9" s="2418"/>
      <c r="I9" s="2418"/>
      <c r="J9" s="2418"/>
      <c r="K9" s="2418"/>
      <c r="L9" s="2419"/>
    </row>
    <row r="10" spans="1:29" ht="13.5" customHeight="1" x14ac:dyDescent="0.2">
      <c r="A10" s="2401">
        <f>COVER!A38</f>
        <v>0</v>
      </c>
      <c r="B10" s="2402"/>
      <c r="C10" s="2402"/>
      <c r="D10" s="2402"/>
      <c r="E10" s="2402"/>
      <c r="F10" s="2403"/>
      <c r="G10" s="2417" t="str">
        <f>COVER!T17</f>
        <v>2852 Homer Adams Parkway</v>
      </c>
      <c r="H10" s="2430"/>
      <c r="I10" s="2430"/>
      <c r="J10" s="2430"/>
      <c r="K10" s="2430"/>
      <c r="L10" s="2431"/>
    </row>
    <row r="11" spans="1:29" ht="13.5" customHeight="1" x14ac:dyDescent="0.2">
      <c r="A11" s="1185" t="s">
        <v>1599</v>
      </c>
      <c r="B11" s="1186"/>
      <c r="C11" s="1187"/>
      <c r="D11" s="1192"/>
      <c r="E11" s="1187"/>
      <c r="F11" s="1191"/>
      <c r="G11" s="2417" t="str">
        <f>COVER!T19</f>
        <v>Alton</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mark@franklinvaughncpa.com</v>
      </c>
      <c r="J13" s="2439"/>
      <c r="K13" s="2439"/>
      <c r="L13" s="2440"/>
    </row>
    <row r="14" spans="1:29" ht="13.5" customHeight="1" x14ac:dyDescent="0.2">
      <c r="A14" s="2417" t="str">
        <f>COVER!A19</f>
        <v>128 School Street, P.O. Box 128</v>
      </c>
      <c r="B14" s="2430"/>
      <c r="C14" s="2430"/>
      <c r="D14" s="2430"/>
      <c r="E14" s="2430"/>
      <c r="F14" s="2431"/>
      <c r="G14" s="1196" t="s">
        <v>1247</v>
      </c>
      <c r="H14" s="1194"/>
      <c r="I14" s="1194"/>
      <c r="J14" s="1194"/>
      <c r="K14" s="1194"/>
      <c r="L14" s="1195"/>
    </row>
    <row r="15" spans="1:29" ht="13.5" customHeight="1" x14ac:dyDescent="0.2">
      <c r="A15" s="2417" t="str">
        <f>COVER!A21</f>
        <v xml:space="preserve">Brussels  </v>
      </c>
      <c r="B15" s="2430"/>
      <c r="C15" s="2430"/>
      <c r="D15" s="2430"/>
      <c r="E15" s="2430"/>
      <c r="F15" s="2431"/>
      <c r="G15" s="2427" t="str">
        <f>COVER!T15</f>
        <v>Mark E. Vaughn, CPA</v>
      </c>
      <c r="H15" s="2428"/>
      <c r="I15" s="2428"/>
      <c r="J15" s="2428"/>
      <c r="K15" s="2428"/>
      <c r="L15" s="2429"/>
    </row>
    <row r="16" spans="1:29" ht="12.2" customHeight="1" x14ac:dyDescent="0.2">
      <c r="A16" s="2407">
        <f>COVER!A25</f>
        <v>62013</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6" t="s">
        <v>1246</v>
      </c>
      <c r="H17" s="1194"/>
      <c r="I17" s="1194"/>
      <c r="J17" s="1194"/>
      <c r="K17" s="1198" t="s">
        <v>1245</v>
      </c>
      <c r="L17" s="1191"/>
      <c r="M17" s="1184"/>
    </row>
    <row r="18" spans="1:13" ht="12.2" customHeight="1" x14ac:dyDescent="0.2">
      <c r="A18" s="2401"/>
      <c r="B18" s="2402"/>
      <c r="C18" s="2402"/>
      <c r="D18" s="2402"/>
      <c r="E18" s="2402"/>
      <c r="F18" s="2403"/>
      <c r="G18" s="2404" t="str">
        <f>COVER!T21</f>
        <v>618-462-1162</v>
      </c>
      <c r="H18" s="2405"/>
      <c r="I18" s="2405"/>
      <c r="J18" s="2405"/>
      <c r="K18" s="2404" t="str">
        <f>COVER!X21</f>
        <v>618-462-1168</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Brussels CUSD 42</v>
      </c>
      <c r="B1" s="2441"/>
      <c r="C1" s="2441"/>
      <c r="D1" s="2441"/>
    </row>
    <row r="2" spans="1:11" s="1215" customFormat="1" ht="12.75" x14ac:dyDescent="0.2">
      <c r="A2" s="2446">
        <f>'Single Audit Cover'!E7</f>
        <v>40007042026</v>
      </c>
      <c r="B2" s="2447"/>
      <c r="C2" s="2447"/>
      <c r="D2" s="2447"/>
    </row>
    <row r="3" spans="1:11" s="1215" customFormat="1" ht="12.75" x14ac:dyDescent="0.2">
      <c r="A3" s="2445"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Brussels CUSD 42</v>
      </c>
      <c r="B1" s="2449"/>
      <c r="C1" s="2449"/>
      <c r="D1" s="2449"/>
      <c r="E1" s="2449"/>
    </row>
    <row r="2" spans="1:5" x14ac:dyDescent="0.2">
      <c r="A2" s="2450">
        <f>'Single Audit Cover'!E7</f>
        <v>40007042026</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87416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11634</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-1323</v>
      </c>
    </row>
    <row r="19" spans="1:4" ht="13.5" thickBot="1" x14ac:dyDescent="0.25">
      <c r="A19" s="1265" t="s">
        <v>1297</v>
      </c>
      <c r="D19" s="1266">
        <f>SUM(D10:D17)</f>
        <v>97727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97727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97727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Brussels CUSD 42</v>
      </c>
      <c r="B1" s="2454"/>
      <c r="C1" s="2454"/>
      <c r="D1" s="2454"/>
      <c r="E1" s="2454"/>
      <c r="F1" s="2454"/>
    </row>
    <row r="2" spans="1:7" ht="13.5" customHeight="1" x14ac:dyDescent="0.2">
      <c r="A2" s="2455">
        <f>'Single Audit Cover'!E7</f>
        <v>40007042026</v>
      </c>
      <c r="B2" s="2455"/>
      <c r="C2" s="2455"/>
      <c r="D2" s="2455"/>
      <c r="E2" s="2455"/>
      <c r="F2" s="2455"/>
      <c r="G2" s="1275"/>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1831</v>
      </c>
      <c r="C6" s="317"/>
      <c r="D6" s="317"/>
    </row>
    <row r="7" spans="1:7" ht="60.95" customHeight="1" x14ac:dyDescent="0.2">
      <c r="A7" s="2453" t="s">
        <v>1832</v>
      </c>
      <c r="B7" s="2453"/>
      <c r="C7" s="2453"/>
      <c r="D7" s="2453"/>
      <c r="E7" s="2453"/>
      <c r="F7" s="245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3" t="s">
        <v>1834</v>
      </c>
      <c r="B13" s="2453"/>
      <c r="C13" s="2453"/>
      <c r="D13" s="2453"/>
      <c r="E13" s="2453"/>
      <c r="F13" s="2453"/>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2" t="s">
        <v>1835</v>
      </c>
      <c r="B32" s="2462"/>
      <c r="C32" s="2462"/>
      <c r="D32" s="2462"/>
      <c r="E32" s="2462"/>
      <c r="F32" s="2462"/>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3">
        <f>+C33+C34</f>
        <v>0</v>
      </c>
      <c r="F34" s="246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70"/>
      <c r="C50" s="1870"/>
      <c r="D50" s="1870"/>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Brussels CUSD 42</v>
      </c>
      <c r="C1" s="2466"/>
      <c r="D1" s="2466"/>
      <c r="E1" s="2466"/>
      <c r="F1" s="2466"/>
      <c r="G1" s="2466"/>
      <c r="H1" s="2466"/>
      <c r="I1" s="2466"/>
      <c r="J1" s="2466"/>
      <c r="K1" s="2466"/>
      <c r="L1" s="2466"/>
      <c r="M1" s="2466"/>
    </row>
    <row r="2" spans="2:14" ht="15" x14ac:dyDescent="0.2">
      <c r="B2" s="2455">
        <f>'Single Audit Cover'!E7</f>
        <v>40007042026</v>
      </c>
      <c r="C2" s="2455"/>
      <c r="D2" s="2455"/>
      <c r="E2" s="2455"/>
      <c r="F2" s="2455"/>
      <c r="G2" s="2455"/>
      <c r="H2" s="2455"/>
      <c r="I2" s="2455"/>
      <c r="J2" s="2455"/>
      <c r="K2" s="2455"/>
      <c r="L2" s="2455"/>
      <c r="M2" s="2455"/>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2078</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2120</v>
      </c>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Brussels CUSD 42</v>
      </c>
      <c r="C1" s="2474"/>
      <c r="D1" s="2474"/>
      <c r="E1" s="2474"/>
      <c r="F1" s="2474"/>
      <c r="G1" s="2474"/>
      <c r="H1" s="2474"/>
      <c r="I1" s="2474"/>
      <c r="J1" s="1422"/>
    </row>
    <row r="2" spans="2:10" s="317" customFormat="1" ht="12.75" customHeight="1" x14ac:dyDescent="0.2">
      <c r="B2" s="2475">
        <f>'Single Audit Cover'!E7</f>
        <v>40007042026</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c r="E29" s="2480"/>
      <c r="F29" s="2480"/>
      <c r="G29" s="2480"/>
      <c r="H29" s="2480"/>
      <c r="I29" s="248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1" t="s">
        <v>1854</v>
      </c>
      <c r="D37" s="2482"/>
      <c r="E37" s="2482"/>
      <c r="F37" s="2483"/>
      <c r="G37" s="2481" t="s">
        <v>1674</v>
      </c>
      <c r="H37" s="2482"/>
      <c r="I37" s="2483"/>
    </row>
    <row r="38" spans="2:9" ht="16.5" customHeight="1" x14ac:dyDescent="0.2">
      <c r="B38" s="1444"/>
      <c r="C38" s="2469"/>
      <c r="D38" s="2470"/>
      <c r="E38" s="2470"/>
      <c r="F38" s="2471"/>
      <c r="G38" s="2484"/>
      <c r="H38" s="2485"/>
      <c r="I38" s="2486"/>
    </row>
    <row r="39" spans="2:9" ht="16.5" customHeight="1" x14ac:dyDescent="0.2">
      <c r="B39" s="1444"/>
      <c r="C39" s="2469"/>
      <c r="D39" s="2470"/>
      <c r="E39" s="2470"/>
      <c r="F39" s="2471"/>
      <c r="G39" s="2472"/>
      <c r="H39" s="2472"/>
      <c r="I39" s="2472"/>
    </row>
    <row r="40" spans="2:9" ht="16.5" customHeight="1" x14ac:dyDescent="0.2">
      <c r="B40" s="1444"/>
      <c r="C40" s="2469"/>
      <c r="D40" s="2470"/>
      <c r="E40" s="2470"/>
      <c r="F40" s="2471"/>
      <c r="G40" s="2472"/>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87" t="s">
        <v>1675</v>
      </c>
      <c r="D43" s="2488"/>
      <c r="E43" s="2488"/>
      <c r="F43" s="2489"/>
      <c r="G43" s="2490">
        <f>SUM(G38:I42)</f>
        <v>0</v>
      </c>
      <c r="H43" s="2490"/>
      <c r="I43" s="2490"/>
    </row>
    <row r="44" spans="2:9" ht="12.75" customHeight="1" x14ac:dyDescent="0.2"/>
    <row r="45" spans="2:9" ht="12.75" customHeight="1" x14ac:dyDescent="0.2">
      <c r="B45" s="1435" t="s">
        <v>1952</v>
      </c>
      <c r="D45" s="2491">
        <v>0</v>
      </c>
      <c r="E45" s="249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3"/>
      <c r="F49" s="2493"/>
      <c r="G49" s="249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Brussels CUSD 42</v>
      </c>
      <c r="C1" s="2473"/>
      <c r="D1" s="2473"/>
      <c r="E1" s="2473"/>
      <c r="F1" s="2473"/>
      <c r="G1" s="2473"/>
      <c r="H1" s="2473"/>
      <c r="I1" s="2473"/>
      <c r="J1" s="2473"/>
      <c r="K1" s="2473"/>
      <c r="L1" s="1374"/>
      <c r="M1" s="1374"/>
    </row>
    <row r="2" spans="1:13" ht="12" customHeight="1" x14ac:dyDescent="0.2">
      <c r="B2" s="2475">
        <f>'Single Audit Cover'!E7</f>
        <v>40007042026</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Brussels CUSD 42</v>
      </c>
      <c r="C1" s="2500"/>
      <c r="D1" s="2500"/>
      <c r="E1" s="2500"/>
      <c r="F1" s="2500"/>
      <c r="G1" s="2500"/>
      <c r="H1" s="2500"/>
      <c r="I1" s="2500"/>
      <c r="J1" s="2500"/>
      <c r="K1" s="2500"/>
      <c r="L1" s="1465"/>
    </row>
    <row r="2" spans="1:12" ht="12.75" customHeight="1" x14ac:dyDescent="0.2">
      <c r="B2" s="2501">
        <f>'Single Audit Cover'!E7</f>
        <v>40007042026</v>
      </c>
      <c r="C2" s="2501"/>
      <c r="D2" s="2501"/>
      <c r="E2" s="2501"/>
      <c r="F2" s="2501"/>
      <c r="G2" s="2501"/>
      <c r="H2" s="2501"/>
      <c r="I2" s="2501"/>
      <c r="J2" s="2501"/>
      <c r="K2" s="2501"/>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Brussels CUSD 42</v>
      </c>
      <c r="C1" s="2473"/>
      <c r="D1" s="2473"/>
      <c r="E1" s="1491"/>
    </row>
    <row r="2" spans="2:5" s="1282" customFormat="1" ht="12.75" customHeight="1" x14ac:dyDescent="0.2">
      <c r="B2" s="2475">
        <f>'Single Audit Cover'!E7</f>
        <v>40007042026</v>
      </c>
      <c r="C2" s="2475"/>
      <c r="D2" s="2475"/>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22557632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3.5797200000000001E-2</v>
      </c>
      <c r="E10" s="356" t="s">
        <v>1062</v>
      </c>
      <c r="F10" s="355">
        <v>5.4765999999999999E-3</v>
      </c>
      <c r="G10" s="356" t="s">
        <v>1062</v>
      </c>
      <c r="H10" s="355">
        <v>2.2493000000000001E-3</v>
      </c>
      <c r="I10" s="356" t="s">
        <v>1063</v>
      </c>
      <c r="J10" s="1754">
        <f>ROUND(D10+F10+H10,5)</f>
        <v>4.3520000000000003E-2</v>
      </c>
      <c r="K10" s="222"/>
      <c r="L10" s="355">
        <v>4.841E-4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1512946</v>
      </c>
      <c r="E16" s="356"/>
      <c r="F16" s="1755">
        <f>SUM('Acct Summary 7-8'!C17,'Acct Summary 7-8'!D17,'Acct Summary 7-8'!F17)</f>
        <v>1511161</v>
      </c>
      <c r="G16" s="356"/>
      <c r="H16" s="1755">
        <f>SUM(D16-F16)</f>
        <v>1785</v>
      </c>
      <c r="I16" s="222"/>
      <c r="J16" s="1755">
        <f>SUM('Acct Summary 7-8'!C81,'Acct Summary 7-8'!D81,'Acct Summary 7-8'!F81,'Acct Summary 7-8'!I81)</f>
        <v>675143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3112953.2160000005</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Brussels CUSD 42</v>
      </c>
      <c r="E7" s="391"/>
      <c r="G7" s="252"/>
      <c r="H7" s="387"/>
      <c r="I7" s="387"/>
      <c r="J7" s="387"/>
      <c r="K7" s="387"/>
      <c r="L7" s="329"/>
      <c r="M7" s="329"/>
      <c r="N7" s="329"/>
      <c r="O7" s="329"/>
      <c r="P7" s="329"/>
    </row>
    <row r="8" spans="1:18" ht="12.75" x14ac:dyDescent="0.2">
      <c r="A8" s="329"/>
      <c r="B8" s="329"/>
      <c r="C8" s="389" t="s">
        <v>1187</v>
      </c>
      <c r="D8" s="392">
        <f>COVER!A13</f>
        <v>40007042026</v>
      </c>
      <c r="E8" s="393"/>
      <c r="G8" s="329"/>
      <c r="H8" s="329"/>
      <c r="I8" s="329"/>
      <c r="J8" s="329"/>
      <c r="K8" s="329"/>
      <c r="L8" s="329"/>
      <c r="M8" s="329"/>
      <c r="N8" s="329"/>
      <c r="O8" s="329"/>
      <c r="P8" s="329"/>
    </row>
    <row r="9" spans="1:18" ht="12.75" x14ac:dyDescent="0.2">
      <c r="A9" s="329"/>
      <c r="B9" s="329"/>
      <c r="C9" s="389" t="s">
        <v>737</v>
      </c>
      <c r="D9" s="394" t="str">
        <f>COVER!A15</f>
        <v>Calhoun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675143</v>
      </c>
      <c r="I12" s="404"/>
      <c r="J12" s="404"/>
      <c r="K12" s="405">
        <f>TRUNC((H12/H13*100000),5)/100000</f>
        <v>0.44624395049999999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1512946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1511161</v>
      </c>
      <c r="I17" s="404"/>
      <c r="J17" s="416"/>
      <c r="K17" s="405">
        <f>TRUNC((H17/H18*100000),5)/100000</f>
        <v>0.99882018259999994</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1512946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675143</v>
      </c>
      <c r="I24" s="422"/>
      <c r="J24" s="422"/>
      <c r="K24" s="423">
        <f>TRUNC(((H24/H25*100000)/100000),2)</f>
        <v>160.83000000000001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4197.6694399999997</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834451.92293999996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3112953.2160000005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2" activePane="bottomLeft" state="frozen"/>
      <selection activeCell="A47" sqref="A47"/>
      <selection pane="bottomLeft" activeCell="H40" sqref="H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184223</v>
      </c>
      <c r="D4" s="466">
        <v>272140</v>
      </c>
      <c r="E4" s="466">
        <v>9766</v>
      </c>
      <c r="F4" s="466">
        <v>184820</v>
      </c>
      <c r="G4" s="466">
        <v>169899</v>
      </c>
      <c r="H4" s="466">
        <v>59078</v>
      </c>
      <c r="I4" s="466">
        <v>33960</v>
      </c>
      <c r="J4" s="467">
        <v>41554</v>
      </c>
      <c r="K4" s="466">
        <v>61768</v>
      </c>
      <c r="L4" s="466">
        <v>48767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184223</v>
      </c>
      <c r="D13" s="1759">
        <f t="shared" ref="D13:L13" si="0">SUM(D4:D12)</f>
        <v>272140</v>
      </c>
      <c r="E13" s="1759">
        <f t="shared" si="0"/>
        <v>9766</v>
      </c>
      <c r="F13" s="1759">
        <f t="shared" si="0"/>
        <v>184820</v>
      </c>
      <c r="G13" s="1759">
        <f t="shared" si="0"/>
        <v>169899</v>
      </c>
      <c r="H13" s="1759">
        <f t="shared" si="0"/>
        <v>59078</v>
      </c>
      <c r="I13" s="1759">
        <f t="shared" si="0"/>
        <v>33960</v>
      </c>
      <c r="J13" s="1759">
        <f t="shared" si="0"/>
        <v>41554</v>
      </c>
      <c r="K13" s="1759">
        <f t="shared" si="0"/>
        <v>61768</v>
      </c>
      <c r="L13" s="1759">
        <f t="shared" si="0"/>
        <v>48767</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6500</v>
      </c>
      <c r="N16" s="484"/>
    </row>
    <row r="17" spans="1:14" s="485" customFormat="1" ht="12.75" customHeight="1" x14ac:dyDescent="0.2">
      <c r="A17" s="482" t="s">
        <v>1470</v>
      </c>
      <c r="B17" s="483">
        <v>230</v>
      </c>
      <c r="C17" s="477"/>
      <c r="D17" s="477"/>
      <c r="E17" s="477"/>
      <c r="F17" s="477"/>
      <c r="G17" s="477"/>
      <c r="H17" s="477"/>
      <c r="I17" s="477"/>
      <c r="J17" s="477"/>
      <c r="K17" s="477"/>
      <c r="L17" s="477"/>
      <c r="M17" s="467">
        <v>1101438</v>
      </c>
      <c r="N17" s="484"/>
    </row>
    <row r="18" spans="1:14" s="485" customFormat="1" ht="12.75" customHeight="1" x14ac:dyDescent="0.2">
      <c r="A18" s="482" t="s">
        <v>1471</v>
      </c>
      <c r="B18" s="483">
        <v>240</v>
      </c>
      <c r="C18" s="477"/>
      <c r="D18" s="477"/>
      <c r="E18" s="477"/>
      <c r="F18" s="477"/>
      <c r="G18" s="477"/>
      <c r="H18" s="477"/>
      <c r="I18" s="477"/>
      <c r="J18" s="477"/>
      <c r="K18" s="477"/>
      <c r="L18" s="477"/>
      <c r="M18" s="467">
        <v>13772</v>
      </c>
      <c r="N18" s="484"/>
    </row>
    <row r="19" spans="1:14" s="485" customFormat="1" ht="12.75" customHeight="1" x14ac:dyDescent="0.2">
      <c r="A19" s="482" t="s">
        <v>1472</v>
      </c>
      <c r="B19" s="483">
        <v>250</v>
      </c>
      <c r="C19" s="477"/>
      <c r="D19" s="477"/>
      <c r="E19" s="477"/>
      <c r="F19" s="477"/>
      <c r="G19" s="477"/>
      <c r="H19" s="477"/>
      <c r="I19" s="477"/>
      <c r="J19" s="477"/>
      <c r="K19" s="477"/>
      <c r="L19" s="477"/>
      <c r="M19" s="467">
        <v>790563</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1912273</v>
      </c>
      <c r="N23" s="1710">
        <f>SUM(N21:N22)</f>
        <v>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48767</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48767</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v>114651</v>
      </c>
      <c r="H38" s="466">
        <v>59078</v>
      </c>
      <c r="I38" s="466"/>
      <c r="J38" s="467"/>
      <c r="K38" s="466"/>
      <c r="L38" s="481"/>
      <c r="M38" s="497"/>
      <c r="N38" s="497"/>
    </row>
    <row r="39" spans="1:14" s="329" customFormat="1" ht="13.5" customHeight="1" x14ac:dyDescent="0.2">
      <c r="A39" s="496" t="s">
        <v>360</v>
      </c>
      <c r="B39" s="483">
        <v>730</v>
      </c>
      <c r="C39" s="466">
        <f>'Acct Summary 7-8'!C81</f>
        <v>184223</v>
      </c>
      <c r="D39" s="466">
        <f>'Acct Summary 7-8'!D81</f>
        <v>272140</v>
      </c>
      <c r="E39" s="466">
        <f>'Acct Summary 7-8'!E81</f>
        <v>9766</v>
      </c>
      <c r="F39" s="466">
        <f>'Acct Summary 7-8'!F81</f>
        <v>184820</v>
      </c>
      <c r="G39" s="466">
        <v>55248</v>
      </c>
      <c r="H39" s="466"/>
      <c r="I39" s="466">
        <f>'Acct Summary 7-8'!I81</f>
        <v>33960</v>
      </c>
      <c r="J39" s="467">
        <f>'Acct Summary 7-8'!J81</f>
        <v>41554</v>
      </c>
      <c r="K39" s="466">
        <f>'Acct Summary 7-8'!K81</f>
        <v>61768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1912273</v>
      </c>
      <c r="N40" s="497"/>
    </row>
    <row r="41" spans="1:14" ht="13.5" customHeight="1" thickBot="1" x14ac:dyDescent="0.25">
      <c r="A41" s="1758" t="s">
        <v>676</v>
      </c>
      <c r="B41" s="1728"/>
      <c r="C41" s="1710">
        <f>(SUM(C34,C37,C38,C39))</f>
        <v>184223</v>
      </c>
      <c r="D41" s="1710">
        <f t="shared" ref="D41:L41" si="2">SUM(D34,D37,D38:D39)</f>
        <v>272140</v>
      </c>
      <c r="E41" s="1710">
        <f t="shared" si="2"/>
        <v>9766</v>
      </c>
      <c r="F41" s="1710">
        <f t="shared" si="2"/>
        <v>184820</v>
      </c>
      <c r="G41" s="1710">
        <f t="shared" si="2"/>
        <v>169899</v>
      </c>
      <c r="H41" s="1710">
        <f t="shared" si="2"/>
        <v>59078</v>
      </c>
      <c r="I41" s="1710">
        <f t="shared" si="2"/>
        <v>33960</v>
      </c>
      <c r="J41" s="1710">
        <f t="shared" si="2"/>
        <v>41554</v>
      </c>
      <c r="K41" s="1710">
        <f t="shared" si="2"/>
        <v>61768</v>
      </c>
      <c r="L41" s="1710">
        <f t="shared" si="2"/>
        <v>48767</v>
      </c>
      <c r="M41" s="1710">
        <f>SUM(M40)</f>
        <v>1912273</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H81" sqref="H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862899</v>
      </c>
      <c r="D4" s="1764">
        <f>'Revenues 9-14'!D109</f>
        <v>154156</v>
      </c>
      <c r="E4" s="1764">
        <f>'Revenues 9-14'!E109</f>
        <v>73</v>
      </c>
      <c r="F4" s="1764">
        <f>'Revenues 9-14'!F109</f>
        <v>54808</v>
      </c>
      <c r="G4" s="1764">
        <f>'Revenues 9-14'!G109</f>
        <v>91338</v>
      </c>
      <c r="H4" s="1764">
        <f>'Revenues 9-14'!H109</f>
        <v>28734</v>
      </c>
      <c r="I4" s="1764">
        <f>'Revenues 9-14'!I109</f>
        <v>10612</v>
      </c>
      <c r="J4" s="1764">
        <f>'Revenues 9-14'!J109</f>
        <v>21594</v>
      </c>
      <c r="K4" s="1764">
        <f>'Revenues 9-14'!K109</f>
        <v>10509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272490</v>
      </c>
      <c r="D6" s="1765">
        <f>'Revenues 9-14'!D173</f>
        <v>0</v>
      </c>
      <c r="E6" s="1765">
        <f>'Revenues 9-14'!E173</f>
        <v>0</v>
      </c>
      <c r="F6" s="1765">
        <f>'Revenues 9-14'!F173</f>
        <v>70565</v>
      </c>
      <c r="G6" s="1765">
        <f>'Revenues 9-14'!G173</f>
        <v>0</v>
      </c>
      <c r="H6" s="1765">
        <f>'Revenues 9-14'!H173</f>
        <v>0</v>
      </c>
      <c r="I6" s="1765">
        <f>'Revenues 9-14'!I173</f>
        <v>0</v>
      </c>
      <c r="J6" s="1765">
        <f>'Revenues 9-14'!J173</f>
        <v>29910</v>
      </c>
      <c r="K6" s="1765">
        <f>'Revenues 9-14'!K173</f>
        <v>0</v>
      </c>
      <c r="L6" s="347"/>
      <c r="M6" s="513"/>
    </row>
    <row r="7" spans="1:13" ht="15.75" customHeight="1" x14ac:dyDescent="0.2">
      <c r="A7" s="1598" t="s">
        <v>1582</v>
      </c>
      <c r="B7" s="1600">
        <v>4000</v>
      </c>
      <c r="C7" s="1765">
        <f>'Revenues 9-14'!C274</f>
        <v>87416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1222805</v>
      </c>
      <c r="D8" s="1710">
        <f t="shared" ref="D8:K8" si="0">SUM(D4:D7)</f>
        <v>154156</v>
      </c>
      <c r="E8" s="1710">
        <f t="shared" si="0"/>
        <v>73</v>
      </c>
      <c r="F8" s="1710">
        <f t="shared" si="0"/>
        <v>125373</v>
      </c>
      <c r="G8" s="1710">
        <f t="shared" si="0"/>
        <v>91338</v>
      </c>
      <c r="H8" s="1710">
        <f t="shared" si="0"/>
        <v>28734</v>
      </c>
      <c r="I8" s="1710">
        <f t="shared" si="0"/>
        <v>10612</v>
      </c>
      <c r="J8" s="1710">
        <f t="shared" si="0"/>
        <v>51504</v>
      </c>
      <c r="K8" s="1710">
        <f t="shared" si="0"/>
        <v>10509</v>
      </c>
      <c r="L8" s="347"/>
    </row>
    <row r="9" spans="1:13" ht="15.75" thickTop="1" x14ac:dyDescent="0.2">
      <c r="A9" s="514" t="s">
        <v>1752</v>
      </c>
      <c r="B9" s="515">
        <v>3998</v>
      </c>
      <c r="C9" s="481">
        <v>540947</v>
      </c>
      <c r="D9" s="516"/>
      <c r="E9" s="481"/>
      <c r="F9" s="481"/>
      <c r="G9" s="517"/>
      <c r="H9" s="481"/>
      <c r="I9" s="509" t="s">
        <v>1231</v>
      </c>
      <c r="J9" s="478"/>
      <c r="K9" s="481"/>
      <c r="L9" s="347"/>
    </row>
    <row r="10" spans="1:13" s="519" customFormat="1" ht="13.5" thickBot="1" x14ac:dyDescent="0.25">
      <c r="A10" s="1758" t="s">
        <v>1235</v>
      </c>
      <c r="B10" s="1731"/>
      <c r="C10" s="1710">
        <f>SUM(C8:C9)</f>
        <v>1763752</v>
      </c>
      <c r="D10" s="1710">
        <f t="shared" ref="D10:K10" si="1">SUM(D8:D9)</f>
        <v>154156</v>
      </c>
      <c r="E10" s="1710">
        <f t="shared" si="1"/>
        <v>73</v>
      </c>
      <c r="F10" s="1710">
        <f t="shared" si="1"/>
        <v>125373</v>
      </c>
      <c r="G10" s="1710">
        <f t="shared" si="1"/>
        <v>91338</v>
      </c>
      <c r="H10" s="1710">
        <f t="shared" si="1"/>
        <v>28734</v>
      </c>
      <c r="I10" s="1710">
        <f t="shared" si="1"/>
        <v>10612</v>
      </c>
      <c r="J10" s="1710">
        <f t="shared" si="1"/>
        <v>51504</v>
      </c>
      <c r="K10" s="1710">
        <f t="shared" si="1"/>
        <v>10509</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816374</v>
      </c>
      <c r="D12" s="520" t="s">
        <v>1231</v>
      </c>
      <c r="E12" s="468" t="s">
        <v>1231</v>
      </c>
      <c r="F12" s="468" t="s">
        <v>1231</v>
      </c>
      <c r="G12" s="1764">
        <f>'Expenditures 15-22'!K229</f>
        <v>20018</v>
      </c>
      <c r="H12" s="521"/>
      <c r="I12" s="468" t="s">
        <v>1231</v>
      </c>
      <c r="J12" s="468" t="s">
        <v>1231</v>
      </c>
      <c r="K12" s="521" t="s">
        <v>1231</v>
      </c>
      <c r="L12" s="347"/>
    </row>
    <row r="13" spans="1:13" ht="15.75" customHeight="1" x14ac:dyDescent="0.2">
      <c r="A13" s="1598" t="s">
        <v>477</v>
      </c>
      <c r="B13" s="1600">
        <v>2000</v>
      </c>
      <c r="C13" s="1765">
        <f>'Expenditures 15-22'!K74</f>
        <v>372917</v>
      </c>
      <c r="D13" s="1765">
        <f>'Expenditures 15-22'!K129</f>
        <v>141205</v>
      </c>
      <c r="E13" s="469" t="s">
        <v>1231</v>
      </c>
      <c r="F13" s="1765">
        <f>'Expenditures 15-22'!K184</f>
        <v>117617</v>
      </c>
      <c r="G13" s="1765">
        <f>'Expenditures 15-22'!K279</f>
        <v>31067</v>
      </c>
      <c r="H13" s="1765">
        <f>'Expenditures 15-22'!K303</f>
        <v>0</v>
      </c>
      <c r="I13" s="468" t="s">
        <v>1231</v>
      </c>
      <c r="J13" s="1765">
        <f>'Expenditures 15-22'!K330</f>
        <v>52311</v>
      </c>
      <c r="K13" s="1769">
        <f>'Expenditures 15-22'!K352</f>
        <v>0</v>
      </c>
      <c r="L13" s="347"/>
    </row>
    <row r="14" spans="1:13" ht="15.75" customHeight="1" x14ac:dyDescent="0.2">
      <c r="A14" s="1598" t="s">
        <v>469</v>
      </c>
      <c r="B14" s="1600">
        <v>3000</v>
      </c>
      <c r="C14" s="1765">
        <f>'Expenditures 15-22'!K75</f>
        <v>7619</v>
      </c>
      <c r="D14" s="1765">
        <f>'Expenditures 15-22'!K130</f>
        <v>0</v>
      </c>
      <c r="E14" s="520" t="s">
        <v>1231</v>
      </c>
      <c r="F14" s="1765">
        <f>'Expenditures 15-22'!K185</f>
        <v>0</v>
      </c>
      <c r="G14" s="1765">
        <f>'Expenditures 15-22'!K280</f>
        <v>60</v>
      </c>
      <c r="H14" s="512"/>
      <c r="I14" s="468" t="s">
        <v>1231</v>
      </c>
      <c r="J14" s="468" t="s">
        <v>1231</v>
      </c>
      <c r="K14" s="512" t="s">
        <v>1231</v>
      </c>
      <c r="L14" s="347"/>
    </row>
    <row r="15" spans="1:13" ht="15.75" customHeight="1" x14ac:dyDescent="0.2">
      <c r="A15" s="1598" t="s">
        <v>109</v>
      </c>
      <c r="B15" s="1600">
        <v>4000</v>
      </c>
      <c r="C15" s="1765">
        <f>'Expenditures 15-22'!K102</f>
        <v>55429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1252339</v>
      </c>
      <c r="D17" s="1710">
        <f t="shared" si="2"/>
        <v>141205</v>
      </c>
      <c r="E17" s="1710">
        <f t="shared" si="2"/>
        <v>0</v>
      </c>
      <c r="F17" s="1710">
        <f t="shared" si="2"/>
        <v>117617</v>
      </c>
      <c r="G17" s="1710">
        <f t="shared" si="2"/>
        <v>51145</v>
      </c>
      <c r="H17" s="1710">
        <f t="shared" si="2"/>
        <v>0</v>
      </c>
      <c r="I17" s="468"/>
      <c r="J17" s="1710">
        <f>SUM(J12:J16)</f>
        <v>52311</v>
      </c>
      <c r="K17" s="1710">
        <f>SUM(K12:K16)</f>
        <v>0</v>
      </c>
      <c r="L17" s="347"/>
    </row>
    <row r="18" spans="1:12" ht="15" customHeight="1" thickTop="1" x14ac:dyDescent="0.2">
      <c r="A18" s="1766" t="s">
        <v>1753</v>
      </c>
      <c r="B18" s="1767">
        <v>4180</v>
      </c>
      <c r="C18" s="1764">
        <f t="shared" ref="C18:H18" si="3">C9</f>
        <v>540947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1793286</v>
      </c>
      <c r="D19" s="1710">
        <f t="shared" si="4"/>
        <v>141205</v>
      </c>
      <c r="E19" s="1710">
        <f t="shared" si="4"/>
        <v>0</v>
      </c>
      <c r="F19" s="1710">
        <f t="shared" si="4"/>
        <v>117617</v>
      </c>
      <c r="G19" s="1710">
        <f t="shared" si="4"/>
        <v>51145</v>
      </c>
      <c r="H19" s="1710">
        <f t="shared" si="4"/>
        <v>0</v>
      </c>
      <c r="I19" s="468"/>
      <c r="J19" s="1710">
        <f>SUM(J17:J18)</f>
        <v>52311</v>
      </c>
      <c r="K19" s="1710">
        <f>SUM(K17:K18)</f>
        <v>0</v>
      </c>
      <c r="L19" s="347"/>
    </row>
    <row r="20" spans="1:12" ht="16.5" thickTop="1" thickBot="1" x14ac:dyDescent="0.25">
      <c r="A20" s="2145" t="s">
        <v>1754</v>
      </c>
      <c r="B20" s="2146"/>
      <c r="C20" s="1768">
        <f>C8-C17</f>
        <v>-29534</v>
      </c>
      <c r="D20" s="1768">
        <f t="shared" ref="D20:K20" si="5">D8-D17</f>
        <v>12951</v>
      </c>
      <c r="E20" s="1768">
        <f t="shared" si="5"/>
        <v>73</v>
      </c>
      <c r="F20" s="1768">
        <f t="shared" si="5"/>
        <v>7756</v>
      </c>
      <c r="G20" s="1768">
        <f t="shared" si="5"/>
        <v>40193</v>
      </c>
      <c r="H20" s="1768">
        <f t="shared" si="5"/>
        <v>28734</v>
      </c>
      <c r="I20" s="1768">
        <f t="shared" si="5"/>
        <v>10612</v>
      </c>
      <c r="J20" s="1768">
        <f t="shared" si="5"/>
        <v>-807</v>
      </c>
      <c r="K20" s="1768">
        <f t="shared" si="5"/>
        <v>10509</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v>10447</v>
      </c>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10447</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10447</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10447</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10447</v>
      </c>
      <c r="E77" s="1725">
        <f t="shared" si="8"/>
        <v>0</v>
      </c>
      <c r="F77" s="1725">
        <f t="shared" si="8"/>
        <v>0</v>
      </c>
      <c r="G77" s="1725">
        <f t="shared" si="8"/>
        <v>0</v>
      </c>
      <c r="H77" s="1725">
        <f t="shared" si="8"/>
        <v>-10447</v>
      </c>
      <c r="I77" s="1725">
        <f t="shared" si="8"/>
        <v>0</v>
      </c>
      <c r="J77" s="1725">
        <f t="shared" si="8"/>
        <v>0</v>
      </c>
      <c r="K77" s="1725">
        <f t="shared" si="8"/>
        <v>0</v>
      </c>
      <c r="L77" s="347"/>
    </row>
    <row r="78" spans="1:12" ht="21.75" customHeight="1" thickTop="1" thickBot="1" x14ac:dyDescent="0.25">
      <c r="A78" s="2141" t="s">
        <v>618</v>
      </c>
      <c r="B78" s="2142"/>
      <c r="C78" s="1724">
        <f t="shared" ref="C78:K78" si="9">C20+C77</f>
        <v>-29534</v>
      </c>
      <c r="D78" s="1724">
        <f t="shared" si="9"/>
        <v>23398</v>
      </c>
      <c r="E78" s="1724">
        <f t="shared" si="9"/>
        <v>73</v>
      </c>
      <c r="F78" s="1724">
        <f t="shared" si="9"/>
        <v>7756</v>
      </c>
      <c r="G78" s="1724">
        <f t="shared" si="9"/>
        <v>40193</v>
      </c>
      <c r="H78" s="1724">
        <f t="shared" si="9"/>
        <v>18287</v>
      </c>
      <c r="I78" s="1724">
        <f t="shared" si="9"/>
        <v>10612</v>
      </c>
      <c r="J78" s="1724">
        <f t="shared" si="9"/>
        <v>-807</v>
      </c>
      <c r="K78" s="1724">
        <f t="shared" si="9"/>
        <v>10509</v>
      </c>
      <c r="L78" s="533"/>
    </row>
    <row r="79" spans="1:12" ht="13.5" thickTop="1" x14ac:dyDescent="0.2">
      <c r="A79" s="1516" t="s">
        <v>2073</v>
      </c>
      <c r="B79" s="534"/>
      <c r="C79" s="478">
        <v>213757</v>
      </c>
      <c r="D79" s="535">
        <v>248742</v>
      </c>
      <c r="E79" s="535">
        <v>9693</v>
      </c>
      <c r="F79" s="535">
        <v>177064</v>
      </c>
      <c r="G79" s="535">
        <v>129706</v>
      </c>
      <c r="H79" s="535">
        <v>40791</v>
      </c>
      <c r="I79" s="535">
        <v>23348</v>
      </c>
      <c r="J79" s="535">
        <v>42361</v>
      </c>
      <c r="K79" s="535">
        <v>51259</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184223</v>
      </c>
      <c r="D81" s="1710">
        <f>SUM(D78:D80)</f>
        <v>272140</v>
      </c>
      <c r="E81" s="1710">
        <f t="shared" ref="E81:K81" si="10">SUM(E78:E80)</f>
        <v>9766</v>
      </c>
      <c r="F81" s="1710">
        <f t="shared" si="10"/>
        <v>184820</v>
      </c>
      <c r="G81" s="1710">
        <f t="shared" si="10"/>
        <v>169899</v>
      </c>
      <c r="H81" s="1710">
        <f t="shared" si="10"/>
        <v>59078</v>
      </c>
      <c r="I81" s="1710">
        <f t="shared" si="10"/>
        <v>33960</v>
      </c>
      <c r="J81" s="1710">
        <f t="shared" si="10"/>
        <v>41554</v>
      </c>
      <c r="K81" s="1710">
        <f t="shared" si="10"/>
        <v>61768</v>
      </c>
      <c r="L81" s="347"/>
    </row>
    <row r="82" spans="1:12" ht="0.75" customHeight="1" thickTop="1" thickBot="1" x14ac:dyDescent="0.25">
      <c r="A82" s="536" t="s">
        <v>361</v>
      </c>
      <c r="B82" s="537"/>
      <c r="C82" s="538">
        <f>(C81-C79)</f>
        <v>-29534</v>
      </c>
      <c r="D82" s="538">
        <f t="shared" ref="D82:K82" si="11">(D81-D79)</f>
        <v>23398</v>
      </c>
      <c r="E82" s="538">
        <f t="shared" si="11"/>
        <v>73</v>
      </c>
      <c r="F82" s="538">
        <f t="shared" si="11"/>
        <v>7756</v>
      </c>
      <c r="G82" s="538">
        <f t="shared" si="11"/>
        <v>40193</v>
      </c>
      <c r="H82" s="538">
        <f t="shared" si="11"/>
        <v>18287</v>
      </c>
      <c r="I82" s="538">
        <f t="shared" si="11"/>
        <v>10612</v>
      </c>
      <c r="J82" s="538">
        <f t="shared" si="11"/>
        <v>-807</v>
      </c>
      <c r="K82" s="538">
        <f t="shared" si="11"/>
        <v>10509</v>
      </c>
    </row>
    <row r="83" spans="1:12" ht="14.25" hidden="1" thickTop="1" thickBot="1" x14ac:dyDescent="0.25">
      <c r="A83" s="539" t="s">
        <v>362</v>
      </c>
      <c r="B83" s="464"/>
      <c r="C83" s="540">
        <f>C82/C81</f>
        <v>-0.16031657284920992</v>
      </c>
      <c r="D83" s="540">
        <f t="shared" ref="D83:K83" si="12">D82/D81</f>
        <v>8.5977805541265523E-2</v>
      </c>
      <c r="E83" s="540">
        <f t="shared" si="12"/>
        <v>7.4749129633422074E-3</v>
      </c>
      <c r="F83" s="540">
        <f t="shared" si="12"/>
        <v>4.1965155286224437E-2</v>
      </c>
      <c r="G83" s="540">
        <f t="shared" si="12"/>
        <v>0.2365699621539856</v>
      </c>
      <c r="H83" s="540">
        <f t="shared" si="12"/>
        <v>0.30953993026168791</v>
      </c>
      <c r="I83" s="540">
        <f t="shared" si="12"/>
        <v>0.31248527679623084</v>
      </c>
      <c r="J83" s="540">
        <f t="shared" si="12"/>
        <v>-1.9420513067334073E-2</v>
      </c>
      <c r="K83" s="540">
        <f t="shared" si="12"/>
        <v>0.17013664033156328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730930</v>
      </c>
      <c r="D5" s="481">
        <v>150196</v>
      </c>
      <c r="E5" s="466"/>
      <c r="F5" s="548">
        <v>48067</v>
      </c>
      <c r="G5" s="466">
        <v>44826</v>
      </c>
      <c r="H5" s="466"/>
      <c r="I5" s="466">
        <v>10346</v>
      </c>
      <c r="J5" s="467">
        <v>21247</v>
      </c>
      <c r="K5" s="466">
        <v>10035</v>
      </c>
    </row>
    <row r="6" spans="1:12" ht="15" x14ac:dyDescent="0.2">
      <c r="A6" s="463" t="s">
        <v>1761</v>
      </c>
      <c r="B6" s="470">
        <v>1130</v>
      </c>
      <c r="C6" s="466"/>
      <c r="D6" s="466"/>
      <c r="E6" s="475"/>
      <c r="F6" s="475"/>
      <c r="G6" s="468"/>
      <c r="H6" s="468"/>
      <c r="I6" s="468"/>
      <c r="J6" s="468"/>
      <c r="K6" s="468"/>
    </row>
    <row r="7" spans="1:12" x14ac:dyDescent="0.2">
      <c r="A7" s="463" t="s">
        <v>112</v>
      </c>
      <c r="B7" s="549">
        <v>1140</v>
      </c>
      <c r="C7" s="466">
        <v>8037</v>
      </c>
      <c r="D7" s="466"/>
      <c r="E7" s="468"/>
      <c r="F7" s="467"/>
      <c r="G7" s="467"/>
      <c r="H7" s="467"/>
      <c r="I7" s="468"/>
      <c r="J7" s="468"/>
      <c r="K7" s="468"/>
    </row>
    <row r="8" spans="1:12" x14ac:dyDescent="0.2">
      <c r="A8" s="463" t="s">
        <v>433</v>
      </c>
      <c r="B8" s="470">
        <v>1150</v>
      </c>
      <c r="C8" s="475"/>
      <c r="D8" s="475"/>
      <c r="E8" s="477"/>
      <c r="F8" s="477"/>
      <c r="G8" s="481">
        <v>44826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738967</v>
      </c>
      <c r="D12" s="1729">
        <f t="shared" si="0"/>
        <v>150196</v>
      </c>
      <c r="E12" s="1729">
        <f t="shared" si="0"/>
        <v>0</v>
      </c>
      <c r="F12" s="1729">
        <f t="shared" si="0"/>
        <v>48067</v>
      </c>
      <c r="G12" s="1729">
        <f t="shared" si="0"/>
        <v>89652</v>
      </c>
      <c r="H12" s="1729">
        <f t="shared" si="0"/>
        <v>0</v>
      </c>
      <c r="I12" s="1729">
        <f t="shared" si="0"/>
        <v>10346</v>
      </c>
      <c r="J12" s="1729">
        <f t="shared" si="0"/>
        <v>21247</v>
      </c>
      <c r="K12" s="1710">
        <f t="shared" si="0"/>
        <v>10035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18875</v>
      </c>
      <c r="D16" s="466"/>
      <c r="E16" s="466"/>
      <c r="F16" s="466"/>
      <c r="G16" s="466"/>
      <c r="H16" s="466"/>
      <c r="I16" s="466"/>
      <c r="J16" s="467"/>
      <c r="K16" s="466"/>
    </row>
    <row r="17" spans="1:11" ht="12.75" customHeight="1" x14ac:dyDescent="0.2">
      <c r="A17" s="463" t="s">
        <v>840</v>
      </c>
      <c r="B17" s="470">
        <v>1290</v>
      </c>
      <c r="C17" s="551">
        <v>4410</v>
      </c>
      <c r="D17" s="466">
        <v>896</v>
      </c>
      <c r="E17" s="466"/>
      <c r="F17" s="466">
        <v>287</v>
      </c>
      <c r="G17" s="466">
        <v>535</v>
      </c>
      <c r="H17" s="466"/>
      <c r="I17" s="466">
        <v>62</v>
      </c>
      <c r="J17" s="467">
        <v>127</v>
      </c>
      <c r="K17" s="466">
        <v>60</v>
      </c>
    </row>
    <row r="18" spans="1:11" ht="12.75" customHeight="1" thickBot="1" x14ac:dyDescent="0.25">
      <c r="A18" s="1730" t="s">
        <v>558</v>
      </c>
      <c r="B18" s="1731"/>
      <c r="C18" s="1732">
        <f>SUM(C14:C17)</f>
        <v>23285</v>
      </c>
      <c r="D18" s="1732">
        <f t="shared" ref="D18:K18" si="1">SUM(D14:D17)</f>
        <v>896</v>
      </c>
      <c r="E18" s="1732">
        <f t="shared" si="1"/>
        <v>0</v>
      </c>
      <c r="F18" s="1732">
        <f t="shared" si="1"/>
        <v>287</v>
      </c>
      <c r="G18" s="1732">
        <f t="shared" si="1"/>
        <v>535</v>
      </c>
      <c r="H18" s="1732">
        <f t="shared" si="1"/>
        <v>0</v>
      </c>
      <c r="I18" s="1732">
        <f t="shared" si="1"/>
        <v>62</v>
      </c>
      <c r="J18" s="1732">
        <f t="shared" si="1"/>
        <v>127</v>
      </c>
      <c r="K18" s="1733">
        <f t="shared" si="1"/>
        <v>60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1088</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1088</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1681</v>
      </c>
      <c r="D65" s="466">
        <v>2157</v>
      </c>
      <c r="E65" s="466">
        <v>73</v>
      </c>
      <c r="F65" s="467">
        <v>1268</v>
      </c>
      <c r="G65" s="466">
        <v>1151</v>
      </c>
      <c r="H65" s="466">
        <v>208</v>
      </c>
      <c r="I65" s="466">
        <v>204</v>
      </c>
      <c r="J65" s="467">
        <v>220</v>
      </c>
      <c r="K65" s="466">
        <v>414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1681</v>
      </c>
      <c r="D67" s="1710">
        <f t="shared" ref="D67:K67" si="2">SUM(D65:D66)</f>
        <v>2157</v>
      </c>
      <c r="E67" s="1710">
        <f t="shared" si="2"/>
        <v>73</v>
      </c>
      <c r="F67" s="1710">
        <f t="shared" si="2"/>
        <v>1268</v>
      </c>
      <c r="G67" s="1710">
        <f t="shared" si="2"/>
        <v>1151</v>
      </c>
      <c r="H67" s="1710">
        <f t="shared" si="2"/>
        <v>208</v>
      </c>
      <c r="I67" s="1710">
        <f t="shared" si="2"/>
        <v>204</v>
      </c>
      <c r="J67" s="1710">
        <f t="shared" si="2"/>
        <v>220</v>
      </c>
      <c r="K67" s="1710">
        <f t="shared" si="2"/>
        <v>414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60432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9106</v>
      </c>
      <c r="D73" s="468"/>
      <c r="E73" s="468"/>
      <c r="F73" s="468"/>
      <c r="G73" s="468"/>
      <c r="H73" s="468"/>
      <c r="I73" s="468"/>
      <c r="J73" s="468"/>
      <c r="K73" s="468"/>
    </row>
    <row r="74" spans="1:11" ht="12.75" customHeight="1" x14ac:dyDescent="0.2">
      <c r="A74" s="463" t="s">
        <v>25</v>
      </c>
      <c r="B74" s="470">
        <v>1690</v>
      </c>
      <c r="C74" s="551">
        <v>6687</v>
      </c>
      <c r="D74" s="468"/>
      <c r="E74" s="468"/>
      <c r="F74" s="468"/>
      <c r="G74" s="468"/>
      <c r="H74" s="468"/>
      <c r="I74" s="468"/>
      <c r="J74" s="468"/>
      <c r="K74" s="468"/>
    </row>
    <row r="75" spans="1:11" ht="12.75" customHeight="1" thickBot="1" x14ac:dyDescent="0.25">
      <c r="A75" s="1730" t="s">
        <v>569</v>
      </c>
      <c r="B75" s="1731"/>
      <c r="C75" s="1710">
        <f>SUM(C69:C74)</f>
        <v>76225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11541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5000</v>
      </c>
      <c r="D81" s="466"/>
      <c r="E81" s="468"/>
      <c r="F81" s="468"/>
      <c r="G81" s="468"/>
      <c r="H81" s="468"/>
      <c r="I81" s="468"/>
      <c r="J81" s="468"/>
      <c r="K81" s="468"/>
    </row>
    <row r="82" spans="1:11" ht="12.75" customHeight="1" thickBot="1" x14ac:dyDescent="0.25">
      <c r="A82" s="1730" t="s">
        <v>259</v>
      </c>
      <c r="B82" s="1731"/>
      <c r="C82" s="1729">
        <f>SUM(C77:C81)</f>
        <v>16571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1578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1578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28526</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4592</v>
      </c>
      <c r="D107" s="466">
        <v>907</v>
      </c>
      <c r="E107" s="466"/>
      <c r="F107" s="466">
        <v>4098</v>
      </c>
      <c r="G107" s="466"/>
      <c r="H107" s="466"/>
      <c r="I107" s="466"/>
      <c r="J107" s="467"/>
      <c r="K107" s="466"/>
    </row>
    <row r="108" spans="1:12" ht="12.75" customHeight="1" thickBot="1" x14ac:dyDescent="0.25">
      <c r="A108" s="1730" t="s">
        <v>508</v>
      </c>
      <c r="B108" s="1734"/>
      <c r="C108" s="1729">
        <f>SUM(C95:C107)</f>
        <v>4592</v>
      </c>
      <c r="D108" s="1729">
        <f t="shared" ref="D108:K108" si="3">SUM(D95:D107)</f>
        <v>907</v>
      </c>
      <c r="E108" s="1729">
        <f t="shared" si="3"/>
        <v>0</v>
      </c>
      <c r="F108" s="1729">
        <f t="shared" si="3"/>
        <v>4098</v>
      </c>
      <c r="G108" s="1729">
        <f t="shared" si="3"/>
        <v>0</v>
      </c>
      <c r="H108" s="1729">
        <f t="shared" si="3"/>
        <v>28526</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862899</v>
      </c>
      <c r="D109" s="1737">
        <f t="shared" si="4"/>
        <v>154156</v>
      </c>
      <c r="E109" s="1737">
        <f t="shared" si="4"/>
        <v>73</v>
      </c>
      <c r="F109" s="1737">
        <f t="shared" si="4"/>
        <v>54808</v>
      </c>
      <c r="G109" s="1737">
        <f t="shared" si="4"/>
        <v>91338</v>
      </c>
      <c r="H109" s="1737">
        <f t="shared" si="4"/>
        <v>28734</v>
      </c>
      <c r="I109" s="1737">
        <f t="shared" si="4"/>
        <v>10612</v>
      </c>
      <c r="J109" s="1737">
        <f t="shared" si="4"/>
        <v>21594</v>
      </c>
      <c r="K109" s="1724">
        <f t="shared" si="4"/>
        <v>10509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239276</v>
      </c>
      <c r="D117" s="481"/>
      <c r="E117" s="466"/>
      <c r="F117" s="481">
        <v>29910</v>
      </c>
      <c r="G117" s="481"/>
      <c r="H117" s="466"/>
      <c r="I117" s="468"/>
      <c r="J117" s="467">
        <v>29910</v>
      </c>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239276</v>
      </c>
      <c r="D121" s="1729">
        <f t="shared" si="5"/>
        <v>0</v>
      </c>
      <c r="E121" s="1729">
        <f t="shared" si="5"/>
        <v>0</v>
      </c>
      <c r="F121" s="1729">
        <f t="shared" si="5"/>
        <v>29910</v>
      </c>
      <c r="G121" s="1729">
        <f t="shared" si="5"/>
        <v>0</v>
      </c>
      <c r="H121" s="1729">
        <f t="shared" si="5"/>
        <v>0</v>
      </c>
      <c r="I121" s="468"/>
      <c r="J121" s="1729">
        <f>SUM(J117:J120)</f>
        <v>29910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5575</v>
      </c>
      <c r="D124" s="561"/>
      <c r="E124" s="468"/>
      <c r="F124" s="548"/>
      <c r="G124" s="468"/>
      <c r="H124" s="468"/>
      <c r="I124" s="468"/>
      <c r="J124" s="468"/>
      <c r="K124" s="468"/>
    </row>
    <row r="125" spans="1:11" ht="12.75" customHeight="1" x14ac:dyDescent="0.2">
      <c r="A125" s="463" t="s">
        <v>1521</v>
      </c>
      <c r="B125" s="562">
        <v>3105</v>
      </c>
      <c r="C125" s="466">
        <v>9652</v>
      </c>
      <c r="D125" s="561"/>
      <c r="E125" s="468"/>
      <c r="F125" s="466"/>
      <c r="G125" s="468"/>
      <c r="H125" s="468"/>
      <c r="I125" s="468"/>
      <c r="J125" s="468"/>
      <c r="K125" s="468"/>
    </row>
    <row r="126" spans="1:11" ht="12.75" customHeight="1" x14ac:dyDescent="0.2">
      <c r="A126" s="463" t="s">
        <v>922</v>
      </c>
      <c r="B126" s="562">
        <v>3110</v>
      </c>
      <c r="C126" s="551">
        <v>9116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24343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4972</v>
      </c>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4972</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517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3382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34120</v>
      </c>
      <c r="G151" s="467"/>
      <c r="H151" s="468"/>
      <c r="I151" s="468"/>
      <c r="J151" s="468"/>
      <c r="K151" s="468"/>
    </row>
    <row r="152" spans="1:11" ht="12.75" customHeight="1" x14ac:dyDescent="0.2">
      <c r="A152" s="463" t="s">
        <v>1117</v>
      </c>
      <c r="B152" s="562">
        <v>3510</v>
      </c>
      <c r="C152" s="551"/>
      <c r="D152" s="466"/>
      <c r="E152" s="561"/>
      <c r="F152" s="466">
        <v>6535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40655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33214</v>
      </c>
      <c r="D172" s="1744">
        <f t="shared" si="6"/>
        <v>0</v>
      </c>
      <c r="E172" s="1744">
        <f t="shared" si="6"/>
        <v>0</v>
      </c>
      <c r="F172" s="1744">
        <f t="shared" si="6"/>
        <v>40655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272490</v>
      </c>
      <c r="D173" s="1737">
        <f>SUM(D121,D172)</f>
        <v>0</v>
      </c>
      <c r="E173" s="1737">
        <f>SUM(E121,E172)</f>
        <v>0</v>
      </c>
      <c r="F173" s="1737">
        <f t="shared" ref="F173:K173" si="7">SUM(F121,F172)</f>
        <v>70565</v>
      </c>
      <c r="G173" s="1737">
        <f t="shared" si="7"/>
        <v>0</v>
      </c>
      <c r="H173" s="1737">
        <f t="shared" si="7"/>
        <v>0</v>
      </c>
      <c r="I173" s="1737">
        <f t="shared" si="7"/>
        <v>0</v>
      </c>
      <c r="J173" s="1737">
        <f t="shared" si="7"/>
        <v>29910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19210</v>
      </c>
      <c r="D183" s="466"/>
      <c r="E183" s="468"/>
      <c r="F183" s="466"/>
      <c r="G183" s="466"/>
      <c r="H183" s="466"/>
      <c r="I183" s="468"/>
      <c r="J183" s="468"/>
      <c r="K183" s="466"/>
    </row>
    <row r="184" spans="1:11" ht="13.5" thickBot="1" x14ac:dyDescent="0.25">
      <c r="A184" s="2171" t="s">
        <v>818</v>
      </c>
      <c r="B184" s="2172"/>
      <c r="C184" s="1729">
        <f>SUM(C180:C183)</f>
        <v>19210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27773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9972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37745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10218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10218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4003</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4003</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9727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9727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5190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1323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68206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87416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1222805</v>
      </c>
      <c r="D275" s="1737">
        <f t="shared" si="12"/>
        <v>154156</v>
      </c>
      <c r="E275" s="1737">
        <f t="shared" si="12"/>
        <v>73</v>
      </c>
      <c r="F275" s="1737">
        <f t="shared" si="12"/>
        <v>125373</v>
      </c>
      <c r="G275" s="1737">
        <f t="shared" si="12"/>
        <v>91338</v>
      </c>
      <c r="H275" s="1737">
        <f t="shared" si="12"/>
        <v>28734</v>
      </c>
      <c r="I275" s="1737">
        <f t="shared" si="12"/>
        <v>10612</v>
      </c>
      <c r="J275" s="1737">
        <f t="shared" si="12"/>
        <v>51504</v>
      </c>
      <c r="K275" s="1724">
        <f t="shared" si="12"/>
        <v>10509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A47" sqref="A47"/>
      <selection pane="bottomLeft" activeCell="L55" sqref="L5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543560</v>
      </c>
      <c r="D5" s="466">
        <v>8306</v>
      </c>
      <c r="E5" s="466">
        <v>9849</v>
      </c>
      <c r="F5" s="466">
        <v>56238</v>
      </c>
      <c r="G5" s="466"/>
      <c r="H5" s="466"/>
      <c r="I5" s="467"/>
      <c r="J5" s="467"/>
      <c r="K5" s="1693">
        <f>SUM(C5:J5)</f>
        <v>617953</v>
      </c>
      <c r="L5" s="466">
        <v>609336</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61425</v>
      </c>
      <c r="D8" s="466">
        <v>493</v>
      </c>
      <c r="E8" s="466">
        <v>1315</v>
      </c>
      <c r="F8" s="466">
        <v>1377</v>
      </c>
      <c r="G8" s="466"/>
      <c r="H8" s="466"/>
      <c r="I8" s="467"/>
      <c r="J8" s="467"/>
      <c r="K8" s="1693">
        <f t="shared" si="0"/>
        <v>64610</v>
      </c>
      <c r="L8" s="466">
        <v>64611</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7162</v>
      </c>
      <c r="D10" s="466">
        <v>594</v>
      </c>
      <c r="E10" s="466"/>
      <c r="F10" s="466">
        <v>1117</v>
      </c>
      <c r="G10" s="466"/>
      <c r="H10" s="466"/>
      <c r="I10" s="467"/>
      <c r="J10" s="467"/>
      <c r="K10" s="1693">
        <f t="shared" si="0"/>
        <v>8873</v>
      </c>
      <c r="L10" s="466">
        <v>8873</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v>81143</v>
      </c>
      <c r="D13" s="466">
        <v>1355</v>
      </c>
      <c r="E13" s="466">
        <v>74</v>
      </c>
      <c r="F13" s="466">
        <v>4110</v>
      </c>
      <c r="G13" s="466">
        <v>2549</v>
      </c>
      <c r="H13" s="466"/>
      <c r="I13" s="467"/>
      <c r="J13" s="467"/>
      <c r="K13" s="1693">
        <f t="shared" si="0"/>
        <v>89231</v>
      </c>
      <c r="L13" s="466">
        <v>89229</v>
      </c>
    </row>
    <row r="14" spans="1:14" x14ac:dyDescent="0.2">
      <c r="A14" s="1526" t="s">
        <v>1020</v>
      </c>
      <c r="B14" s="615">
        <v>1500</v>
      </c>
      <c r="C14" s="466">
        <v>18460</v>
      </c>
      <c r="D14" s="466">
        <v>36</v>
      </c>
      <c r="E14" s="466">
        <v>13266</v>
      </c>
      <c r="F14" s="466">
        <v>28</v>
      </c>
      <c r="G14" s="466"/>
      <c r="H14" s="466"/>
      <c r="I14" s="467"/>
      <c r="J14" s="467"/>
      <c r="K14" s="1693">
        <f t="shared" si="0"/>
        <v>31790</v>
      </c>
      <c r="L14" s="466">
        <v>31791</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v>3126</v>
      </c>
      <c r="D17" s="467">
        <v>11</v>
      </c>
      <c r="E17" s="467">
        <v>56</v>
      </c>
      <c r="F17" s="467">
        <v>724</v>
      </c>
      <c r="G17" s="467"/>
      <c r="H17" s="467"/>
      <c r="I17" s="467"/>
      <c r="J17" s="467"/>
      <c r="K17" s="1693">
        <f t="shared" si="0"/>
        <v>3917</v>
      </c>
      <c r="L17" s="466">
        <v>3917</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714876</v>
      </c>
      <c r="D33" s="1692">
        <f t="shared" ref="D33:L33" si="1">SUM(D5:D32)</f>
        <v>10795</v>
      </c>
      <c r="E33" s="1692">
        <f t="shared" si="1"/>
        <v>24560</v>
      </c>
      <c r="F33" s="1692">
        <f t="shared" si="1"/>
        <v>63594</v>
      </c>
      <c r="G33" s="1692">
        <f t="shared" si="1"/>
        <v>2549</v>
      </c>
      <c r="H33" s="1692">
        <f t="shared" si="1"/>
        <v>0</v>
      </c>
      <c r="I33" s="1692">
        <f t="shared" si="1"/>
        <v>0</v>
      </c>
      <c r="J33" s="1692">
        <f t="shared" si="1"/>
        <v>0</v>
      </c>
      <c r="K33" s="1692">
        <f t="shared" si="1"/>
        <v>816374</v>
      </c>
      <c r="L33" s="1692">
        <f t="shared" si="1"/>
        <v>807757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v>23560</v>
      </c>
      <c r="D37" s="466"/>
      <c r="E37" s="466"/>
      <c r="F37" s="466"/>
      <c r="G37" s="466"/>
      <c r="H37" s="466"/>
      <c r="I37" s="467"/>
      <c r="J37" s="467"/>
      <c r="K37" s="1693">
        <f t="shared" si="2"/>
        <v>23560</v>
      </c>
      <c r="L37" s="466">
        <v>23560</v>
      </c>
    </row>
    <row r="38" spans="1:14" x14ac:dyDescent="0.2">
      <c r="A38" s="1526" t="s">
        <v>207</v>
      </c>
      <c r="B38" s="615">
        <v>2130</v>
      </c>
      <c r="C38" s="466">
        <v>13191</v>
      </c>
      <c r="D38" s="466"/>
      <c r="E38" s="466">
        <v>25</v>
      </c>
      <c r="F38" s="466">
        <v>92</v>
      </c>
      <c r="G38" s="466"/>
      <c r="H38" s="466"/>
      <c r="I38" s="467"/>
      <c r="J38" s="467"/>
      <c r="K38" s="1693">
        <f t="shared" si="2"/>
        <v>13308</v>
      </c>
      <c r="L38" s="466">
        <v>13308</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c r="D40" s="466"/>
      <c r="E40" s="466"/>
      <c r="F40" s="466">
        <v>125</v>
      </c>
      <c r="G40" s="466"/>
      <c r="H40" s="466"/>
      <c r="I40" s="467"/>
      <c r="J40" s="467"/>
      <c r="K40" s="1693">
        <f t="shared" si="2"/>
        <v>125</v>
      </c>
      <c r="L40" s="466">
        <v>125</v>
      </c>
    </row>
    <row r="41" spans="1:14" x14ac:dyDescent="0.2">
      <c r="A41" s="1526" t="s">
        <v>1768</v>
      </c>
      <c r="B41" s="615">
        <v>2190</v>
      </c>
      <c r="C41" s="466"/>
      <c r="D41" s="466"/>
      <c r="E41" s="466"/>
      <c r="F41" s="466">
        <v>50</v>
      </c>
      <c r="G41" s="466"/>
      <c r="H41" s="466"/>
      <c r="I41" s="467"/>
      <c r="J41" s="467"/>
      <c r="K41" s="1693">
        <f t="shared" si="2"/>
        <v>50</v>
      </c>
      <c r="L41" s="466">
        <v>50</v>
      </c>
    </row>
    <row r="42" spans="1:14" ht="12.75" customHeight="1" thickBot="1" x14ac:dyDescent="0.25">
      <c r="A42" s="1690" t="s">
        <v>581</v>
      </c>
      <c r="B42" s="1691" t="s">
        <v>740</v>
      </c>
      <c r="C42" s="1692">
        <f>SUM(C36:C41)</f>
        <v>36751</v>
      </c>
      <c r="D42" s="1692">
        <f t="shared" ref="D42:L42" si="3">SUM(D36:D41)</f>
        <v>0</v>
      </c>
      <c r="E42" s="1692">
        <f t="shared" si="3"/>
        <v>25</v>
      </c>
      <c r="F42" s="1692">
        <f t="shared" si="3"/>
        <v>267</v>
      </c>
      <c r="G42" s="1692">
        <f t="shared" si="3"/>
        <v>0</v>
      </c>
      <c r="H42" s="1692">
        <f t="shared" si="3"/>
        <v>0</v>
      </c>
      <c r="I42" s="1692">
        <f t="shared" si="3"/>
        <v>0</v>
      </c>
      <c r="J42" s="1692">
        <f t="shared" si="3"/>
        <v>0</v>
      </c>
      <c r="K42" s="1692">
        <f t="shared" si="3"/>
        <v>37043</v>
      </c>
      <c r="L42" s="1692">
        <f t="shared" si="3"/>
        <v>37043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v>600</v>
      </c>
      <c r="E44" s="481">
        <v>3650</v>
      </c>
      <c r="F44" s="481"/>
      <c r="G44" s="481"/>
      <c r="H44" s="481"/>
      <c r="I44" s="467"/>
      <c r="J44" s="467"/>
      <c r="K44" s="1694">
        <f>SUM(C44:J44)</f>
        <v>4250</v>
      </c>
      <c r="L44" s="481">
        <v>4250</v>
      </c>
    </row>
    <row r="45" spans="1:14" x14ac:dyDescent="0.2">
      <c r="A45" s="1526" t="s">
        <v>869</v>
      </c>
      <c r="B45" s="615">
        <v>2220</v>
      </c>
      <c r="C45" s="466"/>
      <c r="D45" s="466"/>
      <c r="E45" s="466"/>
      <c r="F45" s="466">
        <v>257</v>
      </c>
      <c r="G45" s="466"/>
      <c r="H45" s="466"/>
      <c r="I45" s="467"/>
      <c r="J45" s="467"/>
      <c r="K45" s="1694">
        <f>SUM(C45:J45)</f>
        <v>257</v>
      </c>
      <c r="L45" s="466">
        <v>257</v>
      </c>
    </row>
    <row r="46" spans="1:14" x14ac:dyDescent="0.2">
      <c r="A46" s="1526" t="s">
        <v>870</v>
      </c>
      <c r="B46" s="615">
        <v>2230</v>
      </c>
      <c r="C46" s="466"/>
      <c r="D46" s="466"/>
      <c r="E46" s="466"/>
      <c r="F46" s="466"/>
      <c r="G46" s="466"/>
      <c r="H46" s="466"/>
      <c r="I46" s="467"/>
      <c r="J46" s="467"/>
      <c r="K46" s="1694">
        <f>SUM(C46:J46)</f>
        <v>0</v>
      </c>
      <c r="L46" s="466">
        <v>0</v>
      </c>
    </row>
    <row r="47" spans="1:14" ht="12.75" customHeight="1" thickBot="1" x14ac:dyDescent="0.25">
      <c r="A47" s="1690" t="s">
        <v>582</v>
      </c>
      <c r="B47" s="1691" t="s">
        <v>32</v>
      </c>
      <c r="C47" s="1692">
        <f>SUM(C44:C46)</f>
        <v>0</v>
      </c>
      <c r="D47" s="1692">
        <f t="shared" ref="D47:K47" si="4">SUM(D44:D46)</f>
        <v>600</v>
      </c>
      <c r="E47" s="1692">
        <f t="shared" si="4"/>
        <v>3650</v>
      </c>
      <c r="F47" s="1692">
        <f t="shared" si="4"/>
        <v>257</v>
      </c>
      <c r="G47" s="1692">
        <f t="shared" si="4"/>
        <v>0</v>
      </c>
      <c r="H47" s="1692">
        <f t="shared" si="4"/>
        <v>0</v>
      </c>
      <c r="I47" s="1692">
        <f t="shared" si="4"/>
        <v>0</v>
      </c>
      <c r="J47" s="1692">
        <f t="shared" si="4"/>
        <v>0</v>
      </c>
      <c r="K47" s="1692">
        <f t="shared" si="4"/>
        <v>4507</v>
      </c>
      <c r="L47" s="1692">
        <f>SUM(L44:L46)</f>
        <v>4507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13694</v>
      </c>
      <c r="F49" s="481">
        <v>823</v>
      </c>
      <c r="G49" s="481"/>
      <c r="H49" s="481"/>
      <c r="I49" s="467"/>
      <c r="J49" s="467"/>
      <c r="K49" s="1694">
        <f>SUM(C49:J49)</f>
        <v>14517</v>
      </c>
      <c r="L49" s="481">
        <v>14517</v>
      </c>
    </row>
    <row r="50" spans="1:14" x14ac:dyDescent="0.2">
      <c r="A50" s="1526" t="s">
        <v>872</v>
      </c>
      <c r="B50" s="615">
        <v>2320</v>
      </c>
      <c r="C50" s="466">
        <v>61748</v>
      </c>
      <c r="D50" s="466">
        <v>689</v>
      </c>
      <c r="E50" s="466">
        <v>697</v>
      </c>
      <c r="F50" s="466">
        <v>1686</v>
      </c>
      <c r="G50" s="466"/>
      <c r="H50" s="466"/>
      <c r="I50" s="467"/>
      <c r="J50" s="467"/>
      <c r="K50" s="1694">
        <f>SUM(C50:J50)</f>
        <v>64820</v>
      </c>
      <c r="L50" s="466">
        <v>64820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61748</v>
      </c>
      <c r="D53" s="1692">
        <f t="shared" ref="D53:L53" si="5">SUM(D49:D52)</f>
        <v>689</v>
      </c>
      <c r="E53" s="1692">
        <f t="shared" si="5"/>
        <v>14391</v>
      </c>
      <c r="F53" s="1692">
        <f t="shared" si="5"/>
        <v>2509</v>
      </c>
      <c r="G53" s="1692">
        <f t="shared" si="5"/>
        <v>0</v>
      </c>
      <c r="H53" s="1692">
        <f t="shared" si="5"/>
        <v>0</v>
      </c>
      <c r="I53" s="1692">
        <f t="shared" si="5"/>
        <v>0</v>
      </c>
      <c r="J53" s="1692">
        <f t="shared" si="5"/>
        <v>0</v>
      </c>
      <c r="K53" s="1692">
        <f t="shared" si="5"/>
        <v>79337</v>
      </c>
      <c r="L53" s="1692">
        <f t="shared" si="5"/>
        <v>79337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81911</v>
      </c>
      <c r="D55" s="481">
        <v>1090</v>
      </c>
      <c r="E55" s="481"/>
      <c r="F55" s="481">
        <v>4876</v>
      </c>
      <c r="G55" s="481"/>
      <c r="H55" s="481"/>
      <c r="I55" s="467"/>
      <c r="J55" s="467"/>
      <c r="K55" s="1694">
        <f>SUM(C55:J55)</f>
        <v>87877</v>
      </c>
      <c r="L55" s="481">
        <v>87876</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81911</v>
      </c>
      <c r="D57" s="1696">
        <f t="shared" ref="D57:K57" si="6">SUM(D55:D56)</f>
        <v>1090</v>
      </c>
      <c r="E57" s="1696">
        <f t="shared" si="6"/>
        <v>0</v>
      </c>
      <c r="F57" s="1696">
        <f t="shared" si="6"/>
        <v>4876</v>
      </c>
      <c r="G57" s="1696">
        <f t="shared" si="6"/>
        <v>0</v>
      </c>
      <c r="H57" s="1696">
        <f t="shared" si="6"/>
        <v>0</v>
      </c>
      <c r="I57" s="1696">
        <f t="shared" si="6"/>
        <v>0</v>
      </c>
      <c r="J57" s="1696">
        <f t="shared" si="6"/>
        <v>0</v>
      </c>
      <c r="K57" s="1696">
        <f t="shared" si="6"/>
        <v>87877</v>
      </c>
      <c r="L57" s="1692">
        <f>SUM(L55:L56)</f>
        <v>87876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19516</v>
      </c>
      <c r="D60" s="466"/>
      <c r="E60" s="466">
        <v>1824</v>
      </c>
      <c r="F60" s="466">
        <v>766</v>
      </c>
      <c r="G60" s="466"/>
      <c r="H60" s="466"/>
      <c r="I60" s="467"/>
      <c r="J60" s="467"/>
      <c r="K60" s="1694">
        <f t="shared" si="7"/>
        <v>22106</v>
      </c>
      <c r="L60" s="466">
        <v>22106</v>
      </c>
      <c r="M60" s="610"/>
      <c r="N60" s="610"/>
    </row>
    <row r="61" spans="1:14" s="343" customFormat="1" x14ac:dyDescent="0.2">
      <c r="A61" s="1526" t="s">
        <v>206</v>
      </c>
      <c r="B61" s="615">
        <v>2540</v>
      </c>
      <c r="C61" s="466"/>
      <c r="D61" s="466"/>
      <c r="E61" s="466">
        <v>28495</v>
      </c>
      <c r="F61" s="466">
        <v>1142</v>
      </c>
      <c r="G61" s="466"/>
      <c r="H61" s="466"/>
      <c r="I61" s="467"/>
      <c r="J61" s="467"/>
      <c r="K61" s="1694">
        <f t="shared" si="7"/>
        <v>29637</v>
      </c>
      <c r="L61" s="466">
        <v>29637</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58925</v>
      </c>
      <c r="D63" s="466"/>
      <c r="E63" s="466">
        <v>6809</v>
      </c>
      <c r="F63" s="466">
        <v>43793</v>
      </c>
      <c r="G63" s="466"/>
      <c r="H63" s="466"/>
      <c r="I63" s="467"/>
      <c r="J63" s="467"/>
      <c r="K63" s="1694">
        <f t="shared" si="7"/>
        <v>109527</v>
      </c>
      <c r="L63" s="466">
        <v>109527</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78441</v>
      </c>
      <c r="D65" s="1692">
        <f t="shared" ref="D65:L65" si="8">SUM(D59:D64)</f>
        <v>0</v>
      </c>
      <c r="E65" s="1692">
        <f t="shared" si="8"/>
        <v>37128</v>
      </c>
      <c r="F65" s="1692">
        <f t="shared" si="8"/>
        <v>45701</v>
      </c>
      <c r="G65" s="1692">
        <f t="shared" si="8"/>
        <v>0</v>
      </c>
      <c r="H65" s="1692">
        <f t="shared" si="8"/>
        <v>0</v>
      </c>
      <c r="I65" s="1692">
        <f t="shared" si="8"/>
        <v>0</v>
      </c>
      <c r="J65" s="1692">
        <f t="shared" si="8"/>
        <v>0</v>
      </c>
      <c r="K65" s="1692">
        <f t="shared" si="8"/>
        <v>161270</v>
      </c>
      <c r="L65" s="1692">
        <f t="shared" si="8"/>
        <v>161270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2842</v>
      </c>
      <c r="D67" s="466">
        <v>41</v>
      </c>
      <c r="E67" s="466"/>
      <c r="F67" s="466"/>
      <c r="G67" s="466"/>
      <c r="H67" s="466"/>
      <c r="I67" s="467"/>
      <c r="J67" s="467"/>
      <c r="K67" s="1694">
        <f>SUM(C67:J67)</f>
        <v>2883</v>
      </c>
      <c r="L67" s="481">
        <v>2883</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2842</v>
      </c>
      <c r="D72" s="1692">
        <f t="shared" ref="D72:K72" si="9">SUM(D67:D71)</f>
        <v>41</v>
      </c>
      <c r="E72" s="1692">
        <f t="shared" si="9"/>
        <v>0</v>
      </c>
      <c r="F72" s="1692">
        <f t="shared" si="9"/>
        <v>0</v>
      </c>
      <c r="G72" s="1692">
        <f t="shared" si="9"/>
        <v>0</v>
      </c>
      <c r="H72" s="1692">
        <f t="shared" si="9"/>
        <v>0</v>
      </c>
      <c r="I72" s="1692">
        <f t="shared" si="9"/>
        <v>0</v>
      </c>
      <c r="J72" s="1692">
        <f t="shared" si="9"/>
        <v>0</v>
      </c>
      <c r="K72" s="1692">
        <f t="shared" si="9"/>
        <v>2883</v>
      </c>
      <c r="L72" s="1692">
        <f>SUM(L67:L71)</f>
        <v>2883</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261693</v>
      </c>
      <c r="D74" s="1699">
        <f t="shared" ref="D74:K74" si="10">SUM(D42,D47,D53,D57,D65,D72,D73)</f>
        <v>2420</v>
      </c>
      <c r="E74" s="1699">
        <f t="shared" si="10"/>
        <v>55194</v>
      </c>
      <c r="F74" s="1699">
        <f t="shared" si="10"/>
        <v>53610</v>
      </c>
      <c r="G74" s="1699">
        <f t="shared" si="10"/>
        <v>0</v>
      </c>
      <c r="H74" s="1699">
        <f t="shared" si="10"/>
        <v>0</v>
      </c>
      <c r="I74" s="1699">
        <f t="shared" si="10"/>
        <v>0</v>
      </c>
      <c r="J74" s="1699">
        <f t="shared" si="10"/>
        <v>0</v>
      </c>
      <c r="K74" s="1699">
        <f t="shared" si="10"/>
        <v>372917</v>
      </c>
      <c r="L74" s="1699">
        <f>SUM(L42,L47,L53,L57,L65,L72,L73)</f>
        <v>372916</v>
      </c>
    </row>
    <row r="75" spans="1:14" s="259" customFormat="1" ht="15.75" customHeight="1" thickTop="1" thickBot="1" x14ac:dyDescent="0.25">
      <c r="A75" s="1632" t="s">
        <v>49</v>
      </c>
      <c r="B75" s="1633" t="s">
        <v>596</v>
      </c>
      <c r="C75" s="573">
        <v>4145</v>
      </c>
      <c r="D75" s="573">
        <v>231</v>
      </c>
      <c r="E75" s="573">
        <v>2343</v>
      </c>
      <c r="F75" s="573">
        <v>900</v>
      </c>
      <c r="G75" s="573"/>
      <c r="H75" s="573"/>
      <c r="I75" s="531"/>
      <c r="J75" s="531"/>
      <c r="K75" s="1692">
        <f>SUM(C75:J75)</f>
        <v>7619</v>
      </c>
      <c r="L75" s="576">
        <v>7619</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55429</v>
      </c>
      <c r="F79" s="617"/>
      <c r="G79" s="617"/>
      <c r="H79" s="466"/>
      <c r="I79" s="477"/>
      <c r="J79" s="477"/>
      <c r="K79" s="1693">
        <f t="shared" si="11"/>
        <v>55429</v>
      </c>
      <c r="L79" s="466">
        <v>55429</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55429</v>
      </c>
      <c r="F84" s="617"/>
      <c r="G84" s="617"/>
      <c r="H84" s="1692">
        <f>SUM(H78:H83)</f>
        <v>0</v>
      </c>
      <c r="I84" s="477"/>
      <c r="J84" s="477"/>
      <c r="K84" s="1692">
        <f>SUM(K78:K83)</f>
        <v>55429</v>
      </c>
      <c r="L84" s="1692">
        <f>SUM(L78:L83)</f>
        <v>55429</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55429</v>
      </c>
      <c r="F102" s="617"/>
      <c r="G102" s="617"/>
      <c r="H102" s="1699">
        <f>SUM(H84,H92,H100,H101)</f>
        <v>0</v>
      </c>
      <c r="I102" s="477"/>
      <c r="J102" s="477"/>
      <c r="K102" s="1699">
        <f>SUM(K84,K92,K100,K101)</f>
        <v>55429</v>
      </c>
      <c r="L102" s="1699">
        <f>SUM(L84,L92,L100,L101)</f>
        <v>55429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980714</v>
      </c>
      <c r="D114" s="1692">
        <f t="shared" ref="D114:K114" si="13">SUM(D33,D74,D75,D102,D112,D113)</f>
        <v>13446</v>
      </c>
      <c r="E114" s="1692">
        <f t="shared" si="13"/>
        <v>137526</v>
      </c>
      <c r="F114" s="1692">
        <f t="shared" si="13"/>
        <v>118104</v>
      </c>
      <c r="G114" s="1692">
        <f t="shared" si="13"/>
        <v>2549</v>
      </c>
      <c r="H114" s="1692">
        <f>SUM(H33,H74,H75,H102,H112,H113)</f>
        <v>0</v>
      </c>
      <c r="I114" s="1692">
        <f t="shared" si="13"/>
        <v>0</v>
      </c>
      <c r="J114" s="1692">
        <f t="shared" si="13"/>
        <v>0</v>
      </c>
      <c r="K114" s="1692">
        <f t="shared" si="13"/>
        <v>1252339</v>
      </c>
      <c r="L114" s="1692">
        <f>SUM(L33,L74,L75,L102,L112,L113)</f>
        <v>1243721</v>
      </c>
    </row>
    <row r="115" spans="1:14" ht="13.5" thickTop="1" x14ac:dyDescent="0.2">
      <c r="A115" s="2175" t="s">
        <v>1053</v>
      </c>
      <c r="B115" s="2176"/>
      <c r="C115" s="619"/>
      <c r="D115" s="619"/>
      <c r="E115" s="619"/>
      <c r="F115" s="619"/>
      <c r="G115" s="619"/>
      <c r="H115" s="619"/>
      <c r="I115" s="619"/>
      <c r="J115" s="619"/>
      <c r="K115" s="1706">
        <f>'Revenues 9-14'!C275-'Expenditures 15-22'!K114</f>
        <v>-29534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44480</v>
      </c>
      <c r="D124" s="466"/>
      <c r="E124" s="466">
        <v>23804</v>
      </c>
      <c r="F124" s="466">
        <v>55815</v>
      </c>
      <c r="G124" s="466">
        <v>17106</v>
      </c>
      <c r="H124" s="466"/>
      <c r="I124" s="467"/>
      <c r="J124" s="467"/>
      <c r="K124" s="1692">
        <f>SUM(C124:J124)</f>
        <v>141205</v>
      </c>
      <c r="L124" s="466">
        <v>141204</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44480</v>
      </c>
      <c r="D127" s="1692">
        <f t="shared" ref="D127:L127" si="14">SUM(D122:D126)</f>
        <v>0</v>
      </c>
      <c r="E127" s="1692">
        <f t="shared" si="14"/>
        <v>23804</v>
      </c>
      <c r="F127" s="1692">
        <f t="shared" si="14"/>
        <v>55815</v>
      </c>
      <c r="G127" s="1692">
        <f t="shared" si="14"/>
        <v>17106</v>
      </c>
      <c r="H127" s="1692">
        <f t="shared" si="14"/>
        <v>0</v>
      </c>
      <c r="I127" s="1692">
        <f t="shared" si="14"/>
        <v>0</v>
      </c>
      <c r="J127" s="1692">
        <f t="shared" si="14"/>
        <v>0</v>
      </c>
      <c r="K127" s="1692">
        <f t="shared" si="14"/>
        <v>141205</v>
      </c>
      <c r="L127" s="1692">
        <f t="shared" si="14"/>
        <v>141204</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44480</v>
      </c>
      <c r="D129" s="1699">
        <f t="shared" ref="D129:L129" si="15">SUM(D120,D127,D128)</f>
        <v>0</v>
      </c>
      <c r="E129" s="1699">
        <f t="shared" si="15"/>
        <v>23804</v>
      </c>
      <c r="F129" s="1699">
        <f t="shared" si="15"/>
        <v>55815</v>
      </c>
      <c r="G129" s="1699">
        <f t="shared" si="15"/>
        <v>17106</v>
      </c>
      <c r="H129" s="1699">
        <f t="shared" si="15"/>
        <v>0</v>
      </c>
      <c r="I129" s="1699">
        <f t="shared" si="15"/>
        <v>0</v>
      </c>
      <c r="J129" s="1699">
        <f t="shared" si="15"/>
        <v>0</v>
      </c>
      <c r="K129" s="1699">
        <f t="shared" si="15"/>
        <v>141205</v>
      </c>
      <c r="L129" s="1699">
        <f t="shared" si="15"/>
        <v>141204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2" t="s">
        <v>641</v>
      </c>
      <c r="B151" s="2172"/>
      <c r="C151" s="1692">
        <f>SUM(C129,C130,C139,C149,C150)</f>
        <v>44480</v>
      </c>
      <c r="D151" s="1692">
        <f t="shared" ref="D151:K151" si="16">SUM(D129,D130,D139,D149,D150)</f>
        <v>0</v>
      </c>
      <c r="E151" s="1692">
        <f t="shared" si="16"/>
        <v>23804</v>
      </c>
      <c r="F151" s="1692">
        <f t="shared" si="16"/>
        <v>55815</v>
      </c>
      <c r="G151" s="1692">
        <f t="shared" si="16"/>
        <v>17106</v>
      </c>
      <c r="H151" s="1692">
        <f t="shared" si="16"/>
        <v>0</v>
      </c>
      <c r="I151" s="1692">
        <f t="shared" si="16"/>
        <v>0</v>
      </c>
      <c r="J151" s="1692">
        <f t="shared" si="16"/>
        <v>0</v>
      </c>
      <c r="K151" s="1692">
        <f t="shared" si="16"/>
        <v>141205</v>
      </c>
      <c r="L151" s="1692">
        <f>SUM(L129,L130,L139,L149,L150)</f>
        <v>141204</v>
      </c>
    </row>
    <row r="152" spans="1:14" ht="12.75" customHeight="1" thickTop="1" x14ac:dyDescent="0.2">
      <c r="A152" s="2195" t="s">
        <v>1240</v>
      </c>
      <c r="B152" s="2196"/>
      <c r="C152" s="619"/>
      <c r="D152" s="619"/>
      <c r="E152" s="619"/>
      <c r="F152" s="619"/>
      <c r="G152" s="619"/>
      <c r="H152" s="619"/>
      <c r="I152" s="619"/>
      <c r="J152" s="617"/>
      <c r="K152" s="1706">
        <f>'Revenues 9-14'!D275-'Expenditures 15-22'!K151</f>
        <v>12951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v>0</v>
      </c>
    </row>
    <row r="170" spans="1:14" ht="33.75" customHeight="1" x14ac:dyDescent="0.2">
      <c r="A170" s="670" t="s">
        <v>1769</v>
      </c>
      <c r="B170" s="672" t="s">
        <v>31</v>
      </c>
      <c r="C170" s="617"/>
      <c r="D170" s="617"/>
      <c r="E170" s="617"/>
      <c r="F170" s="617"/>
      <c r="G170" s="617"/>
      <c r="H170" s="569"/>
      <c r="I170" s="617"/>
      <c r="J170" s="617"/>
      <c r="K170" s="1693">
        <f>SUM(C170:J170)</f>
        <v>0</v>
      </c>
      <c r="L170" s="569">
        <v>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5" t="s">
        <v>1053</v>
      </c>
      <c r="B175" s="2176"/>
      <c r="C175" s="617"/>
      <c r="D175" s="617"/>
      <c r="E175" s="617"/>
      <c r="F175" s="617"/>
      <c r="G175" s="617"/>
      <c r="H175" s="619"/>
      <c r="I175" s="617"/>
      <c r="J175" s="617"/>
      <c r="K175" s="1706">
        <f>'Revenues 9-14'!E275-'Expenditures 15-22'!K174</f>
        <v>73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55257</v>
      </c>
      <c r="D182" s="466">
        <v>83</v>
      </c>
      <c r="E182" s="466">
        <v>49783</v>
      </c>
      <c r="F182" s="466">
        <v>12494</v>
      </c>
      <c r="G182" s="466"/>
      <c r="H182" s="466"/>
      <c r="I182" s="467"/>
      <c r="J182" s="467"/>
      <c r="K182" s="1693">
        <f>SUM(C182:J182)</f>
        <v>117617</v>
      </c>
      <c r="L182" s="466">
        <v>117620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55257</v>
      </c>
      <c r="D184" s="1699">
        <f t="shared" ref="D184:J184" si="17">SUM(D180,D182,D183)</f>
        <v>83</v>
      </c>
      <c r="E184" s="1699">
        <f t="shared" si="17"/>
        <v>49783</v>
      </c>
      <c r="F184" s="1699">
        <f t="shared" si="17"/>
        <v>12494</v>
      </c>
      <c r="G184" s="1699">
        <f t="shared" si="17"/>
        <v>0</v>
      </c>
      <c r="H184" s="1699">
        <f t="shared" si="17"/>
        <v>0</v>
      </c>
      <c r="I184" s="1699">
        <f t="shared" si="17"/>
        <v>0</v>
      </c>
      <c r="J184" s="1699">
        <f t="shared" si="17"/>
        <v>0</v>
      </c>
      <c r="K184" s="1699">
        <f>SUM(K180,K182,K183)</f>
        <v>117617</v>
      </c>
      <c r="L184" s="1699">
        <f>SUM(L180, L182:L183)</f>
        <v>117620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55257</v>
      </c>
      <c r="D210" s="1692">
        <f>SUM(D184,D185)</f>
        <v>83</v>
      </c>
      <c r="E210" s="1692">
        <f>SUM(E184,E185,E196)</f>
        <v>49783</v>
      </c>
      <c r="F210" s="1692">
        <f>SUM(F184,F185)</f>
        <v>12494</v>
      </c>
      <c r="G210" s="1692">
        <f>SUM(G184,G185)</f>
        <v>0</v>
      </c>
      <c r="H210" s="1692">
        <f>SUM(H184,H185,H196,H208,H209)</f>
        <v>0</v>
      </c>
      <c r="I210" s="1692">
        <f>SUM(I184,I185)</f>
        <v>0</v>
      </c>
      <c r="J210" s="1692">
        <f>SUM(J184,J185)</f>
        <v>0</v>
      </c>
      <c r="K210" s="1693">
        <f>SUM(K184,K185,K196,K208,K209)</f>
        <v>117617</v>
      </c>
      <c r="L210" s="1692">
        <f>SUM(L184,L185,L196,L208,L209)</f>
        <v>117620</v>
      </c>
    </row>
    <row r="211" spans="1:14" ht="13.5" thickTop="1" x14ac:dyDescent="0.2">
      <c r="A211" s="2175" t="s">
        <v>1053</v>
      </c>
      <c r="B211" s="2176"/>
      <c r="C211" s="619"/>
      <c r="D211" s="619"/>
      <c r="E211" s="619"/>
      <c r="F211" s="619"/>
      <c r="G211" s="619"/>
      <c r="H211" s="619"/>
      <c r="I211" s="617"/>
      <c r="J211" s="617"/>
      <c r="K211" s="1706">
        <f>'Revenues 9-14'!F275-'Expenditures 15-22'!K210</f>
        <v>7756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11777</v>
      </c>
      <c r="E215" s="617"/>
      <c r="F215" s="617"/>
      <c r="G215" s="617"/>
      <c r="H215" s="617"/>
      <c r="I215" s="617"/>
      <c r="J215" s="617"/>
      <c r="K215" s="1693">
        <f>D215</f>
        <v>11777</v>
      </c>
      <c r="L215" s="466">
        <v>11778</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5097</v>
      </c>
      <c r="E217" s="617"/>
      <c r="F217" s="617"/>
      <c r="G217" s="617"/>
      <c r="H217" s="617"/>
      <c r="I217" s="617"/>
      <c r="J217" s="617"/>
      <c r="K217" s="1693">
        <f t="shared" si="19"/>
        <v>5097</v>
      </c>
      <c r="L217" s="466">
        <v>5098</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v>107</v>
      </c>
      <c r="E219" s="617"/>
      <c r="F219" s="617"/>
      <c r="G219" s="617"/>
      <c r="H219" s="617"/>
      <c r="I219" s="617"/>
      <c r="J219" s="617"/>
      <c r="K219" s="1693">
        <f t="shared" si="19"/>
        <v>107</v>
      </c>
      <c r="L219" s="466">
        <v>104</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1185</v>
      </c>
      <c r="E222" s="617"/>
      <c r="F222" s="617"/>
      <c r="G222" s="617"/>
      <c r="H222" s="617"/>
      <c r="I222" s="617"/>
      <c r="J222" s="617"/>
      <c r="K222" s="1693">
        <f t="shared" si="19"/>
        <v>1185</v>
      </c>
      <c r="L222" s="466">
        <v>1185</v>
      </c>
    </row>
    <row r="223" spans="1:14" x14ac:dyDescent="0.2">
      <c r="A223" s="1526" t="s">
        <v>1020</v>
      </c>
      <c r="B223" s="615">
        <v>1500</v>
      </c>
      <c r="C223" s="617"/>
      <c r="D223" s="466">
        <v>1688</v>
      </c>
      <c r="E223" s="617"/>
      <c r="F223" s="617"/>
      <c r="G223" s="617"/>
      <c r="H223" s="617"/>
      <c r="I223" s="617"/>
      <c r="J223" s="617"/>
      <c r="K223" s="1693">
        <f t="shared" si="19"/>
        <v>1688</v>
      </c>
      <c r="L223" s="466">
        <v>1688</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v>164</v>
      </c>
      <c r="E226" s="617"/>
      <c r="F226" s="617"/>
      <c r="G226" s="617"/>
      <c r="H226" s="617"/>
      <c r="I226" s="617"/>
      <c r="J226" s="617"/>
      <c r="K226" s="1693">
        <f t="shared" si="19"/>
        <v>164</v>
      </c>
      <c r="L226" s="466">
        <v>164</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20018</v>
      </c>
      <c r="E229" s="617"/>
      <c r="F229" s="617"/>
      <c r="G229" s="617"/>
      <c r="H229" s="617"/>
      <c r="I229" s="617"/>
      <c r="J229" s="617"/>
      <c r="K229" s="1692">
        <f>SUM(K215:K228)</f>
        <v>20018</v>
      </c>
      <c r="L229" s="1692">
        <f>SUM(L215:L228)</f>
        <v>20017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v>342</v>
      </c>
      <c r="E233" s="617"/>
      <c r="F233" s="617"/>
      <c r="G233" s="617"/>
      <c r="H233" s="617"/>
      <c r="I233" s="617"/>
      <c r="J233" s="617"/>
      <c r="K233" s="1693">
        <f t="shared" si="20"/>
        <v>342</v>
      </c>
      <c r="L233" s="466">
        <v>342</v>
      </c>
    </row>
    <row r="234" spans="1:12" x14ac:dyDescent="0.2">
      <c r="A234" s="1526" t="s">
        <v>207</v>
      </c>
      <c r="B234" s="615">
        <v>2130</v>
      </c>
      <c r="C234" s="617"/>
      <c r="D234" s="466">
        <v>1009</v>
      </c>
      <c r="E234" s="617"/>
      <c r="F234" s="617"/>
      <c r="G234" s="617"/>
      <c r="H234" s="617"/>
      <c r="I234" s="617"/>
      <c r="J234" s="617"/>
      <c r="K234" s="1693">
        <f t="shared" si="20"/>
        <v>1009</v>
      </c>
      <c r="L234" s="466">
        <v>1009</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1351</v>
      </c>
      <c r="E238" s="617"/>
      <c r="F238" s="617"/>
      <c r="G238" s="617"/>
      <c r="H238" s="617"/>
      <c r="I238" s="617"/>
      <c r="J238" s="617"/>
      <c r="K238" s="1692">
        <f>SUM(K232:K237)</f>
        <v>1351</v>
      </c>
      <c r="L238" s="1692">
        <f>SUM(L232:L237)</f>
        <v>1351</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92</v>
      </c>
      <c r="E245" s="617"/>
      <c r="F245" s="617"/>
      <c r="G245" s="617"/>
      <c r="H245" s="617"/>
      <c r="I245" s="617"/>
      <c r="J245" s="617"/>
      <c r="K245" s="1694">
        <f>D245</f>
        <v>92</v>
      </c>
      <c r="L245" s="481">
        <v>92</v>
      </c>
    </row>
    <row r="246" spans="1:12" x14ac:dyDescent="0.2">
      <c r="A246" s="1526" t="s">
        <v>872</v>
      </c>
      <c r="B246" s="615">
        <v>2320</v>
      </c>
      <c r="C246" s="617"/>
      <c r="D246" s="466">
        <v>3108</v>
      </c>
      <c r="E246" s="617"/>
      <c r="F246" s="617"/>
      <c r="G246" s="617"/>
      <c r="H246" s="617"/>
      <c r="I246" s="617"/>
      <c r="J246" s="617"/>
      <c r="K246" s="1694">
        <f t="shared" ref="K246:K256" si="21">D246</f>
        <v>3108</v>
      </c>
      <c r="L246" s="466">
        <v>3108</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3200</v>
      </c>
      <c r="E257" s="617"/>
      <c r="F257" s="617"/>
      <c r="G257" s="617"/>
      <c r="H257" s="617"/>
      <c r="I257" s="617"/>
      <c r="J257" s="617"/>
      <c r="K257" s="1692">
        <f>SUM(K245:K256)</f>
        <v>3200</v>
      </c>
      <c r="L257" s="1692">
        <f>SUM(L245:L256)</f>
        <v>3200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2313</v>
      </c>
      <c r="E259" s="617"/>
      <c r="F259" s="617"/>
      <c r="G259" s="617"/>
      <c r="H259" s="617"/>
      <c r="I259" s="617"/>
      <c r="J259" s="617"/>
      <c r="K259" s="1694">
        <f>D259</f>
        <v>2313</v>
      </c>
      <c r="L259" s="481">
        <v>2313</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2313</v>
      </c>
      <c r="E261" s="617"/>
      <c r="F261" s="617"/>
      <c r="G261" s="617"/>
      <c r="H261" s="617"/>
      <c r="I261" s="617"/>
      <c r="J261" s="617"/>
      <c r="K261" s="1692">
        <f>SUM(K259:K260)</f>
        <v>2313</v>
      </c>
      <c r="L261" s="1692">
        <f>SUM(L259:L260)</f>
        <v>2313</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3250</v>
      </c>
      <c r="E264" s="617"/>
      <c r="F264" s="617"/>
      <c r="G264" s="617"/>
      <c r="H264" s="617"/>
      <c r="I264" s="617"/>
      <c r="J264" s="617"/>
      <c r="K264" s="1694">
        <f t="shared" ref="K264:K269" si="22">D264</f>
        <v>3250</v>
      </c>
      <c r="L264" s="466">
        <v>3250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5798</v>
      </c>
      <c r="E266" s="617"/>
      <c r="F266" s="617"/>
      <c r="G266" s="617"/>
      <c r="H266" s="617"/>
      <c r="I266" s="617"/>
      <c r="J266" s="617"/>
      <c r="K266" s="1694">
        <f t="shared" si="22"/>
        <v>5798</v>
      </c>
      <c r="L266" s="466">
        <v>5798</v>
      </c>
    </row>
    <row r="267" spans="1:14" x14ac:dyDescent="0.2">
      <c r="A267" s="1526" t="s">
        <v>1010</v>
      </c>
      <c r="B267" s="615">
        <v>2550</v>
      </c>
      <c r="C267" s="617"/>
      <c r="D267" s="466">
        <v>5458</v>
      </c>
      <c r="E267" s="617"/>
      <c r="F267" s="617"/>
      <c r="G267" s="617"/>
      <c r="H267" s="617"/>
      <c r="I267" s="617"/>
      <c r="J267" s="617"/>
      <c r="K267" s="1694">
        <f t="shared" si="22"/>
        <v>5458</v>
      </c>
      <c r="L267" s="466">
        <v>5458</v>
      </c>
    </row>
    <row r="268" spans="1:14" x14ac:dyDescent="0.2">
      <c r="A268" s="1526" t="s">
        <v>102</v>
      </c>
      <c r="B268" s="615">
        <v>2560</v>
      </c>
      <c r="C268" s="617"/>
      <c r="D268" s="466">
        <v>9656</v>
      </c>
      <c r="E268" s="617"/>
      <c r="F268" s="617"/>
      <c r="G268" s="617"/>
      <c r="H268" s="617"/>
      <c r="I268" s="617"/>
      <c r="J268" s="617"/>
      <c r="K268" s="1694">
        <f t="shared" si="22"/>
        <v>9656</v>
      </c>
      <c r="L268" s="466">
        <v>9656</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24162</v>
      </c>
      <c r="E270" s="617"/>
      <c r="F270" s="617"/>
      <c r="G270" s="617"/>
      <c r="H270" s="617"/>
      <c r="I270" s="617"/>
      <c r="J270" s="617"/>
      <c r="K270" s="1692">
        <f>SUM(K263:K269)</f>
        <v>24162</v>
      </c>
      <c r="L270" s="1692">
        <f>SUM(L263:L269)</f>
        <v>24162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41</v>
      </c>
      <c r="E272" s="617"/>
      <c r="F272" s="617"/>
      <c r="G272" s="617"/>
      <c r="H272" s="617"/>
      <c r="I272" s="617"/>
      <c r="J272" s="617"/>
      <c r="K272" s="1694">
        <f>D272</f>
        <v>41</v>
      </c>
      <c r="L272" s="481">
        <v>41</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41</v>
      </c>
      <c r="E277" s="617"/>
      <c r="F277" s="617"/>
      <c r="G277" s="617"/>
      <c r="H277" s="617"/>
      <c r="I277" s="617"/>
      <c r="J277" s="617"/>
      <c r="K277" s="1692">
        <f>SUM(K272:K276)</f>
        <v>41</v>
      </c>
      <c r="L277" s="1692">
        <f>SUM(L272:L276)</f>
        <v>41</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31067</v>
      </c>
      <c r="E279" s="617"/>
      <c r="F279" s="617"/>
      <c r="G279" s="617"/>
      <c r="H279" s="617"/>
      <c r="I279" s="617"/>
      <c r="J279" s="617"/>
      <c r="K279" s="1699">
        <f>SUM(K238,K243,K257,K261,K270,K277,K278)</f>
        <v>31067</v>
      </c>
      <c r="L279" s="1699">
        <f>SUM(L238,L243,L257,L261,L270,L277,L278)</f>
        <v>31067</v>
      </c>
    </row>
    <row r="280" spans="1:12" ht="15.75" customHeight="1" thickTop="1" thickBot="1" x14ac:dyDescent="0.25">
      <c r="A280" s="1646" t="s">
        <v>930</v>
      </c>
      <c r="B280" s="1635">
        <v>3000</v>
      </c>
      <c r="C280" s="617"/>
      <c r="D280" s="576">
        <v>60</v>
      </c>
      <c r="E280" s="617"/>
      <c r="F280" s="617"/>
      <c r="G280" s="617"/>
      <c r="H280" s="617"/>
      <c r="I280" s="617"/>
      <c r="J280" s="617"/>
      <c r="K280" s="1701">
        <f>D280</f>
        <v>60</v>
      </c>
      <c r="L280" s="576">
        <v>60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3" t="s">
        <v>526</v>
      </c>
      <c r="B295" s="2194"/>
      <c r="C295" s="617"/>
      <c r="D295" s="1692">
        <f>SUM(D229,D279,D280,D285)</f>
        <v>51145</v>
      </c>
      <c r="E295" s="617"/>
      <c r="F295" s="617"/>
      <c r="G295" s="617"/>
      <c r="H295" s="1692">
        <f>H293</f>
        <v>0</v>
      </c>
      <c r="I295" s="617"/>
      <c r="J295" s="617"/>
      <c r="K295" s="1692">
        <f>SUM(K229,K279,K280,K285,K293,K294)</f>
        <v>51145</v>
      </c>
      <c r="L295" s="1692">
        <f>SUM(L229,L279,L280,L285,L293,L294)</f>
        <v>51144</v>
      </c>
    </row>
    <row r="296" spans="1:14" ht="13.5" thickTop="1" x14ac:dyDescent="0.2">
      <c r="A296" s="2175" t="s">
        <v>1053</v>
      </c>
      <c r="B296" s="2176"/>
      <c r="C296" s="617"/>
      <c r="D296" s="619"/>
      <c r="E296" s="617"/>
      <c r="F296" s="617"/>
      <c r="G296" s="617"/>
      <c r="H296" s="688"/>
      <c r="I296" s="617"/>
      <c r="J296" s="617"/>
      <c r="K296" s="1706">
        <f>'Revenues 9-14'!G275-'Expenditures 15-22'!K295</f>
        <v>40193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28734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26360</v>
      </c>
      <c r="F320" s="467"/>
      <c r="G320" s="467"/>
      <c r="H320" s="467"/>
      <c r="I320" s="467"/>
      <c r="J320" s="467"/>
      <c r="K320" s="1693">
        <f t="shared" ref="K320:K327" si="24">SUM(C320:J320)</f>
        <v>26360</v>
      </c>
      <c r="L320" s="467">
        <v>26360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v>11720</v>
      </c>
      <c r="F322" s="467"/>
      <c r="G322" s="467"/>
      <c r="H322" s="467"/>
      <c r="I322" s="467"/>
      <c r="J322" s="467"/>
      <c r="K322" s="1693">
        <f t="shared" si="24"/>
        <v>11720</v>
      </c>
      <c r="L322" s="467">
        <v>11720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14231</v>
      </c>
      <c r="F327" s="467"/>
      <c r="G327" s="467"/>
      <c r="H327" s="467"/>
      <c r="I327" s="467"/>
      <c r="J327" s="467"/>
      <c r="K327" s="1693">
        <f t="shared" si="24"/>
        <v>14231</v>
      </c>
      <c r="L327" s="467">
        <v>14231</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52311</v>
      </c>
      <c r="F330" s="1692">
        <f t="shared" si="25"/>
        <v>0</v>
      </c>
      <c r="G330" s="1692">
        <f t="shared" si="25"/>
        <v>0</v>
      </c>
      <c r="H330" s="1692">
        <f t="shared" si="25"/>
        <v>0</v>
      </c>
      <c r="I330" s="1692">
        <f t="shared" si="25"/>
        <v>0</v>
      </c>
      <c r="J330" s="1692">
        <f t="shared" si="25"/>
        <v>0</v>
      </c>
      <c r="K330" s="1692">
        <f>SUM(K319:K329)</f>
        <v>52311</v>
      </c>
      <c r="L330" s="1692">
        <f>SUM(L319:L329)</f>
        <v>52311</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52311</v>
      </c>
      <c r="F342" s="1692">
        <f>SUM(F330)</f>
        <v>0</v>
      </c>
      <c r="G342" s="1692">
        <f>SUM(G330)</f>
        <v>0</v>
      </c>
      <c r="H342" s="1692">
        <f>SUM(H330,H334,H340)</f>
        <v>0</v>
      </c>
      <c r="I342" s="1692">
        <f>SUM(I330)</f>
        <v>0</v>
      </c>
      <c r="J342" s="1692">
        <f>SUM(J330)</f>
        <v>0</v>
      </c>
      <c r="K342" s="1692">
        <f>SUM(K330,K334,K340)</f>
        <v>52311</v>
      </c>
      <c r="L342" s="1699">
        <f>SUM(L330,L340,L341)</f>
        <v>52311</v>
      </c>
    </row>
    <row r="343" spans="1:14" ht="12.75" customHeight="1" thickTop="1" x14ac:dyDescent="0.2">
      <c r="A343" s="2188" t="s">
        <v>1053</v>
      </c>
      <c r="B343" s="2189"/>
      <c r="C343" s="617"/>
      <c r="D343" s="617"/>
      <c r="E343" s="617"/>
      <c r="F343" s="617"/>
      <c r="G343" s="617"/>
      <c r="H343" s="617"/>
      <c r="I343" s="617"/>
      <c r="J343" s="617"/>
      <c r="K343" s="1706">
        <f>'Revenues 9-14'!J275-'Expenditures 15-22'!K342</f>
        <v>-807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5" t="s">
        <v>1053</v>
      </c>
      <c r="B368" s="2176"/>
      <c r="C368" s="655"/>
      <c r="D368" s="655"/>
      <c r="E368" s="627"/>
      <c r="F368" s="627"/>
      <c r="G368" s="627"/>
      <c r="H368" s="627"/>
      <c r="I368" s="627"/>
      <c r="J368" s="624"/>
      <c r="K368" s="1693">
        <f>'Revenues 9-14'!K275-'Expenditures 15-22'!K367</f>
        <v>10509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4d435f69-8686-490b-bd6d-b153bf22ab50"/>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d21dc803-237d-4c68-8692-8d731fd29118"/>
    <ds:schemaRef ds:uri="6ce3111e-7420-4802-b50a-75d4e9a0b980"/>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2018-10-23T20:49:32Z</cp:lastPrinted>
  <dcterms:created xsi:type="dcterms:W3CDTF">2003-10-29T19:06:34Z</dcterms:created>
  <dcterms:modified xsi:type="dcterms:W3CDTF">2018-12-12T16:59:43Z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