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K274" i="5" s="1"/>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27" i="34"/>
  <c r="B5752" i="106"/>
  <c r="D5752" i="106" s="1"/>
  <c r="B5599" i="106"/>
  <c r="D5599" i="106" s="1"/>
  <c r="H173" i="5"/>
  <c r="B5906" i="106" s="1"/>
  <c r="D5906" i="106" s="1"/>
  <c r="C172" i="5"/>
  <c r="B5214" i="106" s="1"/>
  <c r="D5214" i="106" s="1"/>
  <c r="F106" i="34"/>
  <c r="D7" i="7"/>
  <c r="B1763" i="106" s="1"/>
  <c r="D1763" i="106" s="1"/>
  <c r="H6" i="4"/>
  <c r="B2656" i="106" s="1"/>
  <c r="D2656" i="106" s="1"/>
  <c r="B1746" i="106"/>
  <c r="D1746" i="106" s="1"/>
  <c r="D17" i="7"/>
  <c r="B4104" i="106" s="1"/>
  <c r="D4104" i="106" s="1"/>
  <c r="D11" i="7"/>
  <c r="B1768" i="106" s="1"/>
  <c r="D1768" i="106" s="1"/>
  <c r="D15" i="7"/>
  <c r="B1772" i="106" s="1"/>
  <c r="D1772" i="106" s="1"/>
  <c r="F111" i="34" l="1"/>
  <c r="F131" i="34"/>
  <c r="B7041" i="106"/>
  <c r="D7041" i="106" s="1"/>
  <c r="F172" i="5"/>
  <c r="B5644" i="106" s="1"/>
  <c r="D5644" i="106" s="1"/>
  <c r="B3649" i="106"/>
  <c r="D3649" i="106" s="1"/>
  <c r="G367" i="29"/>
  <c r="I173" i="5"/>
  <c r="B4216" i="106" s="1"/>
  <c r="D4216" i="106" s="1"/>
  <c r="E109" i="5"/>
  <c r="E4" i="4" s="1"/>
  <c r="B2630" i="106" s="1"/>
  <c r="D2630" i="106" s="1"/>
  <c r="H109" i="5"/>
  <c r="B6025" i="106" s="1"/>
  <c r="D6025" i="106" s="1"/>
  <c r="L312" i="29"/>
  <c r="J367" i="29"/>
  <c r="B7245" i="106" s="1"/>
  <c r="D7245" i="106" s="1"/>
  <c r="B7235" i="106"/>
  <c r="D7235" i="106" s="1"/>
  <c r="F130" i="34"/>
  <c r="K285" i="29"/>
  <c r="B3647" i="106"/>
  <c r="D3647" i="106" s="1"/>
  <c r="C352" i="29"/>
  <c r="K41" i="3"/>
  <c r="B3568" i="106" s="1"/>
  <c r="D3568" i="106" s="1"/>
  <c r="H367" i="29"/>
  <c r="H76" i="4"/>
  <c r="B3298" i="106" s="1"/>
  <c r="D3298" i="106" s="1"/>
  <c r="F21" i="8"/>
  <c r="K24" i="12"/>
  <c r="L342" i="29"/>
  <c r="D54" i="36"/>
  <c r="L15" i="11"/>
  <c r="B3459" i="106" s="1"/>
  <c r="D3459" i="106" s="1"/>
  <c r="D69" i="36"/>
  <c r="L13" i="11"/>
  <c r="B2060" i="106" s="1"/>
  <c r="D2060" i="106" s="1"/>
  <c r="B7727" i="106"/>
  <c r="D7727" i="106" s="1"/>
  <c r="F19" i="7"/>
  <c r="B1807" i="106" s="1"/>
  <c r="D1807" i="106" s="1"/>
  <c r="K350" i="29"/>
  <c r="D12" i="7"/>
  <c r="B1769" i="106" s="1"/>
  <c r="D1769" i="106" s="1"/>
  <c r="D52" i="36"/>
  <c r="C342" i="29"/>
  <c r="B7216" i="106" s="1"/>
  <c r="D7216" i="106" s="1"/>
  <c r="B5886" i="106"/>
  <c r="D5886" i="106" s="1"/>
  <c r="H4" i="4"/>
  <c r="B2655" i="106" s="1"/>
  <c r="D2655" i="106" s="1"/>
  <c r="B1410" i="106"/>
  <c r="D1410" i="106" s="1"/>
  <c r="G109" i="5"/>
  <c r="K184" i="29"/>
  <c r="F13" i="4" s="1"/>
  <c r="B2596" i="106" s="1"/>
  <c r="D2596" i="106" s="1"/>
  <c r="B1329" i="106"/>
  <c r="D1329" i="106" s="1"/>
  <c r="F61" i="34"/>
  <c r="D109" i="5"/>
  <c r="B5356" i="106" s="1"/>
  <c r="D5356" i="106" s="1"/>
  <c r="F34" i="34"/>
  <c r="C173" i="5"/>
  <c r="B5223" i="106" s="1"/>
  <c r="D5223" i="106" s="1"/>
  <c r="C109" i="5"/>
  <c r="B5121" i="106" s="1"/>
  <c r="D5121"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1879" i="106" l="1"/>
  <c r="D1879" i="106" s="1"/>
  <c r="H22" i="37"/>
  <c r="B3621" i="106"/>
  <c r="D3621" i="106" s="1"/>
  <c r="C367" i="29"/>
  <c r="B3622" i="106" s="1"/>
  <c r="D3622" i="106" s="1"/>
  <c r="D7254" i="106"/>
  <c r="D7250" i="106"/>
  <c r="B5527" i="106"/>
  <c r="D5527" i="106" s="1"/>
  <c r="F274" i="5"/>
  <c r="F7" i="4" s="1"/>
  <c r="B2594" i="106" s="1"/>
  <c r="D2594" i="106" s="1"/>
  <c r="F73" i="34"/>
  <c r="G15" i="4"/>
  <c r="B6032" i="106" s="1"/>
  <c r="D6032" i="106" s="1"/>
  <c r="D7256" i="106"/>
  <c r="D7251" i="106"/>
  <c r="F173" i="5"/>
  <c r="B7733" i="106"/>
  <c r="D7733" i="106" s="1"/>
  <c r="K26" i="12"/>
  <c r="B7743" i="106" s="1"/>
  <c r="D7743" i="106" s="1"/>
  <c r="L16" i="11"/>
  <c r="B2061" i="106" s="1"/>
  <c r="D2061" i="106" s="1"/>
  <c r="D19" i="7"/>
  <c r="B1775" i="106" s="1"/>
  <c r="D1775" i="106" s="1"/>
  <c r="B3670" i="106"/>
  <c r="D3670" i="106" s="1"/>
  <c r="K352" i="29"/>
  <c r="K342" i="29"/>
  <c r="F13" i="34" s="1"/>
  <c r="H8" i="4"/>
  <c r="B2658" i="106" s="1"/>
  <c r="D2658" i="106" s="1"/>
  <c r="B6024" i="106"/>
  <c r="D6024" i="106" s="1"/>
  <c r="G4" i="4"/>
  <c r="B2603" i="106" s="1"/>
  <c r="D2603" i="106" s="1"/>
  <c r="B1317" i="106"/>
  <c r="D1317" i="106" s="1"/>
  <c r="D4" i="4"/>
  <c r="B2564" i="106" s="1"/>
  <c r="D2564" i="106" s="1"/>
  <c r="C114" i="29"/>
  <c r="B757" i="106" s="1"/>
  <c r="D757" i="106" s="1"/>
  <c r="C6" i="4"/>
  <c r="B2553" i="106" s="1"/>
  <c r="D255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H10" i="4"/>
  <c r="B4127" i="106" s="1"/>
  <c r="D4127" i="106" s="1"/>
  <c r="D7" i="4"/>
  <c r="D275" i="5"/>
  <c r="B5507" i="106"/>
  <c r="D5507" i="106" s="1"/>
  <c r="B7298" i="106"/>
  <c r="B7299" i="106"/>
  <c r="F6" i="4" l="1"/>
  <c r="B2593" i="106" s="1"/>
  <c r="D2593" i="106" s="1"/>
  <c r="B5653" i="106"/>
  <c r="D5653" i="106" s="1"/>
  <c r="F275" i="5"/>
  <c r="B5720" i="106" s="1"/>
  <c r="D5720" i="106" s="1"/>
  <c r="K13" i="4"/>
  <c r="B3572" i="106" s="1"/>
  <c r="D3572" i="106" s="1"/>
  <c r="B3672" i="106"/>
  <c r="D3672" i="106" s="1"/>
  <c r="K367" i="29"/>
  <c r="B3678" i="106" s="1"/>
  <c r="D3678" i="106" s="1"/>
  <c r="J8" i="4"/>
  <c r="B7224" i="106"/>
  <c r="D7224" i="106" s="1"/>
  <c r="J17" i="4"/>
  <c r="B6227" i="106" s="1"/>
  <c r="D6227" i="106" s="1"/>
  <c r="F8" i="4"/>
  <c r="B2595" i="106" s="1"/>
  <c r="D259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H37" i="37"/>
  <c r="B285" i="106"/>
  <c r="D285" i="106" s="1"/>
  <c r="N37" i="3"/>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K19" i="4" s="1"/>
  <c r="B4144" i="106" s="1"/>
  <c r="D4144" i="106" s="1"/>
  <c r="K368" i="29"/>
  <c r="B3681" i="106" s="1"/>
  <c r="D3681" i="106" s="1"/>
  <c r="J20" i="4"/>
  <c r="B6230" i="106" s="1"/>
  <c r="D6230" i="106" s="1"/>
  <c r="D8" i="4"/>
  <c r="C8" i="14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c r="B4123" i="106" s="1"/>
  <c r="D4123" i="106" s="1"/>
  <c r="B2568" i="106"/>
  <c r="D2568" i="106" s="1"/>
  <c r="K20" i="4" l="1"/>
  <c r="J78" i="4"/>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<sst xmlns="http://schemas.openxmlformats.org/spreadsheetml/2006/main" count="5169" uniqueCount="2186">
  <si>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</si>
  <si>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</si>
  <si>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</si>
  <si>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</si>
  <si>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</si>
  <si>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</si>
  <si>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</si>
  <si>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</si>
  <si>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</si>
  <si>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</si>
  <si>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</si>
  <si>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</si>
  <si>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</si>
  <si>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</si>
  <si>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</si>
  <si>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</si>
  <si>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</si>
  <si>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</si>
  <si>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</si>
  <si>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</si>
  <si>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</si>
  <si>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</si>
  <si>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</si>
  <si>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</si>
  <si>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</si>
  <si>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</si>
  <si>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</si>
  <si>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</si>
  <si>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</si>
  <si>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</si>
  <si>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</si>
  <si>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</si>
  <si>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</si>
  <si>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</si>
  <si>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</si>
  <si>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</si>
  <si>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</si>
  <si>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</si>
  <si>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</si>
  <si>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</si>
  <si>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</si>
  <si>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</si>
  <si>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</si>
  <si>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</si>
  <si>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</si>
  <si>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</si>
  <si>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</si>
  <si>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</si>
  <si>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</si>
  <si>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</si>
  <si>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</si>
  <si>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</si>
  <si>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</si>
  <si>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</si>
  <si>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</si>
  <si>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</si>
  <si>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</si>
  <si>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</si>
  <si>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</si>
  <si>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</si>
  <si>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</si>
  <si>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</si>
  <si>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</si>
  <si>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</si>
  <si>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</si>
  <si>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</si>
  <si>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</si>
  <si>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</si>
  <si>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</si>
  <si>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</si>
  <si>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</si>
  <si>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</si>
  <si>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</si>
  <si>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</si>
  <si>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</si>
  <si>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</si>
  <si>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</si>
  <si>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</si>
  <si>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</si>
  <si>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</si>
  <si>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</si>
  <si>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</si>
  <si>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</si>
  <si>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</si>
  <si>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</si>
  <si>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</si>
  <si>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</si>
  <si>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</si>
  <si>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</si>
  <si>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</si>
  <si>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</si>
  <si>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</si>
  <si>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</si>
  <si>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</si>
  <si>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</si>
  <si>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</si>
  <si>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</si>
  <si>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</si>
  <si>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</si>
  <si>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</si>
  <si>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</si>
  <si>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</si>
  <si>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</si>
  <si>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</si>
  <si>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</si>
  <si>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</si>
  <si>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</si>
  <si>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</si>
  <si>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</si>
  <si>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</si>
  <si>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</si>
  <si>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</si>
  <si>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</si>
  <si>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</si>
  <si>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</si>
  <si>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</si>
  <si>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</si>
  <si>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</si>
  <si>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</si>
  <si>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</si>
  <si>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</si>
  <si>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</si>
  <si>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</si>
  <si>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</si>
  <si>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</si>
  <si>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</si>
  <si>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</si>
  <si>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</si>
  <si>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</si>
  <si>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</si>
  <si>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</si>
  <si>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</si>
  <si>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</si>
  <si>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</si>
  <si>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</si>
  <si>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</si>
  <si>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</si>
  <si>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</si>
  <si>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</si>
  <si>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</si>
  <si>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</si>
  <si>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</si>
  <si>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</si>
  <si>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</si>
  <si>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</si>
  <si>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</si>
  <si>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</si>
  <si>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</si>
  <si>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</si>
  <si>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</si>
  <si>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</si>
  <si>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</si>
  <si>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</si>
  <si>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</si>
  <si>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</si>
  <si>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</si>
  <si>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</si>
  <si>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</si>
  <si>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</si>
  <si>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</si>
  <si>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</si>
  <si>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</si>
  <si>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</si>
  <si>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</si>
  <si>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</si>
  <si>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</si>
  <si>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</si>
  <si>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</si>
  <si>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</si>
  <si>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</si>
  <si>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</si>
  <si>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</si>
  <si>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</si>
  <si>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</si>
  <si>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</si>
  <si>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</si>
  <si>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</si>
  <si>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</si>
  <si>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</si>
  <si>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</si>
  <si>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</si>
  <si>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</si>
  <si>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</si>
  <si>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</si>
  <si>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</si>
  <si>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</si>
  <si>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</si>
  <si>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</si>
  <si>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</si>
  <si>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</si>
  <si>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</si>
  <si>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</si>
  <si>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</si>
  <si>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</si>
  <si>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</si>
  <si>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</si>
  <si>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</si>
  <si>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</si>
  <si>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</si>
  <si>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</si>
  <si>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</si>
  <si>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</si>
  <si>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</si>
  <si>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</si>
  <si>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</si>
  <si>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</si>
  <si>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</si>
  <si>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</si>
  <si>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</si>
  <si>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</si>
  <si>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</si>
  <si>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</si>
  <si>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</si>
  <si>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</si>
  <si>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</si>
  <si>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</si>
  <si>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</si>
  <si>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</si>
  <si>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</si>
  <si>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</si>
  <si>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</si>
  <si>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</si>
  <si>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</si>
  <si>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</si>
  <si>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</si>
  <si>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</si>
  <si>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</si>
  <si>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</si>
  <si>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</si>
  <si>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</si>
  <si>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</si>
  <si>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</si>
  <si>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</si>
  <si>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</si>
  <si>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</si>
  <si>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</si>
  <si>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</si>
  <si>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</si>
  <si>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</si>
  <si>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</si>
  <si>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</si>
  <si>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</si>
  <si>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</si>
  <si>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</si>
  <si>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</si>
  <si>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</si>
  <si>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</si>
  <si>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</si>
  <si>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</si>
  <si>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</si>
  <si>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</si>
  <si>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</si>
  <si>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</si>
  <si>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</si>
  <si>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</si>
  <si>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</si>
  <si>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</si>
  <si>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</si>
  <si>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</si>
  <si>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</si>
  <si>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</si>
  <si>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</si>
  <si>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</si>
  <si>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</si>
  <si>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</si>
  <si>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</si>
  <si>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</si>
  <si>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</si>
  <si>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</si>
  <si>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</si>
  <si>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</si>
  <si>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</si>
  <si>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</si>
  <si>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</si>
  <si>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</si>
  <si>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</si>
  <si>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</si>
  <si>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</si>
  <si>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</si>
  <si>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</si>
  <si>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</si>
  <si>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</si>
  <si>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</si>
  <si>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</si>
  <si>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</si>
  <si>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</si>
  <si>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</si>
  <si>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</si>
  <si>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</si>
  <si>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</si>
  <si>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</si>
  <si>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</si>
  <si>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</si>
  <si>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</si>
  <si>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</si>
  <si>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</si>
  <si>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</si>
  <si>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</si>
  <si>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</si>
  <si>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</si>
  <si>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</si>
  <si>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</si>
  <si>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</si>
  <si>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</si>
  <si>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</si>
  <si>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</si>
  <si>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</si>
  <si>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</si>
  <si>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</si>
  <si>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</si>
  <si>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</si>
  <si>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</si>
  <si>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</si>
  <si>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</si>
  <si>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</si>
  <si>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</si>
  <si>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</si>
  <si>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</si>
  <si>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</si>
  <si>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</si>
  <si>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</si>
  <si>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</si>
  <si>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</si>
  <si>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</si>
  <si>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</si>
  <si>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</si>
  <si>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</si>
  <si>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</si>
  <si>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</si>
  <si>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</si>
  <si>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</si>
  <si>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</si>
  <si>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</si>
  <si>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</si>
  <si>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</si>
  <si>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</si>
  <si>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</si>
  <si>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</si>
  <si>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</si>
  <si>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</si>
  <si>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</si>
  <si>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</si>
  <si>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</si>
  <si>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</si>
  <si>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</si>
  <si>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</si>
  <si>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</si>
  <si>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</si>
  <si>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</si>
  <si>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</si>
  <si>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</si>
  <si>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</si>
  <si>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</si>
  <si>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</si>
  <si>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</si>
  <si>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</si>
  <si>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</si>
  <si>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</si>
  <si>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</si>
  <si>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</si>
  <si>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</si>
  <si>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</si>
  <si>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</si>
  <si>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</si>
  <si>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</si>
  <si>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</si>
  <si>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</si>
  <si>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</si>
  <si>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</si>
  <si>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</si>
  <si>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</si>
  <si>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</si>
  <si>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</si>
  <si>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</si>
  <si>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</si>
  <si>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</si>
  <si>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</si>
  <si>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</si>
  <si>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</si>
  <si>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</si>
  <si>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</si>
  <si>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</si>
  <si>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</si>
  <si>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</si>
  <si>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</si>
  <si>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</si>
  <si>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</si>
  <si>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</si>
  <si>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</si>
  <si>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</si>
  <si>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</si>
  <si>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</si>
  <si>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</si>
  <si>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</si>
  <si>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</si>
  <si>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</si>
  <si>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</si>
  <si>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</si>
  <si>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</si>
  <si>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</si>
  <si>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</si>
  <si>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</si>
  <si>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</si>
  <si>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</si>
  <si>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</si>
  <si>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</si>
  <si>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</si>
  <si>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</si>
  <si>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</si>
  <si>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</si>
  <si>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</si>
  <si>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</si>
  <si>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</si>
  <si>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</si>
  <si>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</si>
  <si>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</si>
  <si>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</si>
  <si>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</si>
  <si>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</si>
  <si>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</si>
  <si>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</si>
  <si>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</si>
  <si>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</si>
  <si>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</si>
  <si>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</si>
  <si>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</si>
  <si>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</si>
  <si>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</si>
  <si>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</si>
  <si>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</si>
  <si>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</si>
  <si>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</si>
  <si>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</si>
  <si>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</si>
  <si>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</si>
  <si>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</si>
  <si>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</si>
  <si>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</si>
  <si>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</si>
  <si>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</si>
  <si>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</si>
  <si>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</si>
  <si>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</si>
  <si>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</si>
  <si>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</si>
  <si>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</si>
  <si>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</si>
  <si>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</si>
  <si>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</si>
  <si>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</si>
  <si>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</si>
  <si>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</si>
  <si>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</si>
  <si>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</si>
  <si>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</si>
  <si>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</si>
  <si>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</si>
  <si>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</si>
  <si>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</si>
  <si>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</si>
  <si>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</si>
  <si>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</si>
  <si>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</si>
  <si>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</si>
  <si>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</si>
  <si>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</si>
  <si>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</si>
  <si>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</si>
  <si>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</si>
  <si>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</si>
  <si>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</si>
  <si>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</si>
  <si>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</si>
  <si>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</si>
  <si>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</si>
  <si>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</si>
  <si>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</si>
  <si>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</si>
  <si>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</si>
  <si>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</si>
  <si>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</si>
  <si>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</si>
  <si>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</si>
  <si>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</si>
  <si>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</si>
  <si>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</si>
  <si>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</si>
  <si>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</si>
  <si>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</si>
  <si>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</si>
  <si>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</si>
  <si>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</si>
  <si>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</si>
  <si>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</si>
  <si>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</si>
  <si>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</si>
  <si>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</si>
  <si>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</si>
  <si>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</si>
  <si>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</si>
  <si>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</si>
  <si>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</si>
  <si>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</si>
  <si>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</si>
  <si>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</si>
  <si>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</si>
  <si>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</si>
  <si>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</si>
  <si>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</si>
  <si>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</si>
  <si>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</si>
  <si>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</si>
  <si>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</si>
  <si>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</si>
  <si>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</si>
  <si>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</si>
  <si>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</si>
  <si>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</si>
  <si>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</si>
  <si>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</si>
  <si>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</si>
  <si>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</si>
  <si>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</si>
  <si>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</si>
  <si>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</si>
  <si>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</si>
  <si>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</si>
  <si>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</si>
  <si>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</si>
  <si>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</si>
  <si>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</si>
  <si>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</si>
  <si>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</si>
  <si>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</si>
  <si>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</si>
  <si>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</si>
  <si>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</si>
  <si>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</si>
  <si>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</si>
  <si>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</si>
  <si>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</si>
  <si>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</si>
  <si>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</si>
  <si>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</si>
  <si>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</si>
  <si>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</si>
  <si>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</si>
  <si>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</si>
  <si>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</si>
  <si>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</si>
  <si>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</si>
  <si>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</si>
  <si>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</si>
  <si>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</si>
  <si>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</si>
  <si>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</si>
  <si>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</si>
  <si>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</si>
  <si>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</si>
  <si>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</si>
  <si>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</si>
  <si>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</si>
  <si>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</si>
  <si>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</si>
  <si>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</si>
  <si>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</si>
  <si>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</si>
  <si>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</si>
  <si>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</si>
  <si>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</si>
  <si>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</si>
  <si>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</si>
  <si>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</si>
  <si>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</si>
  <si>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</si>
  <si>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</si>
  <si>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</si>
  <si>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</si>
  <si>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</si>
  <si>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</si>
  <si>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</si>
  <si>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</si>
  <si>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</si>
  <si>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</si>
  <si>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</si>
  <si>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</si>
  <si>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</si>
  <si>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</si>
  <si>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</si>
  <si>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</si>
  <si>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</si>
  <si>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</si>
  <si>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</si>
  <si>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</si>
  <si>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</si>
  <si>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</si>
  <si>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</si>
  <si>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</si>
  <si>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</si>
  <si>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</si>
  <si>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</si>
  <si>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</si>
  <si>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</si>
  <si>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</si>
  <si>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</si>
  <si>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</si>
  <si>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</si>
  <si>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</si>
  <si>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</si>
  <si>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</si>
  <si>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</si>
  <si>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</si>
  <si>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</si>
  <si>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</si>
  <si>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</si>
  <si>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</si>
  <si>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</si>
  <si>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</si>
  <si>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</si>
  <si>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</si>
  <si>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</si>
  <si>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</si>
  <si>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</si>
  <si>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</si>
  <si>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</si>
  <si>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</si>
  <si>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</si>
  <si>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</si>
  <si>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</si>
  <si>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</si>
  <si>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</si>
  <si>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</si>
  <si>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</si>
  <si>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</si>
  <si>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</si>
  <si>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</si>
  <si>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</si>
  <si>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</si>
  <si>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</si>
  <si>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</si>
  <si>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</si>
  <si>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</si>
  <si>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</si>
  <si>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</si>
  <si>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</si>
  <si>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</si>
  <si>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</si>
  <si>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</si>
  <si>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</si>
  <si>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</si>
  <si>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</si>
  <si>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</si>
  <si>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</si>
  <si>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</si>
  <si>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</si>
  <si>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</si>
  <si>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</si>
  <si>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</si>
  <si>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</si>
  <si>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</si>
  <si>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</si>
  <si>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</si>
  <si>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</si>
  <si>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</si>
  <si>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</si>
  <si>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</si>
  <si>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</si>
  <si>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</si>
  <si>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</si>
  <si>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</si>
  <si>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</si>
  <si>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</si>
  <si>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</si>
  <si>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</si>
  <si>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</si>
  <si>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</si>
  <si>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</si>
  <si>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</si>
  <si>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</si>
  <si>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</si>
  <si>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</si>
  <si>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</si>
  <si>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</si>
  <si>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</si>
  <si>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</si>
  <si>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</si>
  <si>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</si>
  <si>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</si>
  <si>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</si>
  <si>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</si>
  <si>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</si>
  <si>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</si>
  <si>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</si>
  <si>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</si>
  <si>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</si>
  <si>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</si>
  <si>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</si>
  <si>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</si>
  <si>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</si>
  <si>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</si>
  <si>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</si>
  <si>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</si>
  <si>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</si>
  <si>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</si>
  <si>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</si>
  <si>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</si>
  <si>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</si>
  <si>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</si>
  <si>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</si>
  <si>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</si>
  <si>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</si>
  <si>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</si>
  <si>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</si>
  <si>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</si>
  <si>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</si>
  <si>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</si>
  <si>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</si>
  <si>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</si>
  <si>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</si>
  <si>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</si>
  <si>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</si>
  <si>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</si>
  <si>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</si>
  <si>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</si>
  <si>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</si>
  <si>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</si>
  <si>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</si>
  <si>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</si>
  <si>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</si>
  <si>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</si>
  <si>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</si>
  <si>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</si>
  <si>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</si>
  <si>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</si>
  <si>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</si>
  <si>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</si>
  <si>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</si>
  <si>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</si>
  <si>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</si>
  <si>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</si>
  <si>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</si>
  <si>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</si>
  <si>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</si>
  <si>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</si>
  <si>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</si>
  <si>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</si>
  <si>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</si>
  <si>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</si>
  <si>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</si>
  <si>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</si>
  <si>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</si>
  <si>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</si>
  <si>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</si>
  <si>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</si>
  <si>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</si>
  <si>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</si>
  <si>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</si>
  <si>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</si>
  <si>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</si>
  <si>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</si>
  <si>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</si>
  <si>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</si>
  <si>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</si>
  <si>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</si>
  <si>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</si>
  <si>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</si>
  <si>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</si>
  <si>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</si>
  <si>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</si>
  <si>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</si>
  <si>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</si>
  <si>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</si>
  <si>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</si>
  <si>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</si>
  <si>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</si>
  <si>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</si>
  <si>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</si>
  <si>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</si>
  <si>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</si>
  <si>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</si>
  <si>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</si>
  <si>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</si>
  <si>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</si>
  <si>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</si>
  <si>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</si>
  <si>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</si>
  <si>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</si>
  <si>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</si>
  <si>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</si>
  <si>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</si>
  <si>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</si>
  <si>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</si>
  <si>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</si>
  <si>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</si>
  <si>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</si>
  <si>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</si>
  <si>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</si>
  <si>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</si>
  <si>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</si>
  <si>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</si>
  <si>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</si>
  <si>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</si>
  <si>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</si>
  <si>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</si>
  <si>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</si>
  <si>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</si>
  <si>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</si>
  <si>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</si>
  <si>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</si>
  <si>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</si>
  <si>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</si>
  <si>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</si>
  <si>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</si>
  <si>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</si>
  <si>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</si>
  <si>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</si>
  <si>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</si>
  <si>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</si>
  <si>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</si>
  <si>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</si>
  <si>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</si>
  <si>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</si>
  <si>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</si>
  <si>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</si>
  <si>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</si>
  <si>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</si>
  <si>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</si>
  <si>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</si>
  <si>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</si>
  <si>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</si>
  <si>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</si>
  <si>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</si>
  <si>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</si>
  <si>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</si>
  <si>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</si>
  <si>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</si>
  <si>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</si>
  <si>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</si>
  <si>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</si>
  <si>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</si>
  <si>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</si>
  <si>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</si>
  <si>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</si>
  <si>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</si>
  <si>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</si>
  <si>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</si>
  <si>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</si>
  <si>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</si>
  <si>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</si>
  <si>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</si>
  <si>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</si>
  <si>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</si>
  <si>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</si>
  <si>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</si>
  <si>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</si>
  <si>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</si>
  <si>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</si>
  <si>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</si>
  <si>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</si>
  <si>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</si>
  <si>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</si>
  <si>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</si>
  <si>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</si>
  <si>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</si>
  <si>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</si>
  <si>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</si>
  <si>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</si>
  <si>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</si>
  <si>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</si>
  <si>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</si>
  <si>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</si>
  <si>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</si>
  <si>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</si>
  <si>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</si>
  <si>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</si>
  <si>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</si>
  <si>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</si>
  <si>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</si>
  <si>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</si>
  <si>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</si>
  <si>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</si>
  <si>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</si>
  <si>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</si>
  <si>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</si>
  <si>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</si>
  <si>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</si>
  <si>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</si>
  <si>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</si>
  <si>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</si>
  <si>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</si>
  <si>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</si>
  <si>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</si>
  <si>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</si>
  <si>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</si>
  <si>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</si>
  <si>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</si>
  <si>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</si>
  <si>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</si>
  <si>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</si>
  <si>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</si>
  <si>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</si>
  <si>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</si>
  <si>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</si>
  <si>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</si>
  <si>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</si>
  <si>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</si>
  <si>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</si>
  <si>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</si>
  <si>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</si>
  <si>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</si>
  <si>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</si>
  <si>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</si>
  <si>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</si>
  <si>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</si>
  <si>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</si>
  <si>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</si>
  <si>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</si>
  <si>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</si>
  <si>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</si>
  <si>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</si>
  <si>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</si>
  <si>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</si>
  <si>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</si>
  <si>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</si>
  <si>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</si>
  <si>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</si>
  <si>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</si>
  <si>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</si>
  <si>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</si>
  <si>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</si>
  <si>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</si>
  <si>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</si>
  <si>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</si>
  <si>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</si>
  <si>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</si>
  <si>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</si>
  <si>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</si>
  <si>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</si>
  <si>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</si>
  <si>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</si>
  <si>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</si>
  <si>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</si>
  <si>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</si>
  <si>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</si>
  <si>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</si>
  <si>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</si>
  <si>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</si>
  <si>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</si>
  <si>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</si>
  <si>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</si>
  <si>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</si>
  <si>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</si>
  <si>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</si>
  <si>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</si>
  <si>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</si>
  <si>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</si>
  <si>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</si>
  <si>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</si>
  <si>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</si>
  <si>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</si>
  <si>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</si>
  <si>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</si>
  <si>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</si>
  <si>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</si>
  <si>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</si>
  <si>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</si>
  <si>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</si>
  <si>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</si>
  <si>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</si>
  <si>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</si>
  <si>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</si>
  <si>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</si>
  <si>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</si>
  <si>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</si>
  <si>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</si>
  <si>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</si>
  <si>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</si>
  <si>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</si>
  <si>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</si>
  <si>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</si>
  <si>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</si>
  <si>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</si>
  <si>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</si>
  <si>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</si>
  <si>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</si>
  <si>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</si>
  <si>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</si>
  <si>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</si>
  <si>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</si>
  <si>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</si>
  <si>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</si>
  <si>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</si>
  <si>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</si>
  <si>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</si>
  <si>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</si>
  <si>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</si>
  <si>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</si>
  <si>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</si>
  <si>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</si>
  <si>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</si>
  <si>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</si>
  <si>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</si>
  <si>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</si>
  <si>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</si>
  <si>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</si>
  <si>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</si>
  <si>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</si>
  <si>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</si>
  <si>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</si>
  <si>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</si>
  <si>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</si>
  <si>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</si>
  <si>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</si>
  <si>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</si>
  <si>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</si>
  <si>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</si>
  <si>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</si>
  <si>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</si>
  <si>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</si>
  <si>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</si>
  <si>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</si>
  <si>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</si>
  <si>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</si>
  <si>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</si>
  <si>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</si>
  <si>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</si>
  <si>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</si>
  <si>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</si>
  <si>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</si>
  <si>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</si>
  <si>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</si>
  <si>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</si>
  <si>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</si>
  <si>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</si>
  <si>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</si>
  <si>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</si>
  <si>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</si>
  <si>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</si>
  <si>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</si>
  <si>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</si>
  <si>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</si>
  <si>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</si>
  <si>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</si>
  <si>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</si>
  <si>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</si>
  <si>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</si>
  <si>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</si>
  <si>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</si>
  <si>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</si>
  <si>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</si>
  <si>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</si>
  <si>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</si>
  <si>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</si>
  <si>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</si>
  <si>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</si>
  <si>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</si>
  <si>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</si>
  <si>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</si>
  <si>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</si>
  <si>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</si>
  <si>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</si>
  <si>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</si>
  <si>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</si>
  <si>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</si>
  <si>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</si>
  <si>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</si>
  <si>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</si>
  <si>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</si>
  <si>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</si>
  <si>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</si>
  <si>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</si>
  <si>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</si>
  <si>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</si>
  <si>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</si>
  <si>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</si>
  <si>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</si>
  <si>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</si>
  <si>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</si>
  <si>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</si>
  <si>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</si>
  <si>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</si>
  <si>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</si>
  <si>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</si>
  <si>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</si>
  <si>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</si>
  <si>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</si>
  <si>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</si>
  <si>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</si>
  <si>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</si>
  <si>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</si>
  <si>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</si>
  <si>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</si>
  <si>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</si>
  <si>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</si>
  <si>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</si>
  <si>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</si>
  <si>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</si>
  <si>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</si>
  <si>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</si>
  <si>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</si>
  <si>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</si>
  <si>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</si>
  <si>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</si>
  <si>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</si>
  <si>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</si>
  <si>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</si>
  <si>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</si>
  <si>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</si>
  <si>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</si>
  <si>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</si>
  <si>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</si>
  <si>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</si>
  <si>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</si>
  <si>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</si>
  <si>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</si>
  <si>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</si>
  <si>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</si>
  <si>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</si>
  <si>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</si>
  <si>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</si>
  <si>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</si>
  <si>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</si>
  <si>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</si>
  <si>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</si>
  <si>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</si>
  <si>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</si>
  <si>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</si>
  <si>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</si>
  <si>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</si>
  <si>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</si>
  <si>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</si>
  <si>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</si>
  <si>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</si>
  <si>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</si>
  <si>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</si>
  <si>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</si>
  <si>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</si>
  <si>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</si>
  <si>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</si>
  <si>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</si>
  <si>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</si>
  <si>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</si>
  <si>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</si>
  <si>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</si>
  <si>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</si>
  <si>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</si>
  <si>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</si>
  <si>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</si>
  <si>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</si>
  <si>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</si>
  <si>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</si>
  <si>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</si>
  <si>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</si>
  <si>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</si>
  <si>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</si>
  <si>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</si>
  <si>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</si>
  <si>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</si>
  <si>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</si>
  <si>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</si>
  <si>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</si>
  <si>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</si>
  <si>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</si>
  <si>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</si>
  <si>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</si>
  <si>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</si>
  <si>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</si>
  <si>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</si>
  <si>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</si>
  <si>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</si>
  <si>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</si>
  <si>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</si>
  <si>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</si>
  <si>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</si>
  <si>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</si>
  <si>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</si>
  <si>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</si>
  <si>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</si>
  <si>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</si>
  <si>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</si>
  <si>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</si>
  <si>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</si>
  <si>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</si>
  <si>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</si>
  <si>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</si>
  <si>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</si>
  <si>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</si>
  <si>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</si>
  <si>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</si>
  <si>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</si>
  <si>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</si>
  <si>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</si>
  <si>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</si>
  <si>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</si>
  <si>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</si>
  <si>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</si>
  <si>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</si>
  <si>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</si>
  <si>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</si>
  <si>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</si>
  <si>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</si>
  <si>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</si>
  <si>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</si>
  <si>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</si>
  <si>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</si>
  <si>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</si>
  <si>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</si>
  <si>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</si>
  <si>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</si>
  <si>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</si>
  <si>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</si>
  <si>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</si>
  <si>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</si>
  <si>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</si>
  <si>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</si>
  <si>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</si>
  <si>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</si>
  <si>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</si>
  <si>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</si>
  <si>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</si>
  <si>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</si>
  <si>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</si>
  <si>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</si>
  <si>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</si>
  <si>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</si>
  <si>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</si>
  <si>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</si>
  <si>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</si>
  <si>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</si>
  <si>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</si>
  <si>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</si>
  <si>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</si>
  <si>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</si>
  <si>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</si>
  <si>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</si>
  <si>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</si>
  <si>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</si>
  <si>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</si>
  <si>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</si>
  <si>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</si>
  <si>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</si>
  <si>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</si>
  <si>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</si>
  <si>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</si>
  <si>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</si>
  <si>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</si>
  <si>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</si>
  <si>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</si>
  <si>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</si>
  <si>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</si>
  <si>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</si>
  <si>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</si>
  <si>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</si>
  <si>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</si>
  <si>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</si>
  <si>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</si>
  <si>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</si>
  <si>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</si>
  <si>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</si>
  <si>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</si>
  <si>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</si>
  <si>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</si>
  <si>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</si>
  <si>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</si>
  <si>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</si>
  <si>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</si>
  <si>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</si>
  <si>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</si>
  <si>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</si>
  <si>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</si>
  <si>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</si>
  <si>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</si>
  <si>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</si>
  <si>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</si>
  <si>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</si>
  <si>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</si>
  <si>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</si>
  <si>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</si>
  <si>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</si>
  <si>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</si>
  <si>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</si>
  <si>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</si>
  <si>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</si>
  <si>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</si>
  <si>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</si>
  <si>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</si>
  <si>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</si>
  <si>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</si>
  <si>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</si>
  <si>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</si>
  <si>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</si>
  <si>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</si>
  <si>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</si>
  <si>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</si>
  <si>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</si>
  <si>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</si>
  <si>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</si>
  <si>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</si>
  <si>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</si>
  <si>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</si>
  <si>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</si>
  <si>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</si>
  <si>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</si>
  <si>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</si>
  <si>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</si>
  <si>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</si>
  <si>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</si>
  <si>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</si>
  <si>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</si>
  <si>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</si>
  <si>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</si>
  <si>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</si>
  <si>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</si>
  <si>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</si>
  <si>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</si>
  <si>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</si>
  <si>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</si>
  <si>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</si>
  <si>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</si>
  <si>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</si>
  <si>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</si>
  <si>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</si>
  <si>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</si>
  <si>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</si>
  <si>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</si>
  <si>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</si>
  <si>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</si>
  <si>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</si>
  <si>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</si>
  <si>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</si>
  <si>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</si>
  <si>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</si>
  <si>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</si>
  <si>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</si>
  <si>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</si>
  <si>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</si>
  <si>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</si>
  <si>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</si>
  <si>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</si>
  <si>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</si>
  <si>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</si>
  <si>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</si>
  <si>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</si>
  <si>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</si>
  <si>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</si>
  <si>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</si>
  <si>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</si>
  <si>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</si>
  <si>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</si>
  <si>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</si>
  <si>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</si>
  <si>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</si>
  <si>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</si>
  <si>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</si>
  <si>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</si>
  <si>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</si>
  <si>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</si>
  <si>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</si>
  <si>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</si>
  <si>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</si>
  <si>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</si>
  <si>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</si>
  <si>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</si>
  <si>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</si>
  <si>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</si>
  <si>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</si>
  <si>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</si>
  <si>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</si>
  <si>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</si>
  <si>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</si>
  <si>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</si>
  <si>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</si>
  <si>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</si>
  <si>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</si>
  <si>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</si>
  <si>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</si>
  <si>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</si>
  <si>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</si>
  <si>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</si>
  <si>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</si>
  <si>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</si>
  <si>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</si>
  <si>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</si>
  <si>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</si>
  <si>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</si>
  <si>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</si>
  <si>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</si>
  <si>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</si>
  <si>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</si>
  <si>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</si>
  <si>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</si>
  <si>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</si>
  <si>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</si>
  <si>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</si>
  <si>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</si>
  <si>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</si>
  <si>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</si>
  <si>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</si>
  <si>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</si>
  <si>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</si>
  <si>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</si>
  <si>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</si>
  <si>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</si>
  <si>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</si>
  <si>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</si>
  <si>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</si>
  <si>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</si>
  <si>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</si>
  <si>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</si>
  <si>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</si>
  <si>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</si>
  <si>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</si>
  <si>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</si>
  <si>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</si>
  <si>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</si>
  <si>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</si>
  <si>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</si>
  <si>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</si>
  <si>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</si>
  <si>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</si>
  <si>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</si>
  <si>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</si>
  <si>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</si>
  <si>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</si>
  <si>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</si>
  <si>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</si>
  <si>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</si>
  <si>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</si>
  <si>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</si>
  <si>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</si>
  <si>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</si>
  <si>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</si>
  <si>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</si>
  <si>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</si>
  <si>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</si>
  <si>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</si>
  <si>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</si>
  <si>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</si>
  <si>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</si>
  <si>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</si>
  <si>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</si>
  <si>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</si>
  <si>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</si>
  <si>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</si>
  <si>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</si>
  <si>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</si>
  <si>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</si>
  <si>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</si>
  <si>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</si>
  <si>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</si>
  <si>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</si>
  <si>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</si>
  <si>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</si>
  <si>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</si>
  <si>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</si>
  <si>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</si>
  <si>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</si>
  <si>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</si>
  <si>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</si>
  <si>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</si>
  <si>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</si>
  <si>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</si>
  <si>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</si>
  <si>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</si>
  <si>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</si>
  <si>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</si>
  <si>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</si>
  <si>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</si>
  <si>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</si>
  <si>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</si>
  <si>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</si>
  <si>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</si>
  <si>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</si>
  <si>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</si>
  <si>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</si>
  <si>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</si>
  <si>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</si>
  <si>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</si>
  <si>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</si>
  <si>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</si>
  <si>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</si>
  <si>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</si>
  <si>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</si>
  <si>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</si>
  <si>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</si>
  <si>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</si>
  <si>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</si>
  <si>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</si>
  <si>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</si>
  <si>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</si>
  <si>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</si>
  <si>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</si>
  <si>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</si>
  <si>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</si>
  <si>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</si>
  <si>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</si>
  <si>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</si>
  <si>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</si>
  <si>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</si>
  <si>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</si>
  <si>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</si>
  <si>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</si>
  <si>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</si>
  <si>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</si>
  <si>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</si>
  <si>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</si>
  <si>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</si>
  <si>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</si>
  <si>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</si>
  <si>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</si>
  <si>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</si>
  <si>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</si>
  <si>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</si>
  <si>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</si>
  <si>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</si>
  <si>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</si>
  <si>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</si>
  <si>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</si>
  <si>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</si>
  <si>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</si>
  <si>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</si>
  <si>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</si>
  <si>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</si>
  <si>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</si>
  <si>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</si>
  <si>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</si>
  <si>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</si>
  <si>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</si>
  <si>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</si>
  <si>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</si>
  <si>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</si>
  <si>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</si>
  <si>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</si>
  <si>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</si>
  <si>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</si>
  <si>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</si>
  <si>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</si>
  <si>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</si>
  <si>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</si>
  <si>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</si>
  <si>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</si>
  <si>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</si>
  <si>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</si>
  <si>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</si>
  <si>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</si>
  <si>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</si>
  <si>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</si>
  <si>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</si>
  <si>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</si>
  <si>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</si>
  <si>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</si>
  <si>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</si>
  <si>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</si>
  <si>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</si>
  <si>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</si>
  <si>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</si>
  <si>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</si>
  <si>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</si>
  <si>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</si>
  <si>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</si>
  <si>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</si>
  <si>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</si>
  <si>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</si>
  <si>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</si>
  <si>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</si>
  <si>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</si>
  <si>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</si>
  <si>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</si>
  <si>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</si>
  <si>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</si>
  <si>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</si>
  <si>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</si>
  <si>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</si>
  <si>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</si>
  <si>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</si>
  <si>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</si>
  <si>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</si>
  <si>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</si>
  <si>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</si>
  <si>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</si>
  <si>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</si>
  <si>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</si>
  <si>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</si>
  <si>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</si>
  <si>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</si>
  <si>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</si>
  <si>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</si>
  <si>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</si>
  <si>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</si>
  <si>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</si>
  <si>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</si>
  <si>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</si>
  <si>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</si>
  <si>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</si>
  <si>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</si>
  <si>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</si>
  <si>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</si>
  <si>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</si>
  <si>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</si>
  <si>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</si>
  <si>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</si>
  <si>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</si>
  <si>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</si>
  <si>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</si>
  <si>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</si>
  <si>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</si>
  <si>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</si>
  <si>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</si>
  <si>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</si>
  <si>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</si>
  <si>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</si>
  <si>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</si>
  <si>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</si>
  <si>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</si>
  <si>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</si>
  <si>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</si>
  <si>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</si>
  <si>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</si>
  <si>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</si>
  <si>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</si>
  <si>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</si>
  <si>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</si>
  <si>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</si>
  <si>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</si>
  <si>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</si>
  <si>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</si>
  <si>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</si>
  <si>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</si>
  <si>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</si>
  <si>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</si>
  <si>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</si>
  <si>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</si>
  <si>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</si>
  <si>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</si>
  <si>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</si>
  <si>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</si>
  <si>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</si>
  <si>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</si>
  <si>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</si>
  <si>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</si>
  <si>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</si>
  <si>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</si>
  <si>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</si>
  <si>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</si>
  <si>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</si>
  <si>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</si>
  <si>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</si>
  <si>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</si>
  <si>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</si>
  <si>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</si>
  <si>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</si>
  <si>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</si>
  <si>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</si>
  <si>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</si>
  <si>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</si>
  <si>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</si>
  <si>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</si>
  <si>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</si>
  <si>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</si>
  <si>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</si>
  <si>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</si>
  <si>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</si>
  <si>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</si>
  <si>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</si>
  <si>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</si>
  <si>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</si>
  <si>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</si>
  <si>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</si>
  <si>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</si>
  <si>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</si>
  <si>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</si>
  <si>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</si>
  <si>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</si>
  <si>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</si>
  <si>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</si>
  <si>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</si>
  <si>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</si>
  <si>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</si>
  <si>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</si>
  <si>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</si>
  <si>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</si>
  <si>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</si>
  <si>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</si>
  <si>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</si>
  <si>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</si>
  <si>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</si>
  <si>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</si>
  <si>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</si>
  <si>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</si>
  <si>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</si>
  <si>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</si>
  <si>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</si>
  <si>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</si>
  <si>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</si>
  <si>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</si>
  <si>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</si>
  <si>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</si>
  <si>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</si>
  <si>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</si>
  <si>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</si>
  <si>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</si>
  <si>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</si>
  <si>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</si>
  <si>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</si>
  <si>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</si>
  <si>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</si>
  <si>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</si>
  <si>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</si>
  <si>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</si>
  <si>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</si>
  <si>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</si>
  <si>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</si>
  <si>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</si>
  <si>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</si>
  <si>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</si>
  <si>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</si>
  <si>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</si>
  <si>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</si>
  <si>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</si>
  <si>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</si>
  <si>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</si>
  <si>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</si>
  <si>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</si>
  <si>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</si>
  <si>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</si>
  <si>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</si>
  <si>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</si>
  <si>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</si>
  <si>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</si>
  <si>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</si>
  <si>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</si>
  <si>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</si>
  <si>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</si>
  <si>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</si>
  <si>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</si>
  <si>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</si>
  <si>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</si>
  <si>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</si>
  <si>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</si>
  <si>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</si>
  <si>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</si>
  <si>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</si>
  <si>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</si>
  <si>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</si>
  <si>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</si>
  <si>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</si>
  <si>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</si>
  <si>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</si>
  <si>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</si>
  <si>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</si>
  <si>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</si>
  <si>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</si>
  <si>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</si>
  <si>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</si>
  <si>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</si>
  <si>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</si>
  <si>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</si>
  <si>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</si>
  <si>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</si>
  <si>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</si>
  <si>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</si>
  <si>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</si>
  <si>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</si>
  <si>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</si>
  <si>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</si>
  <si>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</si>
  <si>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</si>
  <si>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</si>
  <si>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</si>
  <si>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</si>
  <si>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</si>
  <si>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</si>
  <si>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</si>
  <si>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</si>
  <si>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</si>
  <si>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</si>
  <si>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</si>
  <si>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</si>
  <si>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</si>
  <si>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</si>
  <si>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</si>
  <si>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</si>
  <si>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</si>
  <si>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</si>
  <si>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</si>
  <si>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</si>
  <si>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</si>
  <si>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</si>
  <si>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</si>
  <si>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</si>
  <si>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</si>
  <si>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</si>
  <si>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</si>
  <si>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</si>
  <si>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</si>
  <si>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</si>
  <si>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</si>
  <si>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</si>
  <si>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</si>
  <si>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</si>
  <si>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</si>
  <si>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</si>
  <si>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</si>
  <si>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</si>
  <si>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</si>
  <si>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</si>
  <si>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</si>
  <si>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</si>
  <si>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</si>
  <si>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</si>
  <si>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</si>
  <si>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</si>
  <si>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</si>
  <si>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</si>
  <si>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</si>
  <si>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</si>
  <si>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</si>
  <si>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</si>
  <si>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</si>
  <si>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</si>
  <si>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</si>
  <si>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</si>
  <si>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</si>
  <si>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</si>
  <si>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</si>
  <si>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</si>
  <si>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</si>
  <si>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</si>
  <si>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</si>
  <si>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</si>
  <si>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</si>
  <si>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</si>
  <si>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</si>
  <si>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</si>
  <si>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</si>
  <si>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</si>
  <si>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</si>
  <si>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</si>
  <si>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</si>
  <si>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</si>
  <si>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</si>
  <si>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</si>
  <si>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</si>
  <si>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</si>
  <si>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</si>
  <si>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</si>
  <si>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</si>
  <si>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</si>
  <si>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</si>
  <si>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</si>
  <si>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</si>
  <si>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</si>
  <si>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</si>
  <si>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</si>
  <si>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</si>
  <si>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</si>
  <si>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</si>
  <si>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</si>
  <si>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</si>
  <si>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</si>
  <si>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</si>
  <si>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</si>
  <si>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</si>
  <si>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</si>
  <si>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</si>
  <si>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</si>
  <si>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</si>
  <si>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</si>
  <si>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</si>
  <si>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</si>
  <si>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</si>
  <si>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</si>
  <si>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</si>
  <si>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</si>
  <si>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</si>
  <si>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</si>
  <si>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</si>
  <si>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</si>
  <si>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</si>
  <si>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</si>
  <si>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</si>
  <si>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</si>
  <si>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</si>
  <si>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</si>
  <si>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</si>
  <si>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</si>
  <si>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</si>
  <si>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</si>
  <si>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</si>
  <si>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</si>
  <si>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</si>
  <si>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</si>
  <si>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</si>
  <si>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</si>
  <si>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</si>
  <si>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</si>
  <si>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</si>
  <si>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</si>
  <si>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</si>
  <si>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</si>
  <si>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</si>
  <si>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</si>
  <si>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</si>
  <si>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</si>
  <si>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</si>
  <si>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</si>
  <si>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</si>
  <si>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</si>
  <si>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</si>
  <si>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</si>
  <si>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</si>
  <si>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</si>
  <si>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</si>
  <si>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</si>
  <si>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</si>
  <si>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</si>
  <si>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</si>
  <si>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</si>
  <si>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</si>
  <si>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</si>
  <si>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</si>
  <si>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</si>
  <si>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</si>
  <si>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</si>
  <si>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</si>
  <si>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</si>
  <si>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</si>
  <si>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</si>
  <si>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</si>
  <si>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</si>
  <si>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</si>
  <si>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</si>
  <si>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</si>
  <si>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</si>
  <si>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</si>
  <si>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</si>
  <si>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</si>
  <si>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</si>
  <si>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</si>
  <si>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</si>
  <si>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</si>
  <si>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</si>
  <si>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</si>
  <si>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</si>
  <si>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</si>
  <si>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</si>
  <si>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</si>
  <si>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</si>
  <si>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</si>
  <si>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</si>
  <si>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</si>
  <si>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</si>
  <si>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</si>
  <si>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</si>
  <si>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</si>
  <si>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</si>
  <si>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</si>
  <si>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</si>
  <si>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</si>
  <si>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</si>
  <si>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</si>
  <si>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</si>
  <si>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</si>
  <si>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</si>
  <si>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</si>
  <si>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</si>
  <si>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</si>
  <si>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</si>
  <si>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</si>
  <si>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</si>
  <si>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</si>
  <si>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</si>
  <si>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</si>
  <si>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</si>
  <si>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</si>
  <si>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</si>
  <si>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</si>
  <si>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</si>
  <si>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</si>
  <si>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</si>
  <si>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</si>
  <si>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</si>
  <si>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</si>
  <si>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</si>
  <si>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</si>
  <si>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</si>
  <si>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</si>
  <si>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</si>
  <si>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</si>
  <si>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</si>
  <si>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</si>
  <si>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</si>
  <si>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</si>
  <si>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</si>
  <si>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</si>
  <si>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</si>
  <si>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</si>
  <si>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</si>
  <si>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</si>
  <si>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</si>
  <si>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</si>
  <si>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</si>
  <si>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</si>
  <si>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</si>
  <si>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</si>
  <si>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</si>
  <si>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</si>
  <si>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</si>
  <si>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</si>
  <si>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</si>
  <si>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</si>
  <si>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</si>
  <si>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</si>
  <si>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</si>
  <si>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</si>
  <si>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</si>
  <si>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</si>
  <si>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</si>
  <si>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</si>
  <si>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</si>
  <si>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</si>
  <si>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</si>
  <si>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</si>
  <si>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</si>
  <si>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</si>
  <si>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</si>
  <si>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</si>
  <si>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</si>
  <si>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</si>
  <si>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</si>
  <si>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</si>
  <si>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</si>
  <si>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</si>
  <si>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</si>
  <si>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</si>
  <si>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</si>
  <si>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</si>
  <si>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</si>
  <si>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</si>
  <si>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</si>
  <si>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</si>
  <si>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</si>
  <si>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</si>
  <si>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</si>
  <si>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</si>
  <si>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</si>
  <si>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</si>
  <si>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</si>
  <si>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</si>
  <si>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</si>
  <si>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</si>
  <si>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</si>
  <si>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</si>
  <si>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</si>
  <si>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</si>
  <si>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</si>
  <si>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</si>
  <si>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</si>
  <si>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</si>
  <si>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</si>
  <si>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</si>
  <si>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</si>
  <si>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</si>
  <si>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</si>
  <si>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</si>
  <si>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</si>
  <si>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</si>
  <si>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</si>
  <si>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</si>
  <si>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</si>
  <si>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</si>
  <si>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</si>
  <si>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</si>
  <si>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</si>
  <si>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</si>
  <si>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</si>
  <si>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</si>
  <si>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39-074-1000-26</t>
  </si>
  <si>
    <t>PIATT</t>
  </si>
  <si>
    <t>300 EAST DURFEE</t>
  </si>
  <si>
    <t>FLOYD &amp; ASSOCIATES, CPAs</t>
  </si>
  <si>
    <t>JULIE M. FLOYD, CPA</t>
  </si>
  <si>
    <t>910 STATE HIGHWAY 54 EAST</t>
  </si>
  <si>
    <t>CLINTON</t>
  </si>
  <si>
    <t>IL</t>
  </si>
  <si>
    <t xml:space="preserve">CERRO GORDO  </t>
  </si>
  <si>
    <t>217-935-8871</t>
  </si>
  <si>
    <t>217-935-5711</t>
  </si>
  <si>
    <t>julie.floyd@frontier.com</t>
  </si>
  <si>
    <t>MR. BRETT ROBINSON</t>
  </si>
  <si>
    <t>RobinsonB@cerrogordo.k12.il.us</t>
  </si>
  <si>
    <t>217-763-5221</t>
  </si>
  <si>
    <t>217-763-6562</t>
  </si>
  <si>
    <t>Life Safety Bonds</t>
  </si>
  <si>
    <t>Refunding Bonds</t>
  </si>
  <si>
    <t>Working Cash Bonds</t>
  </si>
  <si>
    <t>Qualified Zone Academy Bonds</t>
  </si>
  <si>
    <t>General Obligation School Building Bonds</t>
  </si>
  <si>
    <t xml:space="preserve">Milligan Academy </t>
  </si>
  <si>
    <t>Northern Illinois Independent Purchasing Cooperative</t>
  </si>
  <si>
    <t>Health Services with Decatur Memorial Hospital, Bement CUSD</t>
  </si>
  <si>
    <t>Macon-Piatt Special Education District</t>
  </si>
  <si>
    <t>Quality Network Solutions</t>
  </si>
  <si>
    <t>Birch Bus</t>
  </si>
  <si>
    <t>Heartland Tech Academy</t>
  </si>
  <si>
    <t>Richland Transfer Academy</t>
  </si>
  <si>
    <t>ED-Media-Purchased sevices</t>
  </si>
  <si>
    <t>10-2225-310</t>
  </si>
  <si>
    <t>AJD Consulting</t>
  </si>
  <si>
    <t>ED-Board of Education-purchased services</t>
  </si>
  <si>
    <t>10-2310-317</t>
  </si>
  <si>
    <t>Floyd &amp; Associates</t>
  </si>
  <si>
    <t>ED-Food services-purchased services</t>
  </si>
  <si>
    <t>10-2560-316</t>
  </si>
  <si>
    <t>Heartland Payment Solutions</t>
  </si>
  <si>
    <t>QNS</t>
  </si>
  <si>
    <t>O&amp;M-Plant services</t>
  </si>
  <si>
    <t>20-2540-321</t>
  </si>
  <si>
    <t>Advanced Disposal</t>
  </si>
  <si>
    <t>20-2540-340</t>
  </si>
  <si>
    <t>Frontier</t>
  </si>
  <si>
    <t>20-2540-310</t>
  </si>
  <si>
    <t>MediaCom</t>
  </si>
  <si>
    <t>Metro MCC</t>
  </si>
  <si>
    <t>20-2540-322</t>
  </si>
  <si>
    <t>Walker Landscaping</t>
  </si>
  <si>
    <t>TR-Transportation services</t>
  </si>
  <si>
    <t>20-2550-331</t>
  </si>
  <si>
    <t>ED-Lease</t>
  </si>
  <si>
    <t>21-2900-325</t>
  </si>
  <si>
    <t>CI  Digital</t>
  </si>
  <si>
    <t>CP-Facilites Acquisitions</t>
  </si>
  <si>
    <t>60-2530-319</t>
  </si>
  <si>
    <t>Edge Associates</t>
  </si>
  <si>
    <t>Ideal</t>
  </si>
  <si>
    <t>Jordan Audio</t>
  </si>
  <si>
    <t>Martn Engineering</t>
  </si>
  <si>
    <t xml:space="preserve">MET </t>
  </si>
  <si>
    <t>TF-Loss Prevention</t>
  </si>
  <si>
    <t>80-2367-321</t>
  </si>
  <si>
    <t>Crist</t>
  </si>
  <si>
    <t>80-2367-310</t>
  </si>
  <si>
    <t>DMH Nursing</t>
  </si>
  <si>
    <t>TF-Legal</t>
  </si>
  <si>
    <t>80-2369-318</t>
  </si>
  <si>
    <t>Robbin Swartz</t>
  </si>
  <si>
    <t>TF-Risk Management</t>
  </si>
  <si>
    <t>80-2365-340</t>
  </si>
  <si>
    <t>West Interactive</t>
  </si>
  <si>
    <t>Page 5, Line 12</t>
  </si>
  <si>
    <t xml:space="preserve">   Education Fund</t>
  </si>
  <si>
    <t xml:space="preserve">      A/R Computers</t>
  </si>
  <si>
    <t>Page 9, Line 17</t>
  </si>
  <si>
    <t xml:space="preserve">   Oakley Silt Basin Real Estate Taxes</t>
  </si>
  <si>
    <t xml:space="preserve">      Education Fund</t>
  </si>
  <si>
    <t xml:space="preserve">      Operations &amp; Maintenance Fund</t>
  </si>
  <si>
    <t xml:space="preserve">      Debt Services Fund</t>
  </si>
  <si>
    <t xml:space="preserve">      Transportation Fund</t>
  </si>
  <si>
    <t xml:space="preserve">      Working Cash Fund</t>
  </si>
  <si>
    <t xml:space="preserve">      Tort Fund</t>
  </si>
  <si>
    <t xml:space="preserve">      Fire Prevention &amp; Safety Fund</t>
  </si>
  <si>
    <t xml:space="preserve">      Municipal Retirement/Social Security Fund</t>
  </si>
  <si>
    <t>Page 10, Line 107</t>
  </si>
  <si>
    <t xml:space="preserve">      BAS</t>
  </si>
  <si>
    <t xml:space="preserve">      Insurance Refunds</t>
  </si>
  <si>
    <t xml:space="preserve">      State Reimbursement</t>
  </si>
  <si>
    <t xml:space="preserve">      Miscellaneous</t>
  </si>
  <si>
    <t xml:space="preserve">$ </t>
  </si>
  <si>
    <t xml:space="preserve">      Gas Purchased</t>
  </si>
  <si>
    <t xml:space="preserve">   Transportation Fund</t>
  </si>
  <si>
    <t xml:space="preserve">   Capital Projects</t>
  </si>
  <si>
    <t xml:space="preserve">      Parking Fees</t>
  </si>
  <si>
    <t xml:space="preserve">   Tort Fund</t>
  </si>
  <si>
    <t>Page 12, Line 171</t>
  </si>
  <si>
    <t xml:space="preserve">  </t>
  </si>
  <si>
    <t xml:space="preserve">     </t>
  </si>
  <si>
    <t xml:space="preserve">      AG Grant</t>
  </si>
  <si>
    <t>Library Per Capita Grant</t>
  </si>
  <si>
    <t>Page 14, Line 272</t>
  </si>
  <si>
    <t xml:space="preserve">    Education Fund</t>
  </si>
  <si>
    <t xml:space="preserve">      USAC E-Rate</t>
  </si>
  <si>
    <t xml:space="preserve">      REAP Grant</t>
  </si>
  <si>
    <t>Page 18, Line 171</t>
  </si>
  <si>
    <t xml:space="preserve">   Debt Services Fund</t>
  </si>
  <si>
    <t xml:space="preserve">      Bond fees</t>
  </si>
  <si>
    <t>Cerro Gordo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</si>
</sst>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55" fillId="0" borderId="0" xfId="0"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285750</xdr:colOff>
          <xdr:row>7</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1685</v>
      </c>
      <c r="B1" s="45"/>
      <c r="C1" s="45"/>
      <c r="D1" s="46"/>
      <c r="I1" s="2034" t="s">
        <v>424</v>
      </c>
      <c r="J1" s="2035"/>
      <c r="K1" s="2035"/>
      <c r="L1" s="2035"/>
      <c r="M1" s="2035"/>
      <c r="N1" s="2035"/>
      <c r="O1" s="2035"/>
      <c r="P1" s="2035"/>
      <c r="Q1" s="2035"/>
      <c r="R1" s="2035"/>
      <c r="S1" s="2035"/>
    </row>
    <row r="2" spans="1:28" ht="12" customHeight="1" x14ac:dyDescent="0.2">
      <c r="A2" s="47" t="s">
        <v>1683</v>
      </c>
      <c r="D2" s="48"/>
      <c r="I2" s="2036" t="s">
        <v>1035</v>
      </c>
      <c r="J2" s="2035"/>
      <c r="K2" s="2035"/>
      <c r="L2" s="2035"/>
      <c r="M2" s="2035"/>
      <c r="N2" s="2035"/>
      <c r="O2" s="2035"/>
      <c r="P2" s="2035"/>
      <c r="Q2" s="2035"/>
      <c r="R2" s="2035"/>
      <c r="S2" s="2035"/>
    </row>
    <row r="3" spans="1:28" ht="12" customHeight="1" x14ac:dyDescent="0.2">
      <c r="A3" s="155" t="s">
        <v>1684</v>
      </c>
      <c r="B3" s="156"/>
      <c r="C3" s="156"/>
      <c r="D3" s="157"/>
      <c r="I3" s="2036" t="s">
        <v>54</v>
      </c>
      <c r="J3" s="2035"/>
      <c r="K3" s="2035"/>
      <c r="L3" s="2035"/>
      <c r="M3" s="2035"/>
      <c r="N3" s="2035"/>
      <c r="O3" s="2035"/>
      <c r="P3" s="2035"/>
      <c r="Q3" s="2035"/>
      <c r="R3" s="2035"/>
      <c r="S3" s="2035"/>
    </row>
    <row r="4" spans="1:28" ht="12" customHeight="1" x14ac:dyDescent="0.2">
      <c r="A4" s="37"/>
      <c r="I4" s="2036" t="s">
        <v>544</v>
      </c>
      <c r="J4" s="2035"/>
      <c r="K4" s="2035"/>
      <c r="L4" s="2035"/>
      <c r="M4" s="2035"/>
      <c r="N4" s="2035"/>
      <c r="O4" s="2035"/>
      <c r="P4" s="2035"/>
      <c r="Q4" s="2035"/>
      <c r="R4" s="2035"/>
      <c r="S4" s="2035"/>
    </row>
    <row r="5" spans="1:28" ht="14.1" customHeight="1" x14ac:dyDescent="0.2">
      <c r="B5" s="104" t="s">
        <v>2076</v>
      </c>
      <c r="C5" s="26" t="s">
        <v>965</v>
      </c>
      <c r="D5" s="84"/>
      <c r="E5" s="84"/>
      <c r="H5" s="38"/>
      <c r="I5" s="2043" t="s">
        <v>700</v>
      </c>
      <c r="J5" s="1988"/>
      <c r="K5" s="1988"/>
      <c r="L5" s="1988"/>
      <c r="M5" s="1988"/>
      <c r="N5" s="1988"/>
      <c r="O5" s="1988"/>
      <c r="P5" s="1988"/>
      <c r="Q5" s="1988"/>
      <c r="R5" s="1988"/>
      <c r="S5" s="1988"/>
    </row>
    <row r="6" spans="1:28" ht="14.1" customHeight="1" x14ac:dyDescent="0.2">
      <c r="B6" s="104"/>
      <c r="C6" s="26" t="s">
        <v>966</v>
      </c>
      <c r="D6" s="84"/>
      <c r="E6" s="84"/>
      <c r="I6" s="2042" t="s">
        <v>937</v>
      </c>
      <c r="J6" s="1988"/>
      <c r="K6" s="1988"/>
      <c r="L6" s="1988"/>
      <c r="M6" s="1988"/>
      <c r="N6" s="1988"/>
      <c r="O6" s="1988"/>
      <c r="P6" s="1988"/>
      <c r="Q6" s="1988"/>
      <c r="R6" s="1988"/>
      <c r="S6" s="1988"/>
    </row>
    <row r="7" spans="1:28" ht="12.4"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694</v>
      </c>
      <c r="J9" s="2040"/>
      <c r="K9" s="2040"/>
      <c r="L9" s="2040"/>
      <c r="M9" s="2040"/>
      <c r="N9" s="2040"/>
      <c r="O9" s="2040"/>
      <c r="P9" s="2040"/>
      <c r="Q9" s="2040"/>
      <c r="R9" s="2040"/>
      <c r="S9" s="2041"/>
      <c r="T9" s="1984" t="s">
        <v>553</v>
      </c>
      <c r="U9" s="1985"/>
      <c r="V9" s="1985"/>
      <c r="W9" s="1985"/>
      <c r="X9" s="1985"/>
      <c r="Y9" s="1985"/>
      <c r="Z9" s="1985"/>
      <c r="AA9" s="1986"/>
    </row>
    <row r="10" spans="1:28" ht="13.5" customHeight="1" x14ac:dyDescent="0.2">
      <c r="A10" s="1993" t="s">
        <v>695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1011</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4" t="s">
        <v>2077</v>
      </c>
      <c r="B13" s="2005"/>
      <c r="C13" s="2005"/>
      <c r="D13" s="2005"/>
      <c r="E13" s="2005"/>
      <c r="F13" s="2005"/>
      <c r="G13" s="2005"/>
      <c r="H13" s="2006"/>
      <c r="I13" s="31"/>
      <c r="J13" s="30"/>
      <c r="K13" s="28"/>
      <c r="L13" s="30"/>
      <c r="M13" s="30"/>
      <c r="N13" s="30"/>
      <c r="O13" s="30"/>
      <c r="P13" s="30"/>
      <c r="Q13" s="30"/>
      <c r="R13" s="30"/>
      <c r="S13" s="30"/>
      <c r="T13" s="2009" t="s">
        <v>2080</v>
      </c>
      <c r="U13" s="2010"/>
      <c r="V13" s="2010"/>
      <c r="W13" s="2010"/>
      <c r="X13" s="2010"/>
      <c r="Y13" s="2011"/>
      <c r="Z13" s="2011"/>
      <c r="AA13" s="2012"/>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2" t="s">
        <v>2078</v>
      </c>
      <c r="B15" s="2007"/>
      <c r="C15" s="2007"/>
      <c r="D15" s="2007"/>
      <c r="E15" s="2007"/>
      <c r="F15" s="2007"/>
      <c r="G15" s="2007"/>
      <c r="H15" s="2008"/>
      <c r="T15" s="1970" t="s">
        <v>2081</v>
      </c>
      <c r="U15" s="1971"/>
      <c r="V15" s="1971"/>
      <c r="W15" s="1971"/>
      <c r="X15" s="1971"/>
      <c r="Y15" s="2013"/>
      <c r="Z15" s="2013"/>
      <c r="AA15" s="201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2" t="s">
        <v>2185</v>
      </c>
      <c r="B17" s="2032"/>
      <c r="C17" s="2032"/>
      <c r="D17" s="2032"/>
      <c r="E17" s="2032"/>
      <c r="F17" s="2032"/>
      <c r="G17" s="2032"/>
      <c r="H17" s="2033"/>
      <c r="T17" s="2019" t="s">
        <v>2082</v>
      </c>
      <c r="U17" s="2020"/>
      <c r="V17" s="2020"/>
      <c r="W17" s="2020"/>
      <c r="X17" s="2020"/>
      <c r="Y17" s="2020"/>
      <c r="Z17" s="2020"/>
      <c r="AA17" s="2021"/>
    </row>
    <row r="18" spans="1:27" ht="13.5" customHeight="1" x14ac:dyDescent="0.2">
      <c r="A18" s="85" t="s">
        <v>550</v>
      </c>
      <c r="B18" s="76"/>
      <c r="C18" s="72"/>
      <c r="D18" s="76"/>
      <c r="E18" s="76"/>
      <c r="F18" s="76"/>
      <c r="G18" s="76"/>
      <c r="H18" s="56"/>
      <c r="I18" s="2029" t="s">
        <v>696</v>
      </c>
      <c r="J18" s="2030"/>
      <c r="K18" s="2030"/>
      <c r="L18" s="2030"/>
      <c r="M18" s="2030"/>
      <c r="N18" s="2030"/>
      <c r="O18" s="2030"/>
      <c r="P18" s="2030"/>
      <c r="Q18" s="2030"/>
      <c r="R18" s="2030"/>
      <c r="S18" s="2031"/>
      <c r="T18" s="85" t="s">
        <v>734</v>
      </c>
      <c r="U18" s="51"/>
      <c r="V18" s="72"/>
      <c r="W18" s="50"/>
      <c r="X18" s="85" t="s">
        <v>283</v>
      </c>
      <c r="Y18" s="81"/>
      <c r="Z18" s="159" t="s">
        <v>697</v>
      </c>
      <c r="AA18" s="46"/>
    </row>
    <row r="19" spans="1:27" ht="13.5" customHeight="1" x14ac:dyDescent="0.2">
      <c r="A19" s="2002" t="s">
        <v>2079</v>
      </c>
      <c r="B19" s="2003"/>
      <c r="C19" s="2003"/>
      <c r="D19" s="2003"/>
      <c r="E19" s="2003"/>
      <c r="F19" s="2003"/>
      <c r="G19" s="2003"/>
      <c r="H19" s="2001"/>
      <c r="I19" s="30"/>
      <c r="J19" s="99"/>
      <c r="K19" s="40"/>
      <c r="L19" s="38"/>
      <c r="M19" s="112" t="s">
        <v>332</v>
      </c>
      <c r="P19" s="27"/>
      <c r="Q19" s="27"/>
      <c r="R19" s="27"/>
      <c r="S19" s="31"/>
      <c r="T19" s="2002" t="s">
        <v>2083</v>
      </c>
      <c r="U19" s="2000"/>
      <c r="V19" s="2000"/>
      <c r="W19" s="2001"/>
      <c r="X19" s="2017" t="s">
        <v>2084</v>
      </c>
      <c r="Y19" s="2018"/>
      <c r="Z19" s="2015">
        <v>61727</v>
      </c>
      <c r="AA19" s="201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9" t="s">
        <v>2085</v>
      </c>
      <c r="B21" s="2000"/>
      <c r="C21" s="2000"/>
      <c r="D21" s="2000"/>
      <c r="E21" s="2000"/>
      <c r="F21" s="2000"/>
      <c r="G21" s="2000"/>
      <c r="H21" s="2001"/>
      <c r="I21" s="2025" t="s">
        <v>698</v>
      </c>
      <c r="J21" s="1988"/>
      <c r="K21" s="1988"/>
      <c r="L21" s="1988"/>
      <c r="M21" s="1988"/>
      <c r="N21" s="1988"/>
      <c r="O21" s="1988"/>
      <c r="P21" s="1988"/>
      <c r="Q21" s="1988"/>
      <c r="R21" s="1988"/>
      <c r="S21" s="1989"/>
      <c r="T21" s="1967" t="s">
        <v>2086</v>
      </c>
      <c r="U21" s="1968"/>
      <c r="V21" s="1968"/>
      <c r="W21" s="1968"/>
      <c r="X21" s="1981" t="s">
        <v>2087</v>
      </c>
      <c r="Y21" s="1982"/>
      <c r="Z21" s="1982"/>
      <c r="AA21" s="1983"/>
    </row>
    <row r="22" spans="1:27" ht="13.5" customHeight="1" x14ac:dyDescent="0.2">
      <c r="A22" s="87" t="s">
        <v>551</v>
      </c>
      <c r="B22" s="59"/>
      <c r="C22" s="59"/>
      <c r="D22" s="59"/>
      <c r="E22" s="59"/>
      <c r="F22" s="59"/>
      <c r="G22" s="59"/>
      <c r="H22" s="60"/>
      <c r="I22" s="2026" t="s">
        <v>1503</v>
      </c>
      <c r="J22" s="2027"/>
      <c r="K22" s="2027"/>
      <c r="L22" s="2027"/>
      <c r="M22" s="2027"/>
      <c r="N22" s="2027"/>
      <c r="O22" s="2027"/>
      <c r="P22" s="2027"/>
      <c r="Q22" s="2027"/>
      <c r="R22" s="2027"/>
      <c r="S22" s="2028"/>
      <c r="T22" s="85" t="s">
        <v>1595</v>
      </c>
      <c r="U22" s="51"/>
      <c r="V22" s="72"/>
      <c r="W22" s="51"/>
      <c r="X22" s="160" t="s">
        <v>1384</v>
      </c>
      <c r="Z22" s="45"/>
      <c r="AA22" s="46"/>
    </row>
    <row r="23" spans="1:27" ht="13.5" customHeight="1" x14ac:dyDescent="0.2">
      <c r="A23" s="2022"/>
      <c r="B23" s="2023"/>
      <c r="C23" s="2023"/>
      <c r="D23" s="2023"/>
      <c r="E23" s="2023"/>
      <c r="F23" s="2023"/>
      <c r="G23" s="2023"/>
      <c r="H23" s="2024"/>
      <c r="T23" s="1962">
        <v>66.004384999999999</v>
      </c>
      <c r="U23" s="1963"/>
      <c r="V23" s="1963"/>
      <c r="W23" s="1963"/>
      <c r="X23" s="1978">
        <v>43434</v>
      </c>
      <c r="Y23" s="1979"/>
      <c r="Z23" s="1979"/>
      <c r="AA23" s="1980"/>
    </row>
    <row r="24" spans="1:27" ht="14.1" customHeight="1" x14ac:dyDescent="0.2">
      <c r="A24" s="88" t="s">
        <v>697</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551</v>
      </c>
      <c r="U24" s="106"/>
      <c r="V24" s="106"/>
      <c r="W24" s="106"/>
      <c r="X24" s="107"/>
      <c r="Y24" s="107"/>
      <c r="Z24" s="107"/>
      <c r="AA24" s="108"/>
    </row>
    <row r="25" spans="1:27" ht="14.1" customHeight="1" x14ac:dyDescent="0.2">
      <c r="A25" s="1999">
        <v>61818</v>
      </c>
      <c r="B25" s="2000"/>
      <c r="C25" s="2000"/>
      <c r="D25" s="2000"/>
      <c r="E25" s="2000"/>
      <c r="F25" s="2000"/>
      <c r="G25" s="2000"/>
      <c r="H25" s="2001"/>
      <c r="I25" s="113"/>
      <c r="J25" s="2066"/>
      <c r="K25" s="2066"/>
      <c r="L25" s="2066"/>
      <c r="M25" s="2066"/>
      <c r="N25" s="2066"/>
      <c r="O25" s="2066"/>
      <c r="P25" s="2066"/>
      <c r="Q25" s="2066"/>
      <c r="R25" s="2066"/>
      <c r="S25" s="2067"/>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7" t="s">
        <v>1590</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551</v>
      </c>
      <c r="B39" s="2056"/>
      <c r="C39" s="72"/>
      <c r="D39" s="69"/>
      <c r="E39" s="69"/>
      <c r="F39" s="79"/>
      <c r="G39" s="69"/>
      <c r="H39" s="56"/>
      <c r="I39" s="2055" t="s">
        <v>551</v>
      </c>
      <c r="J39" s="2056"/>
      <c r="K39" s="2056"/>
      <c r="L39" s="2056"/>
      <c r="M39" s="2056"/>
      <c r="N39" s="67"/>
      <c r="O39" s="72"/>
      <c r="P39" s="72"/>
      <c r="Q39" s="78"/>
      <c r="R39" s="72"/>
      <c r="S39" s="56"/>
      <c r="T39" s="72" t="s">
        <v>551</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6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K49" sqref="K49"/>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7"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9" customHeight="1" x14ac:dyDescent="0.2">
      <c r="A4" s="716" t="s">
        <v>1216</v>
      </c>
      <c r="B4" s="1771">
        <f>'Revenues 9-14'!C5</f>
        <v>1795324</v>
      </c>
      <c r="C4" s="1546"/>
      <c r="D4" s="1774">
        <f>B4-C4</f>
        <v>1795324</v>
      </c>
      <c r="E4" s="1546">
        <v>1830457</v>
      </c>
      <c r="F4" s="1774">
        <f>E4-C4</f>
        <v>1830457</v>
      </c>
    </row>
    <row r="5" spans="1:6" ht="13.9" customHeight="1" x14ac:dyDescent="0.2">
      <c r="A5" s="716" t="s">
        <v>924</v>
      </c>
      <c r="B5" s="1772">
        <f>'Revenues 9-14'!D5</f>
        <v>359044</v>
      </c>
      <c r="C5" s="585"/>
      <c r="D5" s="1775">
        <f t="shared" ref="D5:D18" si="0">B5-C5</f>
        <v>359044</v>
      </c>
      <c r="E5" s="585">
        <v>366092</v>
      </c>
      <c r="F5" s="1775">
        <f>E5-C5</f>
        <v>366092</v>
      </c>
    </row>
    <row r="6" spans="1:6" ht="13.9" customHeight="1" x14ac:dyDescent="0.2">
      <c r="A6" s="716" t="s">
        <v>430</v>
      </c>
      <c r="B6" s="1772">
        <f>'Revenues 9-14'!E5</f>
        <v>376103</v>
      </c>
      <c r="C6" s="585"/>
      <c r="D6" s="1775">
        <f t="shared" si="0"/>
        <v>376103</v>
      </c>
      <c r="E6" s="585">
        <v>667956</v>
      </c>
      <c r="F6" s="1775">
        <f t="shared" ref="F6:F18" si="1">E6-C6</f>
        <v>667956</v>
      </c>
    </row>
    <row r="7" spans="1:6" ht="13.9" customHeight="1" x14ac:dyDescent="0.2">
      <c r="A7" s="716" t="s">
        <v>157</v>
      </c>
      <c r="B7" s="1772">
        <f>'Revenues 9-14'!F5</f>
        <v>143617</v>
      </c>
      <c r="C7" s="585"/>
      <c r="D7" s="1775">
        <f t="shared" si="0"/>
        <v>143617</v>
      </c>
      <c r="E7" s="585">
        <v>146437</v>
      </c>
      <c r="F7" s="1775">
        <f t="shared" si="1"/>
        <v>146437</v>
      </c>
    </row>
    <row r="8" spans="1:6" ht="13.9" customHeight="1" x14ac:dyDescent="0.2">
      <c r="A8" s="716" t="s">
        <v>1240</v>
      </c>
      <c r="B8" s="1772">
        <f>'Revenues 9-14'!G5</f>
        <v>59199</v>
      </c>
      <c r="C8" s="585"/>
      <c r="D8" s="1775">
        <f t="shared" si="0"/>
        <v>59199</v>
      </c>
      <c r="E8" s="585">
        <v>59058</v>
      </c>
      <c r="F8" s="1775">
        <f t="shared" si="1"/>
        <v>59058</v>
      </c>
    </row>
    <row r="9" spans="1:6" ht="13.9" customHeight="1" x14ac:dyDescent="0.2">
      <c r="A9" s="716" t="s">
        <v>427</v>
      </c>
      <c r="B9" s="1772">
        <f>'Revenues 9-14'!H5</f>
        <v>0</v>
      </c>
      <c r="C9" s="585"/>
      <c r="D9" s="1775">
        <f t="shared" si="0"/>
        <v>0</v>
      </c>
      <c r="E9" s="585"/>
      <c r="F9" s="1775">
        <f t="shared" si="1"/>
        <v>0</v>
      </c>
    </row>
    <row r="10" spans="1:6" ht="13.9" customHeight="1" x14ac:dyDescent="0.2">
      <c r="A10" s="716" t="s">
        <v>426</v>
      </c>
      <c r="B10" s="1772">
        <f>'Revenues 9-14'!I5</f>
        <v>35904</v>
      </c>
      <c r="C10" s="585"/>
      <c r="D10" s="1775">
        <f t="shared" si="0"/>
        <v>35904</v>
      </c>
      <c r="E10" s="585">
        <v>36609</v>
      </c>
      <c r="F10" s="1775">
        <f t="shared" si="1"/>
        <v>36609</v>
      </c>
    </row>
    <row r="11" spans="1:6" x14ac:dyDescent="0.2">
      <c r="A11" s="716" t="s">
        <v>428</v>
      </c>
      <c r="B11" s="1772">
        <f>'Revenues 9-14'!J5</f>
        <v>200333</v>
      </c>
      <c r="C11" s="585"/>
      <c r="D11" s="1775">
        <f t="shared" si="0"/>
        <v>200333</v>
      </c>
      <c r="E11" s="585">
        <v>199330</v>
      </c>
      <c r="F11" s="1775">
        <f t="shared" si="1"/>
        <v>199330</v>
      </c>
    </row>
    <row r="12" spans="1:6" ht="13.9" customHeight="1" x14ac:dyDescent="0.2">
      <c r="A12" s="716" t="s">
        <v>159</v>
      </c>
      <c r="B12" s="1772">
        <f>'Revenues 9-14'!K5</f>
        <v>35904</v>
      </c>
      <c r="C12" s="585"/>
      <c r="D12" s="1775">
        <f t="shared" si="0"/>
        <v>35904</v>
      </c>
      <c r="E12" s="585">
        <v>36609</v>
      </c>
      <c r="F12" s="1775">
        <f t="shared" si="1"/>
        <v>36609</v>
      </c>
    </row>
    <row r="13" spans="1:6" ht="13.9" customHeight="1" x14ac:dyDescent="0.2">
      <c r="A13" s="716" t="s">
        <v>992</v>
      </c>
      <c r="B13" s="1772">
        <f>SUM('Revenues 9-14'!C6:D6)</f>
        <v>35904</v>
      </c>
      <c r="C13" s="585"/>
      <c r="D13" s="1775">
        <f t="shared" si="0"/>
        <v>35904</v>
      </c>
      <c r="E13" s="585">
        <v>36609</v>
      </c>
      <c r="F13" s="1775">
        <f t="shared" si="1"/>
        <v>36609</v>
      </c>
    </row>
    <row r="14" spans="1:6" ht="13.9" customHeight="1" x14ac:dyDescent="0.2">
      <c r="A14" s="716" t="s">
        <v>429</v>
      </c>
      <c r="B14" s="1772">
        <f>SUM('Revenues 9-14'!C7:D7,'Revenues 9-14'!F7:H7)</f>
        <v>28724</v>
      </c>
      <c r="C14" s="585"/>
      <c r="D14" s="1775">
        <f t="shared" si="0"/>
        <v>28724</v>
      </c>
      <c r="E14" s="585">
        <v>29287</v>
      </c>
      <c r="F14" s="1775">
        <f t="shared" si="1"/>
        <v>29287</v>
      </c>
    </row>
    <row r="15" spans="1:6" ht="13.9" customHeight="1" x14ac:dyDescent="0.2">
      <c r="A15" s="716" t="s">
        <v>1219</v>
      </c>
      <c r="B15" s="1772">
        <f>'Revenues 9-14'!E9</f>
        <v>0</v>
      </c>
      <c r="C15" s="585"/>
      <c r="D15" s="1775">
        <f t="shared" si="0"/>
        <v>0</v>
      </c>
      <c r="E15" s="585"/>
      <c r="F15" s="1775">
        <f t="shared" si="1"/>
        <v>0</v>
      </c>
    </row>
    <row r="16" spans="1:6" ht="13.9" customHeight="1" x14ac:dyDescent="0.2">
      <c r="A16" s="716" t="s">
        <v>1220</v>
      </c>
      <c r="B16" s="1772">
        <f>'Revenues 9-14'!G8</f>
        <v>82372</v>
      </c>
      <c r="C16" s="585"/>
      <c r="D16" s="1775">
        <f t="shared" si="0"/>
        <v>82372</v>
      </c>
      <c r="E16" s="585">
        <v>81206</v>
      </c>
      <c r="F16" s="1775">
        <f t="shared" si="1"/>
        <v>81206</v>
      </c>
    </row>
    <row r="17" spans="1:6" ht="13.9" customHeight="1" x14ac:dyDescent="0.2">
      <c r="A17" s="716" t="s">
        <v>1221</v>
      </c>
      <c r="B17" s="1772">
        <f>'Revenues 9-14'!C10</f>
        <v>0</v>
      </c>
      <c r="C17" s="585"/>
      <c r="D17" s="1775">
        <f t="shared" si="0"/>
        <v>0</v>
      </c>
      <c r="E17" s="585"/>
      <c r="F17" s="1775">
        <f t="shared" si="1"/>
        <v>0</v>
      </c>
    </row>
    <row r="18" spans="1:6" ht="13.9" customHeight="1" x14ac:dyDescent="0.2">
      <c r="A18" s="716" t="s">
        <v>785</v>
      </c>
      <c r="B18" s="1772">
        <f>SUM('Revenues 9-14'!C11:K11)</f>
        <v>0</v>
      </c>
      <c r="C18" s="585"/>
      <c r="D18" s="1775">
        <f t="shared" si="0"/>
        <v>0</v>
      </c>
      <c r="E18" s="585"/>
      <c r="F18" s="1775">
        <f t="shared" si="1"/>
        <v>0</v>
      </c>
    </row>
    <row r="19" spans="1:6" ht="13.9" customHeight="1" thickBot="1" x14ac:dyDescent="0.25">
      <c r="A19" s="1776" t="s">
        <v>1222</v>
      </c>
      <c r="B19" s="1773">
        <f>SUM(B4:B18)</f>
        <v>3152428</v>
      </c>
      <c r="C19" s="1773">
        <f>SUM(C4:C18)</f>
        <v>0</v>
      </c>
      <c r="D19" s="1773">
        <f>SUM(D4:D18)</f>
        <v>3152428</v>
      </c>
      <c r="E19" s="1773">
        <f>SUM(E4:E18)</f>
        <v>3489650</v>
      </c>
      <c r="F19" s="1773">
        <f>SUM(F4:F18)</f>
        <v>3489650</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K49" sqref="K49"/>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07" t="s">
        <v>649</v>
      </c>
      <c r="B1" s="2208"/>
      <c r="C1" s="722"/>
    </row>
    <row r="2" spans="1:7" ht="33.75" x14ac:dyDescent="0.2">
      <c r="A2" s="2216" t="s">
        <v>1904</v>
      </c>
      <c r="B2" s="2217"/>
      <c r="C2" s="1908" t="s">
        <v>2037</v>
      </c>
      <c r="D2" s="724" t="s">
        <v>2044</v>
      </c>
      <c r="E2" s="724" t="s">
        <v>2045</v>
      </c>
      <c r="F2" s="1908" t="s">
        <v>2038</v>
      </c>
    </row>
    <row r="3" spans="1:7" ht="15.75" customHeight="1" x14ac:dyDescent="0.2">
      <c r="A3" s="2220" t="s">
        <v>1175</v>
      </c>
      <c r="B3" s="2221"/>
      <c r="C3" s="2209"/>
      <c r="D3" s="2210"/>
      <c r="E3" s="2210"/>
      <c r="F3" s="2211"/>
    </row>
    <row r="4" spans="1:7" ht="12.75" customHeight="1" thickBot="1" x14ac:dyDescent="0.25">
      <c r="A4" s="2218" t="s">
        <v>650</v>
      </c>
      <c r="B4" s="2219"/>
      <c r="C4" s="581"/>
      <c r="D4" s="581"/>
      <c r="E4" s="581"/>
      <c r="F4" s="1777">
        <f>SUM(C4+D4)-E4</f>
        <v>0</v>
      </c>
    </row>
    <row r="5" spans="1:7" ht="15.75" customHeight="1" thickTop="1" x14ac:dyDescent="0.2">
      <c r="A5" s="2203" t="s">
        <v>1171</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5" t="s">
        <v>651</v>
      </c>
      <c r="B15" s="2206"/>
      <c r="C15" s="1777">
        <f>SUM(C6:C14)</f>
        <v>0</v>
      </c>
      <c r="D15" s="1777">
        <f>SUM(D6:D14)</f>
        <v>0</v>
      </c>
      <c r="E15" s="1777">
        <f>SUM(E6:E14)</f>
        <v>0</v>
      </c>
      <c r="F15" s="1777">
        <f>SUM(F6:F14)</f>
        <v>0</v>
      </c>
      <c r="G15" s="552"/>
    </row>
    <row r="16" spans="1:7" s="202" customFormat="1" ht="15.75" customHeight="1" thickTop="1" x14ac:dyDescent="0.2">
      <c r="A16" s="2215" t="s">
        <v>1172</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405</v>
      </c>
      <c r="B19" s="2229"/>
      <c r="C19" s="727"/>
      <c r="D19" s="585"/>
      <c r="E19" s="727"/>
      <c r="F19" s="1777">
        <f>SUM(C19+D19)-E19</f>
        <v>0</v>
      </c>
    </row>
    <row r="20" spans="1:11" ht="12.75" customHeight="1" thickTop="1" thickBot="1" x14ac:dyDescent="0.25">
      <c r="A20" s="2228" t="s">
        <v>467</v>
      </c>
      <c r="B20" s="2229"/>
      <c r="C20" s="727"/>
      <c r="D20" s="585"/>
      <c r="E20" s="727"/>
      <c r="F20" s="1777">
        <f>SUM(C20+D20)-E20</f>
        <v>0</v>
      </c>
    </row>
    <row r="21" spans="1:11" ht="14.25" thickTop="1" thickBot="1" x14ac:dyDescent="0.25">
      <c r="A21" s="2205" t="s">
        <v>652</v>
      </c>
      <c r="B21" s="2206"/>
      <c r="C21" s="1777">
        <f>SUM(C17:C20)</f>
        <v>0</v>
      </c>
      <c r="D21" s="1777">
        <f>SUM(D17:D20)</f>
        <v>0</v>
      </c>
      <c r="E21" s="1777">
        <f>SUM(E17:E20)</f>
        <v>0</v>
      </c>
      <c r="F21" s="1777">
        <f>SUM(F17:F20)</f>
        <v>0</v>
      </c>
      <c r="G21" s="552"/>
    </row>
    <row r="22" spans="1:11" ht="15.75" customHeight="1" thickTop="1" x14ac:dyDescent="0.2">
      <c r="A22" s="2230" t="s">
        <v>1173</v>
      </c>
      <c r="B22" s="2204"/>
      <c r="C22" s="2212"/>
      <c r="D22" s="2213"/>
      <c r="E22" s="2213"/>
      <c r="F22" s="2214"/>
    </row>
    <row r="23" spans="1:11" ht="13.5" thickBot="1" x14ac:dyDescent="0.25">
      <c r="A23" s="2218" t="s">
        <v>653</v>
      </c>
      <c r="B23" s="2219"/>
      <c r="C23" s="581"/>
      <c r="D23" s="581"/>
      <c r="E23" s="581"/>
      <c r="F23" s="1777">
        <f>SUM(C23+D23)-E23</f>
        <v>0</v>
      </c>
      <c r="G23" s="552"/>
    </row>
    <row r="24" spans="1:11" ht="15.75" customHeight="1" thickTop="1" x14ac:dyDescent="0.2">
      <c r="A24" s="2230" t="s">
        <v>1174</v>
      </c>
      <c r="B24" s="2204"/>
      <c r="C24" s="2212"/>
      <c r="D24" s="2213"/>
      <c r="E24" s="2213"/>
      <c r="F24" s="2214"/>
    </row>
    <row r="25" spans="1:11" ht="13.5" thickBot="1" x14ac:dyDescent="0.25">
      <c r="A25" s="2218" t="s">
        <v>654</v>
      </c>
      <c r="B25" s="2219"/>
      <c r="C25" s="581"/>
      <c r="D25" s="581"/>
      <c r="E25" s="581"/>
      <c r="F25" s="1777">
        <f>SUM(C25+D25)-E25</f>
        <v>0</v>
      </c>
      <c r="G25" s="552"/>
    </row>
    <row r="26" spans="1:11" ht="15.75" customHeight="1" thickTop="1" x14ac:dyDescent="0.2">
      <c r="A26" s="2203" t="s">
        <v>677</v>
      </c>
      <c r="B26" s="2204"/>
      <c r="C26" s="728"/>
      <c r="D26" s="728"/>
      <c r="E26" s="728"/>
      <c r="F26" s="729"/>
    </row>
    <row r="27" spans="1:11" ht="13.5" thickBot="1" x14ac:dyDescent="0.25">
      <c r="A27" s="2205" t="s">
        <v>1129</v>
      </c>
      <c r="B27" s="2206"/>
      <c r="C27" s="585"/>
      <c r="D27" s="585"/>
      <c r="E27" s="585"/>
      <c r="F27" s="1777">
        <f>SUM(C27+D27)-E27</f>
        <v>0</v>
      </c>
      <c r="G27" s="552"/>
    </row>
    <row r="28" spans="1:11" ht="7.5" customHeight="1" thickTop="1" x14ac:dyDescent="0.2">
      <c r="A28" s="594"/>
    </row>
    <row r="29" spans="1:11" ht="23.25" customHeight="1" x14ac:dyDescent="0.2">
      <c r="A29" s="2231" t="s">
        <v>602</v>
      </c>
      <c r="B29" s="2208"/>
      <c r="C29" s="730"/>
      <c r="D29" s="730"/>
      <c r="E29" s="730"/>
      <c r="F29" s="730"/>
      <c r="G29" s="730"/>
      <c r="H29" s="730"/>
      <c r="I29" s="730"/>
      <c r="J29" s="730"/>
    </row>
    <row r="30" spans="1:11" ht="33.75" x14ac:dyDescent="0.2">
      <c r="A30" s="1551" t="s">
        <v>1130</v>
      </c>
      <c r="B30" s="731" t="s">
        <v>1185</v>
      </c>
      <c r="C30" s="1909" t="s">
        <v>603</v>
      </c>
      <c r="D30" s="1909" t="s">
        <v>1771</v>
      </c>
      <c r="E30" s="1909" t="s">
        <v>2039</v>
      </c>
      <c r="F30" s="1909" t="s">
        <v>2040</v>
      </c>
      <c r="G30" s="1909" t="s">
        <v>2043</v>
      </c>
      <c r="H30" s="1909" t="s">
        <v>2041</v>
      </c>
      <c r="I30" s="1909" t="s">
        <v>2042</v>
      </c>
      <c r="J30" s="1910" t="s">
        <v>2</v>
      </c>
      <c r="K30" s="732"/>
    </row>
    <row r="31" spans="1:11" ht="12" customHeight="1" x14ac:dyDescent="0.2">
      <c r="A31" s="733" t="s">
        <v>2093</v>
      </c>
      <c r="B31" s="734">
        <v>40026</v>
      </c>
      <c r="C31" s="735">
        <v>250000</v>
      </c>
      <c r="D31" s="736">
        <v>4</v>
      </c>
      <c r="E31" s="735">
        <v>250000</v>
      </c>
      <c r="F31" s="735"/>
      <c r="G31" s="735"/>
      <c r="H31" s="735"/>
      <c r="I31" s="1778">
        <f>((E31+F31)-H31)+G31</f>
        <v>250000</v>
      </c>
      <c r="J31" s="735"/>
      <c r="K31" s="737"/>
    </row>
    <row r="32" spans="1:11" ht="12" customHeight="1" x14ac:dyDescent="0.2">
      <c r="A32" s="733" t="s">
        <v>2094</v>
      </c>
      <c r="B32" s="734">
        <v>41053</v>
      </c>
      <c r="C32" s="735">
        <v>300000</v>
      </c>
      <c r="D32" s="736">
        <v>3</v>
      </c>
      <c r="E32" s="735">
        <v>62100</v>
      </c>
      <c r="F32" s="735"/>
      <c r="G32" s="735"/>
      <c r="H32" s="735">
        <v>62100</v>
      </c>
      <c r="I32" s="1778">
        <f>((E32+F32)-H32)+G32</f>
        <v>0</v>
      </c>
      <c r="J32" s="735"/>
      <c r="K32" s="737"/>
    </row>
    <row r="33" spans="1:11" ht="12" customHeight="1" x14ac:dyDescent="0.2">
      <c r="A33" s="733" t="s">
        <v>2095</v>
      </c>
      <c r="B33" s="734">
        <v>42389</v>
      </c>
      <c r="C33" s="735">
        <v>733700</v>
      </c>
      <c r="D33" s="736">
        <v>1</v>
      </c>
      <c r="E33" s="735">
        <v>371500</v>
      </c>
      <c r="F33" s="735"/>
      <c r="G33" s="735"/>
      <c r="H33" s="735">
        <v>371500</v>
      </c>
      <c r="I33" s="1778">
        <f t="shared" ref="I33:I48" si="1">((E33+F33)-H33)+G33</f>
        <v>0</v>
      </c>
      <c r="J33" s="735"/>
      <c r="K33" s="737"/>
    </row>
    <row r="34" spans="1:11" ht="12" customHeight="1" x14ac:dyDescent="0.2">
      <c r="A34" s="733" t="s">
        <v>2094</v>
      </c>
      <c r="B34" s="734">
        <v>42389</v>
      </c>
      <c r="C34" s="735">
        <v>1650300</v>
      </c>
      <c r="D34" s="736">
        <v>3</v>
      </c>
      <c r="E34" s="735">
        <v>1650300</v>
      </c>
      <c r="F34" s="735"/>
      <c r="G34" s="735"/>
      <c r="H34" s="735"/>
      <c r="I34" s="1778">
        <f t="shared" si="1"/>
        <v>1650300</v>
      </c>
      <c r="J34" s="735">
        <v>1367208</v>
      </c>
      <c r="K34" s="738"/>
    </row>
    <row r="35" spans="1:11" ht="12" customHeight="1" x14ac:dyDescent="0.2">
      <c r="A35" s="733" t="s">
        <v>2095</v>
      </c>
      <c r="B35" s="734">
        <v>43159</v>
      </c>
      <c r="C35" s="739">
        <v>383200</v>
      </c>
      <c r="D35" s="736">
        <v>1</v>
      </c>
      <c r="E35" s="739"/>
      <c r="F35" s="739">
        <v>383200</v>
      </c>
      <c r="G35" s="739"/>
      <c r="H35" s="739"/>
      <c r="I35" s="1778">
        <f t="shared" si="1"/>
        <v>383200</v>
      </c>
      <c r="J35" s="739">
        <v>383200</v>
      </c>
      <c r="K35" s="738"/>
    </row>
    <row r="36" spans="1:11" ht="12" customHeight="1" x14ac:dyDescent="0.2">
      <c r="A36" s="733" t="s">
        <v>2097</v>
      </c>
      <c r="B36" s="734">
        <v>43124</v>
      </c>
      <c r="C36" s="735">
        <v>7038900</v>
      </c>
      <c r="D36" s="736">
        <v>6</v>
      </c>
      <c r="E36" s="735"/>
      <c r="F36" s="735">
        <v>7038900</v>
      </c>
      <c r="G36" s="735"/>
      <c r="H36" s="735"/>
      <c r="I36" s="1778">
        <f t="shared" si="1"/>
        <v>7038900</v>
      </c>
      <c r="J36" s="735">
        <v>7038900</v>
      </c>
      <c r="K36" s="740"/>
    </row>
    <row r="37" spans="1:11" ht="12" customHeight="1" x14ac:dyDescent="0.2">
      <c r="A37" s="733" t="s">
        <v>2097</v>
      </c>
      <c r="B37" s="734">
        <v>43097</v>
      </c>
      <c r="C37" s="467">
        <v>961100</v>
      </c>
      <c r="D37" s="741">
        <v>7</v>
      </c>
      <c r="E37" s="467"/>
      <c r="F37" s="467">
        <v>961100</v>
      </c>
      <c r="G37" s="467"/>
      <c r="H37" s="467"/>
      <c r="I37" s="1778">
        <f t="shared" si="1"/>
        <v>961100</v>
      </c>
      <c r="J37" s="467">
        <v>961100</v>
      </c>
      <c r="K37" s="738"/>
    </row>
    <row r="38" spans="1:11" ht="12" customHeight="1" x14ac:dyDescent="0.2">
      <c r="A38" s="733" t="s">
        <v>2097</v>
      </c>
      <c r="B38" s="734">
        <v>43097</v>
      </c>
      <c r="C38" s="735">
        <v>2000000</v>
      </c>
      <c r="D38" s="742">
        <v>7</v>
      </c>
      <c r="E38" s="743"/>
      <c r="F38" s="743">
        <v>2000000</v>
      </c>
      <c r="G38" s="743"/>
      <c r="H38" s="743"/>
      <c r="I38" s="1778">
        <f t="shared" si="1"/>
        <v>2000000</v>
      </c>
      <c r="J38" s="744">
        <v>2000000</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13317200</v>
      </c>
      <c r="D49" s="746"/>
      <c r="E49" s="1778">
        <f t="shared" ref="E49:J49" si="2">SUM(E31:E48)</f>
        <v>2333900</v>
      </c>
      <c r="F49" s="1778">
        <f t="shared" si="2"/>
        <v>10383200</v>
      </c>
      <c r="G49" s="1778">
        <f t="shared" si="2"/>
        <v>0</v>
      </c>
      <c r="H49" s="1778">
        <f t="shared" si="2"/>
        <v>433600</v>
      </c>
      <c r="I49" s="1778">
        <f t="shared" si="2"/>
        <v>12283500</v>
      </c>
      <c r="J49" s="1778">
        <f t="shared" si="2"/>
        <v>11750408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2" t="s">
        <v>604</v>
      </c>
      <c r="C52" s="2223"/>
      <c r="D52" s="2223"/>
      <c r="E52" s="750" t="s">
        <v>899</v>
      </c>
      <c r="F52" s="2224" t="s">
        <v>2096</v>
      </c>
      <c r="G52" s="2225"/>
      <c r="H52" s="737"/>
      <c r="I52" s="737"/>
      <c r="J52" s="747"/>
    </row>
    <row r="53" spans="1:11" ht="11.25" customHeight="1" x14ac:dyDescent="0.2">
      <c r="A53" s="751" t="s">
        <v>968</v>
      </c>
      <c r="B53" s="752" t="s">
        <v>1007</v>
      </c>
      <c r="C53" s="747"/>
      <c r="D53" s="738"/>
      <c r="E53" s="750" t="s">
        <v>517</v>
      </c>
      <c r="F53" s="2226"/>
      <c r="G53" s="2227"/>
      <c r="H53" s="737"/>
      <c r="I53" s="737"/>
      <c r="J53" s="747"/>
    </row>
    <row r="54" spans="1:11" ht="11.25" customHeight="1" x14ac:dyDescent="0.2">
      <c r="A54" s="753" t="s">
        <v>969</v>
      </c>
      <c r="B54" s="748" t="s">
        <v>1008</v>
      </c>
      <c r="C54" s="747"/>
      <c r="D54" s="738"/>
      <c r="E54" s="750" t="s">
        <v>518</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49" sqref="K49"/>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56" t="s">
        <v>910</v>
      </c>
      <c r="B1" s="2257"/>
      <c r="C1" s="2257"/>
      <c r="D1" s="2257"/>
      <c r="E1" s="2257"/>
      <c r="F1" s="2257"/>
      <c r="G1" s="2258"/>
      <c r="H1" s="1552"/>
      <c r="I1" s="761"/>
      <c r="J1" s="433"/>
    </row>
    <row r="2" spans="1:11" ht="26.25" x14ac:dyDescent="0.2">
      <c r="A2" s="2235" t="s">
        <v>1775</v>
      </c>
      <c r="B2" s="2236"/>
      <c r="C2" s="2236"/>
      <c r="D2" s="2236"/>
      <c r="E2" s="2237"/>
      <c r="F2" s="762" t="s">
        <v>959</v>
      </c>
      <c r="G2" s="763" t="s">
        <v>1772</v>
      </c>
      <c r="H2" s="763" t="s">
        <v>429</v>
      </c>
      <c r="I2" s="763" t="s">
        <v>1219</v>
      </c>
      <c r="J2" s="763" t="s">
        <v>1918</v>
      </c>
      <c r="K2" s="763" t="s">
        <v>140</v>
      </c>
    </row>
    <row r="3" spans="1:11" x14ac:dyDescent="0.2">
      <c r="A3" s="2238" t="s">
        <v>1697</v>
      </c>
      <c r="B3" s="2239"/>
      <c r="C3" s="2239"/>
      <c r="D3" s="2239"/>
      <c r="E3" s="2240"/>
      <c r="F3" s="764"/>
      <c r="G3" s="765"/>
      <c r="H3" s="765"/>
      <c r="I3" s="765"/>
      <c r="J3" s="766">
        <v>29348</v>
      </c>
      <c r="K3" s="766"/>
    </row>
    <row r="4" spans="1:11" x14ac:dyDescent="0.2">
      <c r="A4" s="2241" t="s">
        <v>386</v>
      </c>
      <c r="B4" s="2242"/>
      <c r="C4" s="2242"/>
      <c r="D4" s="2242"/>
      <c r="E4" s="2223"/>
      <c r="F4" s="767"/>
      <c r="G4" s="768"/>
      <c r="H4" s="769"/>
      <c r="I4" s="768"/>
      <c r="J4" s="770"/>
      <c r="K4" s="770"/>
    </row>
    <row r="5" spans="1:11" x14ac:dyDescent="0.2">
      <c r="A5" s="2259" t="s">
        <v>1128</v>
      </c>
      <c r="B5" s="2232"/>
      <c r="C5" s="2232"/>
      <c r="D5" s="2232"/>
      <c r="E5" s="2260"/>
      <c r="F5" s="771" t="s">
        <v>902</v>
      </c>
      <c r="G5" s="772"/>
      <c r="H5" s="765">
        <v>28724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3510</v>
      </c>
    </row>
    <row r="8" spans="1:11" x14ac:dyDescent="0.2">
      <c r="A8" s="779" t="s">
        <v>362</v>
      </c>
      <c r="B8" s="780"/>
      <c r="C8" s="780"/>
      <c r="D8" s="780"/>
      <c r="E8" s="781"/>
      <c r="F8" s="771" t="s">
        <v>905</v>
      </c>
      <c r="G8" s="783"/>
      <c r="H8" s="783"/>
      <c r="I8" s="783"/>
      <c r="J8" s="766">
        <v>163095</v>
      </c>
      <c r="K8" s="770"/>
    </row>
    <row r="9" spans="1:11" x14ac:dyDescent="0.2">
      <c r="A9" s="779" t="s">
        <v>140</v>
      </c>
      <c r="B9" s="780"/>
      <c r="C9" s="780"/>
      <c r="D9" s="780"/>
      <c r="E9" s="781"/>
      <c r="F9" s="778" t="s">
        <v>907</v>
      </c>
      <c r="G9" s="783"/>
      <c r="H9" s="772"/>
      <c r="I9" s="772"/>
      <c r="J9" s="782"/>
      <c r="K9" s="766">
        <v>7533</v>
      </c>
    </row>
    <row r="10" spans="1:11" x14ac:dyDescent="0.2">
      <c r="A10" s="2259" t="s">
        <v>1919</v>
      </c>
      <c r="B10" s="2232"/>
      <c r="C10" s="2232"/>
      <c r="D10" s="2232"/>
      <c r="E10" s="2261"/>
      <c r="F10" s="784" t="s">
        <v>916</v>
      </c>
      <c r="G10" s="783"/>
      <c r="H10" s="785"/>
      <c r="I10" s="765"/>
      <c r="J10" s="766"/>
      <c r="K10" s="766"/>
    </row>
    <row r="11" spans="1:11" x14ac:dyDescent="0.2">
      <c r="A11" s="2259" t="s">
        <v>162</v>
      </c>
      <c r="B11" s="2232"/>
      <c r="C11" s="2232"/>
      <c r="D11" s="2232"/>
      <c r="E11" s="2260"/>
      <c r="F11" s="771" t="s">
        <v>906</v>
      </c>
      <c r="G11" s="772"/>
      <c r="H11" s="765"/>
      <c r="I11" s="765"/>
      <c r="J11" s="766"/>
      <c r="K11" s="774"/>
    </row>
    <row r="12" spans="1:11" ht="13.5" thickBot="1" x14ac:dyDescent="0.25">
      <c r="A12" s="2249" t="s">
        <v>960</v>
      </c>
      <c r="B12" s="2250"/>
      <c r="C12" s="2250"/>
      <c r="D12" s="2250"/>
      <c r="E12" s="2251"/>
      <c r="F12" s="1779"/>
      <c r="G12" s="1780">
        <f>SUM(G5:G11)</f>
        <v>0</v>
      </c>
      <c r="H12" s="1780">
        <f>SUM(H5:H11)</f>
        <v>28724</v>
      </c>
      <c r="I12" s="1780">
        <f>SUM(I5:I11)</f>
        <v>0</v>
      </c>
      <c r="J12" s="1780">
        <f>SUM(J5:J11)</f>
        <v>163095</v>
      </c>
      <c r="K12" s="1780">
        <f>SUM(K5:K11)</f>
        <v>11043</v>
      </c>
    </row>
    <row r="13" spans="1:11" ht="13.5" thickTop="1" x14ac:dyDescent="0.2">
      <c r="A13" s="2243" t="s">
        <v>387</v>
      </c>
      <c r="B13" s="2244"/>
      <c r="C13" s="2244"/>
      <c r="D13" s="2244"/>
      <c r="E13" s="2245"/>
      <c r="F13" s="786"/>
      <c r="G13" s="787"/>
      <c r="H13" s="788"/>
      <c r="I13" s="789"/>
      <c r="J13" s="789"/>
      <c r="K13" s="789"/>
    </row>
    <row r="14" spans="1:11" x14ac:dyDescent="0.2">
      <c r="A14" s="2265" t="s">
        <v>475</v>
      </c>
      <c r="B14" s="2265"/>
      <c r="C14" s="2265"/>
      <c r="D14" s="2265"/>
      <c r="E14" s="2266"/>
      <c r="F14" s="790" t="s">
        <v>908</v>
      </c>
      <c r="G14" s="783"/>
      <c r="H14" s="765">
        <v>28724</v>
      </c>
      <c r="I14" s="772"/>
      <c r="J14" s="774"/>
      <c r="K14" s="766">
        <v>11043</v>
      </c>
    </row>
    <row r="15" spans="1:11" x14ac:dyDescent="0.2">
      <c r="A15" s="2232" t="s">
        <v>4</v>
      </c>
      <c r="B15" s="2232"/>
      <c r="C15" s="2232"/>
      <c r="D15" s="2232"/>
      <c r="E15" s="2260"/>
      <c r="F15" s="790" t="s">
        <v>909</v>
      </c>
      <c r="G15" s="772"/>
      <c r="H15" s="765"/>
      <c r="I15" s="765"/>
      <c r="J15" s="766">
        <v>85497</v>
      </c>
      <c r="K15" s="766"/>
    </row>
    <row r="16" spans="1:11" x14ac:dyDescent="0.2">
      <c r="A16" s="2232" t="s">
        <v>315</v>
      </c>
      <c r="B16" s="2232"/>
      <c r="C16" s="2232"/>
      <c r="D16" s="2232"/>
      <c r="E16" s="2260"/>
      <c r="F16" s="790" t="s">
        <v>979</v>
      </c>
      <c r="G16" s="773"/>
      <c r="H16" s="768"/>
      <c r="I16" s="768"/>
      <c r="J16" s="770"/>
      <c r="K16" s="770"/>
    </row>
    <row r="17" spans="1:11" x14ac:dyDescent="0.2">
      <c r="A17" s="2254" t="s">
        <v>991</v>
      </c>
      <c r="B17" s="2254"/>
      <c r="C17" s="2254"/>
      <c r="D17" s="2254"/>
      <c r="E17" s="2255"/>
      <c r="F17" s="791"/>
      <c r="G17" s="792"/>
      <c r="H17" s="793"/>
      <c r="I17" s="793"/>
      <c r="J17" s="794"/>
      <c r="K17" s="795"/>
    </row>
    <row r="18" spans="1:11" x14ac:dyDescent="0.2">
      <c r="A18" s="2246" t="s">
        <v>385</v>
      </c>
      <c r="B18" s="2247"/>
      <c r="C18" s="2247"/>
      <c r="D18" s="2247"/>
      <c r="E18" s="2248"/>
      <c r="F18" s="790" t="s">
        <v>988</v>
      </c>
      <c r="G18" s="783"/>
      <c r="H18" s="783"/>
      <c r="I18" s="783"/>
      <c r="J18" s="766">
        <v>16626</v>
      </c>
      <c r="K18" s="796"/>
    </row>
    <row r="19" spans="1:11" ht="21.75" customHeight="1" x14ac:dyDescent="0.2">
      <c r="A19" s="2267" t="s">
        <v>1915</v>
      </c>
      <c r="B19" s="2267"/>
      <c r="C19" s="2267"/>
      <c r="D19" s="2267"/>
      <c r="E19" s="2268"/>
      <c r="F19" s="790" t="s">
        <v>989</v>
      </c>
      <c r="G19" s="783"/>
      <c r="H19" s="783"/>
      <c r="I19" s="783"/>
      <c r="J19" s="766">
        <v>90320</v>
      </c>
      <c r="K19" s="796"/>
    </row>
    <row r="20" spans="1:11" x14ac:dyDescent="0.2">
      <c r="A20" s="2246" t="s">
        <v>1920</v>
      </c>
      <c r="B20" s="2247"/>
      <c r="C20" s="2247"/>
      <c r="D20" s="2247"/>
      <c r="E20" s="2248"/>
      <c r="F20" s="790" t="s">
        <v>990</v>
      </c>
      <c r="G20" s="783"/>
      <c r="H20" s="783"/>
      <c r="I20" s="783"/>
      <c r="J20" s="766"/>
      <c r="K20" s="796"/>
    </row>
    <row r="21" spans="1:11" ht="13.5" thickBot="1" x14ac:dyDescent="0.25">
      <c r="A21" s="2252" t="s">
        <v>658</v>
      </c>
      <c r="B21" s="2252"/>
      <c r="C21" s="2252"/>
      <c r="D21" s="2252"/>
      <c r="E21" s="2252"/>
      <c r="F21" s="1781"/>
      <c r="G21" s="793"/>
      <c r="H21" s="797"/>
      <c r="I21" s="797"/>
      <c r="J21" s="1782">
        <f>SUM(J18:J20)</f>
        <v>106946</v>
      </c>
      <c r="K21" s="794"/>
    </row>
    <row r="22" spans="1:11" ht="13.5" thickTop="1" x14ac:dyDescent="0.2">
      <c r="A22" s="2232" t="s">
        <v>1921</v>
      </c>
      <c r="B22" s="2232"/>
      <c r="C22" s="2232"/>
      <c r="D22" s="2232"/>
      <c r="E22" s="2260"/>
      <c r="F22" s="790" t="s">
        <v>916</v>
      </c>
      <c r="G22" s="783"/>
      <c r="H22" s="765"/>
      <c r="I22" s="765"/>
      <c r="J22" s="798"/>
      <c r="K22" s="766"/>
    </row>
    <row r="23" spans="1:11" ht="13.5" thickBot="1" x14ac:dyDescent="0.25">
      <c r="A23" s="2253" t="s">
        <v>961</v>
      </c>
      <c r="B23" s="2252"/>
      <c r="C23" s="2252"/>
      <c r="D23" s="2252"/>
      <c r="E23" s="2252"/>
      <c r="F23" s="1783"/>
      <c r="G23" s="1780">
        <f>SUM(G14:G16,G21,G22)</f>
        <v>0</v>
      </c>
      <c r="H23" s="1780">
        <f>SUM(H14:H16,H21,H22)</f>
        <v>28724</v>
      </c>
      <c r="I23" s="1780">
        <f>SUM(I14:I16,I21,I22)</f>
        <v>0</v>
      </c>
      <c r="J23" s="1780">
        <f>SUM(J14:J16,J21,J22)</f>
        <v>192443</v>
      </c>
      <c r="K23" s="1780">
        <f>SUM(K14:K16,K21,K22)</f>
        <v>11043</v>
      </c>
    </row>
    <row r="24" spans="1:11" ht="14.25" thickTop="1" thickBot="1" x14ac:dyDescent="0.25">
      <c r="A24" s="2253" t="s">
        <v>2025</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2035</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2"/>
      <c r="I31" s="2263"/>
      <c r="J31" s="2263"/>
      <c r="K31" s="2263"/>
    </row>
    <row r="32" spans="1:11" x14ac:dyDescent="0.2">
      <c r="A32" s="810"/>
      <c r="B32" s="237"/>
      <c r="C32" s="237"/>
      <c r="D32" s="237"/>
      <c r="E32" s="806"/>
      <c r="F32" s="812" t="s">
        <v>560</v>
      </c>
      <c r="G32" s="765"/>
      <c r="H32" s="2264"/>
      <c r="I32" s="2263"/>
      <c r="J32" s="2263"/>
      <c r="K32" s="2263"/>
    </row>
    <row r="33" spans="1:11" ht="1.5" customHeight="1" x14ac:dyDescent="0.2">
      <c r="A33" s="813" t="s">
        <v>1230</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2" t="s">
        <v>561</v>
      </c>
      <c r="B41" s="2233"/>
      <c r="C41" s="2233"/>
      <c r="D41" s="2233"/>
      <c r="E41" s="2233"/>
      <c r="F41" s="223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49" sqref="K49"/>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4000</v>
      </c>
      <c r="D5" s="842"/>
      <c r="E5" s="842"/>
      <c r="F5" s="1782">
        <f>(C5+D5)-E5</f>
        <v>4000</v>
      </c>
      <c r="G5" s="838"/>
      <c r="H5" s="843"/>
      <c r="I5" s="843"/>
      <c r="J5" s="843"/>
      <c r="K5" s="794"/>
      <c r="L5" s="1791">
        <f>F5-K5</f>
        <v>4000</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10008106</v>
      </c>
      <c r="D8" s="845"/>
      <c r="E8" s="845"/>
      <c r="F8" s="1782">
        <f>(C8+D8)-E8</f>
        <v>10008106</v>
      </c>
      <c r="G8" s="844">
        <v>50</v>
      </c>
      <c r="H8" s="766">
        <v>4290890</v>
      </c>
      <c r="I8" s="766">
        <v>174483</v>
      </c>
      <c r="J8" s="766"/>
      <c r="K8" s="1791">
        <f>(H8+I8)-J8</f>
        <v>4465373</v>
      </c>
      <c r="L8" s="1791">
        <f>F8-K8</f>
        <v>5542733</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358328</v>
      </c>
      <c r="D10" s="847"/>
      <c r="E10" s="847"/>
      <c r="F10" s="1786">
        <f>(C10+D10)-E10</f>
        <v>358328</v>
      </c>
      <c r="G10" s="844">
        <v>20</v>
      </c>
      <c r="H10" s="848">
        <v>154661</v>
      </c>
      <c r="I10" s="848">
        <v>16747</v>
      </c>
      <c r="J10" s="848"/>
      <c r="K10" s="1791">
        <f>(H10+I10)-J10</f>
        <v>171408</v>
      </c>
      <c r="L10" s="1791">
        <f>F10-K10</f>
        <v>186920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1699046</v>
      </c>
      <c r="D12" s="845">
        <v>22290</v>
      </c>
      <c r="E12" s="845"/>
      <c r="F12" s="1782">
        <f>(C12+D12)-E12</f>
        <v>1721336</v>
      </c>
      <c r="G12" s="844">
        <v>10</v>
      </c>
      <c r="H12" s="766">
        <v>1590572</v>
      </c>
      <c r="I12" s="766">
        <v>27903</v>
      </c>
      <c r="J12" s="766"/>
      <c r="K12" s="1791">
        <f>(H12+I12)-J12</f>
        <v>1618475</v>
      </c>
      <c r="L12" s="1791">
        <f>F12-K12</f>
        <v>102861</v>
      </c>
    </row>
    <row r="13" spans="1:14" ht="14.25" thickTop="1" thickBot="1" x14ac:dyDescent="0.25">
      <c r="A13" s="849" t="s">
        <v>1183</v>
      </c>
      <c r="B13" s="841">
        <v>252</v>
      </c>
      <c r="C13" s="845">
        <v>38850</v>
      </c>
      <c r="D13" s="845"/>
      <c r="E13" s="845"/>
      <c r="F13" s="1782">
        <f>(C13+D13)-E13</f>
        <v>38850</v>
      </c>
      <c r="G13" s="844">
        <v>5</v>
      </c>
      <c r="H13" s="766">
        <v>23571</v>
      </c>
      <c r="I13" s="766">
        <v>4150</v>
      </c>
      <c r="J13" s="766"/>
      <c r="K13" s="1791">
        <f>(H13+I13)-J13</f>
        <v>27721</v>
      </c>
      <c r="L13" s="1791">
        <f>F13-K13</f>
        <v>11129</v>
      </c>
    </row>
    <row r="14" spans="1:14" ht="14.25" thickTop="1" thickBot="1" x14ac:dyDescent="0.25">
      <c r="A14" s="849" t="s">
        <v>1184</v>
      </c>
      <c r="B14" s="841">
        <v>253</v>
      </c>
      <c r="C14" s="766">
        <v>244461</v>
      </c>
      <c r="D14" s="766">
        <v>850</v>
      </c>
      <c r="E14" s="766"/>
      <c r="F14" s="1782">
        <f>(C14+D14)-E14</f>
        <v>245311</v>
      </c>
      <c r="G14" s="844">
        <v>3</v>
      </c>
      <c r="H14" s="766">
        <v>181798</v>
      </c>
      <c r="I14" s="766">
        <v>25334</v>
      </c>
      <c r="J14" s="766"/>
      <c r="K14" s="1791">
        <f>(H14+I14)-J14</f>
        <v>207132</v>
      </c>
      <c r="L14" s="1791">
        <f>F14-K14</f>
        <v>38179</v>
      </c>
    </row>
    <row r="15" spans="1:14" ht="15" customHeight="1" thickTop="1" thickBot="1" x14ac:dyDescent="0.25">
      <c r="A15" s="1653" t="s">
        <v>548</v>
      </c>
      <c r="B15" s="1652">
        <v>260</v>
      </c>
      <c r="C15" s="845"/>
      <c r="D15" s="845">
        <v>1063365</v>
      </c>
      <c r="E15" s="845"/>
      <c r="F15" s="1782">
        <f>(C15+D15)-E15</f>
        <v>1063365</v>
      </c>
      <c r="G15" s="850" t="s">
        <v>916</v>
      </c>
      <c r="H15" s="782"/>
      <c r="I15" s="782"/>
      <c r="J15" s="782"/>
      <c r="K15" s="782"/>
      <c r="L15" s="1791">
        <f>F15-K15</f>
        <v>1063365</v>
      </c>
    </row>
    <row r="16" spans="1:14" ht="15" customHeight="1" thickTop="1" thickBot="1" x14ac:dyDescent="0.25">
      <c r="A16" s="1787" t="s">
        <v>663</v>
      </c>
      <c r="B16" s="1788">
        <v>200</v>
      </c>
      <c r="C16" s="1782">
        <f>SUM(C3,C5:C6,C8:C10,C12:C15)</f>
        <v>12352791</v>
      </c>
      <c r="D16" s="1782">
        <f>SUM(D3,D5:D6,D8:D10,D12:D15)</f>
        <v>1086505</v>
      </c>
      <c r="E16" s="1782">
        <f>SUM(E3,E5:E6,E8:E10,E12:E15)</f>
        <v>0</v>
      </c>
      <c r="F16" s="1782">
        <f>SUM(F3,F5:F6,F8:F10,F12:F15)</f>
        <v>13439296</v>
      </c>
      <c r="G16" s="844"/>
      <c r="H16" s="1782">
        <f>SUM(H3,H6,H8:H10,H12:H14,)</f>
        <v>6241492</v>
      </c>
      <c r="I16" s="1782">
        <f>SUM(I3,I6,I8:I10,I12:I14,)</f>
        <v>248617</v>
      </c>
      <c r="J16" s="1782">
        <f>SUM(J3,J6,J8:J10,J12:J14,)</f>
        <v>0</v>
      </c>
      <c r="K16" s="1782">
        <f>(H16+I16)-J16</f>
        <v>6490109</v>
      </c>
      <c r="L16" s="1782">
        <f>F16-K16</f>
        <v>6949187</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248617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K49" sqref="K49"/>
      <selection pane="bottomLeft" activeCell="K49" sqref="K49"/>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7" t="s">
        <v>1698</v>
      </c>
      <c r="B1" s="2278"/>
      <c r="C1" s="2278"/>
      <c r="D1" s="2278"/>
      <c r="E1" s="2278"/>
      <c r="F1" s="2279"/>
      <c r="G1" s="856"/>
    </row>
    <row r="2" spans="1:7" ht="15" customHeight="1" thickBot="1" x14ac:dyDescent="0.25">
      <c r="A2" s="2280" t="s">
        <v>497</v>
      </c>
      <c r="B2" s="2281"/>
      <c r="C2" s="2281"/>
      <c r="D2" s="2281"/>
      <c r="E2" s="2281"/>
      <c r="F2" s="2282"/>
      <c r="G2" s="858"/>
    </row>
    <row r="3" spans="1:7" ht="5.25" customHeight="1" thickTop="1" x14ac:dyDescent="0.2">
      <c r="A3" s="859"/>
      <c r="B3" s="860"/>
      <c r="C3" s="861"/>
      <c r="D3" s="860"/>
      <c r="E3" s="861"/>
      <c r="F3" s="860"/>
      <c r="G3" s="860"/>
    </row>
    <row r="4" spans="1:7" ht="12.4" customHeight="1" x14ac:dyDescent="0.2">
      <c r="A4" s="862" t="s">
        <v>1136</v>
      </c>
      <c r="B4" s="863" t="s">
        <v>117</v>
      </c>
      <c r="D4" s="865" t="s">
        <v>531</v>
      </c>
      <c r="F4" s="863" t="s">
        <v>919</v>
      </c>
    </row>
    <row r="5" spans="1:7" ht="7.5" customHeight="1" x14ac:dyDescent="0.2">
      <c r="A5" s="2283"/>
      <c r="B5" s="2284"/>
      <c r="C5" s="2284"/>
      <c r="D5" s="2284"/>
      <c r="E5" s="2284"/>
      <c r="F5" s="2284"/>
    </row>
    <row r="6" spans="1:7" ht="13.5" customHeight="1" thickBot="1" x14ac:dyDescent="0.25">
      <c r="A6" s="2274" t="s">
        <v>1165</v>
      </c>
      <c r="B6" s="2275"/>
      <c r="C6" s="2275"/>
      <c r="D6" s="2275"/>
      <c r="E6" s="2275"/>
      <c r="F6" s="2276"/>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3590376</v>
      </c>
      <c r="G8" s="866"/>
    </row>
    <row r="9" spans="1:7" x14ac:dyDescent="0.2">
      <c r="A9" s="870" t="s">
        <v>479</v>
      </c>
      <c r="B9" s="871" t="s">
        <v>1988</v>
      </c>
      <c r="C9" s="872"/>
      <c r="D9" s="870" t="s">
        <v>521</v>
      </c>
      <c r="E9" s="869"/>
      <c r="F9" s="1934">
        <f>'Expenditures 15-22'!K151</f>
        <v>420687</v>
      </c>
      <c r="G9" s="873"/>
    </row>
    <row r="10" spans="1:7" x14ac:dyDescent="0.2">
      <c r="A10" s="870" t="s">
        <v>519</v>
      </c>
      <c r="B10" s="871" t="s">
        <v>1989</v>
      </c>
      <c r="C10" s="872"/>
      <c r="D10" s="870" t="s">
        <v>521</v>
      </c>
      <c r="E10" s="869"/>
      <c r="F10" s="1934">
        <f>'Expenditures 15-22'!K174</f>
        <v>450726</v>
      </c>
      <c r="G10" s="873"/>
    </row>
    <row r="11" spans="1:7" x14ac:dyDescent="0.2">
      <c r="A11" s="870" t="s">
        <v>480</v>
      </c>
      <c r="B11" s="871" t="s">
        <v>1990</v>
      </c>
      <c r="C11" s="872"/>
      <c r="D11" s="870" t="s">
        <v>521</v>
      </c>
      <c r="E11" s="869"/>
      <c r="F11" s="1934">
        <f>'Expenditures 15-22'!K210</f>
        <v>396407</v>
      </c>
      <c r="G11" s="873"/>
    </row>
    <row r="12" spans="1:7" x14ac:dyDescent="0.2">
      <c r="A12" s="870" t="s">
        <v>481</v>
      </c>
      <c r="B12" s="871" t="s">
        <v>1991</v>
      </c>
      <c r="C12" s="872"/>
      <c r="D12" s="870" t="s">
        <v>521</v>
      </c>
      <c r="E12" s="869"/>
      <c r="F12" s="1934">
        <f>'Expenditures 15-22'!K295</f>
        <v>108034</v>
      </c>
      <c r="G12" s="873"/>
    </row>
    <row r="13" spans="1:7" x14ac:dyDescent="0.2">
      <c r="A13" s="870" t="s">
        <v>108</v>
      </c>
      <c r="B13" s="871" t="s">
        <v>1992</v>
      </c>
      <c r="C13" s="872"/>
      <c r="D13" s="870" t="s">
        <v>521</v>
      </c>
      <c r="E13" s="869"/>
      <c r="F13" s="1934">
        <f>'Expenditures 15-22'!K342</f>
        <v>159572</v>
      </c>
      <c r="G13" s="874"/>
    </row>
    <row r="14" spans="1:7" ht="12" customHeight="1" thickBot="1" x14ac:dyDescent="0.25">
      <c r="A14" s="1792"/>
      <c r="B14" s="1793"/>
      <c r="C14" s="1794"/>
      <c r="D14" s="1795" t="s">
        <v>521</v>
      </c>
      <c r="E14" s="1796" t="s">
        <v>1014</v>
      </c>
      <c r="F14" s="1797">
        <f>SUM(F8:F13)</f>
        <v>5125802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33216</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6568</v>
      </c>
      <c r="G52" s="866"/>
    </row>
    <row r="53" spans="1:7" x14ac:dyDescent="0.2">
      <c r="A53" s="870" t="s">
        <v>478</v>
      </c>
      <c r="B53" s="870" t="s">
        <v>1550</v>
      </c>
      <c r="C53" s="890">
        <f>'Expenditures 15-22'!B102</f>
        <v>4000</v>
      </c>
      <c r="D53" s="889" t="str">
        <f>'Expenditures 15-22'!A102</f>
        <v>Total Payments to Other Govt Units</v>
      </c>
      <c r="E53" s="869"/>
      <c r="F53" s="1938">
        <f>'Expenditures 15-22'!K102</f>
        <v>130894</v>
      </c>
      <c r="G53" s="866"/>
    </row>
    <row r="54" spans="1:7" x14ac:dyDescent="0.2">
      <c r="A54" s="870" t="s">
        <v>478</v>
      </c>
      <c r="B54" s="870" t="s">
        <v>1551</v>
      </c>
      <c r="C54" s="890" t="s">
        <v>1038</v>
      </c>
      <c r="D54" s="886" t="s">
        <v>1156</v>
      </c>
      <c r="E54" s="869"/>
      <c r="F54" s="1938">
        <f>'Expenditures 15-22'!G114</f>
        <v>4534</v>
      </c>
      <c r="G54" s="866"/>
    </row>
    <row r="55" spans="1:7" x14ac:dyDescent="0.2">
      <c r="A55" s="870" t="s">
        <v>478</v>
      </c>
      <c r="B55" s="870" t="s">
        <v>1552</v>
      </c>
      <c r="C55" s="890" t="s">
        <v>1038</v>
      </c>
      <c r="D55" s="886" t="s">
        <v>308</v>
      </c>
      <c r="E55" s="869"/>
      <c r="F55" s="1938">
        <f>'Expenditures 15-22'!I114</f>
        <v>0</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8">
        <f>'Expenditures 15-22'!K139</f>
        <v>0</v>
      </c>
      <c r="G57" s="866"/>
    </row>
    <row r="58" spans="1:7" x14ac:dyDescent="0.2">
      <c r="A58" s="870" t="s">
        <v>479</v>
      </c>
      <c r="B58" s="870" t="s">
        <v>1994</v>
      </c>
      <c r="C58" s="887" t="s">
        <v>1038</v>
      </c>
      <c r="D58" s="886" t="s">
        <v>1156</v>
      </c>
      <c r="E58" s="869"/>
      <c r="F58" s="1940">
        <f>'Expenditures 15-22'!G151</f>
        <v>2434</v>
      </c>
      <c r="G58" s="866"/>
    </row>
    <row r="59" spans="1:7" x14ac:dyDescent="0.2">
      <c r="A59" s="894" t="s">
        <v>479</v>
      </c>
      <c r="B59" s="857" t="s">
        <v>1995</v>
      </c>
      <c r="C59" s="895" t="s">
        <v>1038</v>
      </c>
      <c r="D59" s="857" t="s">
        <v>308</v>
      </c>
      <c r="F59" s="1941">
        <f>'Expenditures 15-22'!I151</f>
        <v>0</v>
      </c>
      <c r="G59" s="866"/>
    </row>
    <row r="60" spans="1:7" x14ac:dyDescent="0.2">
      <c r="A60" s="894" t="s">
        <v>519</v>
      </c>
      <c r="B60" s="857" t="s">
        <v>1996</v>
      </c>
      <c r="C60" s="895">
        <v>4000</v>
      </c>
      <c r="D60" s="857" t="s">
        <v>329</v>
      </c>
      <c r="F60" s="1939">
        <f>'Expenditures 15-22'!K160</f>
        <v>0</v>
      </c>
      <c r="G60" s="866"/>
    </row>
    <row r="61" spans="1:7" x14ac:dyDescent="0.2">
      <c r="A61" s="896" t="s">
        <v>519</v>
      </c>
      <c r="B61" s="896" t="s">
        <v>1997</v>
      </c>
      <c r="C61" s="897" t="str">
        <f>'Expenditures 15-22'!B170</f>
        <v>5300</v>
      </c>
      <c r="D61" s="898" t="s">
        <v>328</v>
      </c>
      <c r="E61" s="880"/>
      <c r="F61" s="1938">
        <f>'Expenditures 15-22'!K170</f>
        <v>433600</v>
      </c>
      <c r="G61" s="866"/>
    </row>
    <row r="62" spans="1:7" x14ac:dyDescent="0.2">
      <c r="A62" s="870" t="s">
        <v>480</v>
      </c>
      <c r="B62" s="870" t="s">
        <v>1998</v>
      </c>
      <c r="C62" s="887">
        <f>'Expenditures 15-22'!B185</f>
        <v>3000</v>
      </c>
      <c r="D62" s="877" t="s">
        <v>468</v>
      </c>
      <c r="E62" s="869"/>
      <c r="F62" s="1938">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480</v>
      </c>
      <c r="B64" s="896" t="s">
        <v>2000</v>
      </c>
      <c r="C64" s="897" t="str">
        <f>'Expenditures 15-22'!B206</f>
        <v>5300</v>
      </c>
      <c r="D64" s="893" t="s">
        <v>328</v>
      </c>
      <c r="E64" s="869"/>
      <c r="F64" s="1938">
        <f>'Expenditures 15-22'!K206</f>
        <v>0</v>
      </c>
      <c r="G64" s="866"/>
    </row>
    <row r="65" spans="1:8" x14ac:dyDescent="0.2">
      <c r="A65" s="870" t="s">
        <v>480</v>
      </c>
      <c r="B65" s="870" t="s">
        <v>2001</v>
      </c>
      <c r="C65" s="887" t="s">
        <v>1038</v>
      </c>
      <c r="D65" s="886" t="s">
        <v>1156</v>
      </c>
      <c r="E65" s="869"/>
      <c r="F65" s="1938">
        <f>'Expenditures 15-22'!G210</f>
        <v>0</v>
      </c>
      <c r="G65" s="866"/>
    </row>
    <row r="66" spans="1:8" x14ac:dyDescent="0.2">
      <c r="A66" s="870" t="s">
        <v>480</v>
      </c>
      <c r="B66" s="870" t="s">
        <v>2002</v>
      </c>
      <c r="C66" s="887" t="s">
        <v>1038</v>
      </c>
      <c r="D66" s="886" t="s">
        <v>308</v>
      </c>
      <c r="E66" s="869"/>
      <c r="F66" s="1938">
        <f>'Expenditures 15-22'!I210</f>
        <v>0</v>
      </c>
      <c r="G66" s="866"/>
    </row>
    <row r="67" spans="1:8" x14ac:dyDescent="0.2">
      <c r="A67" s="870" t="s">
        <v>481</v>
      </c>
      <c r="B67" s="870" t="s">
        <v>2003</v>
      </c>
      <c r="C67" s="887" t="str">
        <f>'Expenditures 15-22'!B216</f>
        <v>1125</v>
      </c>
      <c r="D67" s="893" t="str">
        <f>'Expenditures 15-22'!A216</f>
        <v>Pre-K Programs</v>
      </c>
      <c r="E67" s="869"/>
      <c r="F67" s="1938">
        <f>'Expenditures 15-22'!K216</f>
        <v>308</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2005</v>
      </c>
      <c r="C70" s="887">
        <f>'Expenditures 15-22'!B221</f>
        <v>1300</v>
      </c>
      <c r="D70" s="888" t="str">
        <f>'Expenditures 15-22'!A221</f>
        <v>Adult/Continuing Education Programs</v>
      </c>
      <c r="E70" s="869"/>
      <c r="F70" s="1938">
        <f>'Expenditures 15-22'!K221</f>
        <v>0</v>
      </c>
      <c r="G70" s="866"/>
    </row>
    <row r="71" spans="1:8" x14ac:dyDescent="0.2">
      <c r="A71" s="870" t="s">
        <v>481</v>
      </c>
      <c r="B71" s="870" t="s">
        <v>2006</v>
      </c>
      <c r="C71" s="887">
        <f>'Expenditures 15-22'!B224</f>
        <v>1600</v>
      </c>
      <c r="D71" s="888" t="str">
        <f>'Expenditures 15-22'!A224</f>
        <v>Summer School Programs</v>
      </c>
      <c r="E71" s="869"/>
      <c r="F71" s="1938">
        <f>'Expenditures 15-22'!K224</f>
        <v>0</v>
      </c>
      <c r="G71" s="866"/>
    </row>
    <row r="72" spans="1:8" x14ac:dyDescent="0.2">
      <c r="A72" s="870" t="s">
        <v>481</v>
      </c>
      <c r="B72" s="870" t="s">
        <v>2007</v>
      </c>
      <c r="C72" s="887">
        <f>'Expenditures 15-22'!B280</f>
        <v>3000</v>
      </c>
      <c r="D72" s="877" t="s">
        <v>468</v>
      </c>
      <c r="E72" s="869"/>
      <c r="F72" s="1938">
        <f>'Expenditures 15-22'!K280</f>
        <v>0</v>
      </c>
      <c r="G72" s="866"/>
    </row>
    <row r="73" spans="1:8" x14ac:dyDescent="0.2">
      <c r="A73" s="870" t="s">
        <v>481</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2009</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611554</v>
      </c>
      <c r="G76" s="866"/>
    </row>
    <row r="77" spans="1:8" s="894" customFormat="1" ht="12" customHeight="1" thickTop="1" thickBot="1" x14ac:dyDescent="0.25">
      <c r="A77" s="1801"/>
      <c r="B77" s="1798"/>
      <c r="C77" s="1794"/>
      <c r="D77" s="1799" t="s">
        <v>2011</v>
      </c>
      <c r="E77" s="1796"/>
      <c r="F77" s="1802">
        <f>(F14-F76)</f>
        <v>4514248</v>
      </c>
      <c r="G77" s="870"/>
    </row>
    <row r="78" spans="1:8" s="894" customFormat="1" ht="12" customHeight="1" thickTop="1" x14ac:dyDescent="0.2">
      <c r="A78" s="1803"/>
      <c r="B78" s="1798"/>
      <c r="C78" s="1794"/>
      <c r="D78" s="1799" t="s">
        <v>2058</v>
      </c>
      <c r="E78" s="1796"/>
      <c r="F78" s="899">
        <v>437.52</v>
      </c>
      <c r="G78" s="900"/>
      <c r="H78" s="870"/>
    </row>
    <row r="79" spans="1:8" s="894" customFormat="1" ht="12" customHeight="1" thickBot="1" x14ac:dyDescent="0.25">
      <c r="A79" s="1804"/>
      <c r="B79" s="1798"/>
      <c r="C79" s="1794"/>
      <c r="D79" s="1799" t="s">
        <v>2012</v>
      </c>
      <c r="E79" s="1796" t="s">
        <v>1014</v>
      </c>
      <c r="F79" s="1805">
        <f>IF(F78&gt;0,F77/F78," Complete Line 78")</f>
        <v>10317.809471567014</v>
      </c>
      <c r="G79" s="870"/>
    </row>
    <row r="80" spans="1:8" s="894" customFormat="1" ht="8.25" customHeight="1" thickTop="1" x14ac:dyDescent="0.2">
      <c r="A80" s="901"/>
      <c r="B80" s="870"/>
      <c r="C80" s="872"/>
      <c r="D80" s="902"/>
      <c r="E80" s="869"/>
      <c r="F80" s="903"/>
      <c r="G80" s="870"/>
    </row>
    <row r="81" spans="1:7" s="894" customFormat="1" ht="12" thickBot="1" x14ac:dyDescent="0.25">
      <c r="A81" s="2274" t="s">
        <v>1166</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442</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97888</v>
      </c>
      <c r="G94" s="913"/>
    </row>
    <row r="95" spans="1:7" x14ac:dyDescent="0.2">
      <c r="A95" s="909" t="s">
        <v>142</v>
      </c>
      <c r="B95" s="909" t="s">
        <v>177</v>
      </c>
      <c r="C95" s="911">
        <v>1700</v>
      </c>
      <c r="D95" s="919" t="str">
        <f>'Revenues 9-14'!A82</f>
        <v>Total District/School Activity Income</v>
      </c>
      <c r="E95" s="907"/>
      <c r="F95" s="1811">
        <f>SUM('Revenues 9-14'!C82,'Revenues 9-14'!D82)</f>
        <v>40551</v>
      </c>
      <c r="G95" s="913"/>
    </row>
    <row r="96" spans="1:7" x14ac:dyDescent="0.2">
      <c r="A96" s="909" t="s">
        <v>478</v>
      </c>
      <c r="B96" s="909" t="s">
        <v>178</v>
      </c>
      <c r="C96" s="911">
        <f>'Revenues 9-14'!B84</f>
        <v>1811</v>
      </c>
      <c r="D96" s="912" t="str">
        <f>'Revenues 9-14'!A84</f>
        <v>Rentals - Regular Textbooks</v>
      </c>
      <c r="E96" s="907"/>
      <c r="F96" s="1811">
        <f>'Revenues 9-14'!C84</f>
        <v>24771</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1340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50517</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1015</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43797</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3074</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1480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7533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252213</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7242</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105387</v>
      </c>
      <c r="G129" s="931"/>
    </row>
    <row r="130" spans="1:7" x14ac:dyDescent="0.2">
      <c r="A130" s="928" t="s">
        <v>688</v>
      </c>
      <c r="B130" s="928" t="s">
        <v>803</v>
      </c>
      <c r="C130" s="933">
        <v>4300</v>
      </c>
      <c r="D130" s="934" t="str">
        <f>'Revenues 9-14'!A211</f>
        <v>Total Title I</v>
      </c>
      <c r="E130" s="907"/>
      <c r="F130" s="1811">
        <f>SUM('Revenues 9-14'!C211,'Revenues 9-14'!D211,'Revenues 9-14'!F211,'Revenues 9-14'!G211)</f>
        <v>119698</v>
      </c>
      <c r="G130" s="931"/>
    </row>
    <row r="131" spans="1:7" x14ac:dyDescent="0.2">
      <c r="A131" s="928" t="s">
        <v>688</v>
      </c>
      <c r="B131" s="928" t="s">
        <v>804</v>
      </c>
      <c r="C131" s="933">
        <v>4400</v>
      </c>
      <c r="D131" s="934" t="str">
        <f>'Revenues 9-14'!A216</f>
        <v>Total Title IV</v>
      </c>
      <c r="E131" s="907"/>
      <c r="F131" s="1811">
        <f>SUM('Revenues 9-14'!C216,'Revenues 9-14'!D216,'Revenues 9-14'!F216,'Revenues 9-14'!G216)</f>
        <v>10000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118948</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14596</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5460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71430</v>
      </c>
      <c r="G174" s="928"/>
    </row>
    <row r="175" spans="1:7" x14ac:dyDescent="0.2">
      <c r="A175" s="1943" t="s">
        <v>5</v>
      </c>
      <c r="B175" s="1944" t="s">
        <v>2057</v>
      </c>
      <c r="C175" s="1945">
        <v>3100</v>
      </c>
      <c r="D175" s="1946" t="s">
        <v>2060</v>
      </c>
      <c r="E175" s="907"/>
      <c r="F175" s="1930"/>
      <c r="G175" s="928"/>
    </row>
    <row r="176" spans="1:7" x14ac:dyDescent="0.2">
      <c r="A176" s="1943" t="s">
        <v>684</v>
      </c>
      <c r="B176" s="1944" t="s">
        <v>2057</v>
      </c>
      <c r="C176" s="1945">
        <v>3300</v>
      </c>
      <c r="D176" s="1946" t="s">
        <v>2061</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977382</v>
      </c>
    </row>
    <row r="179" spans="1:7" ht="12" customHeight="1" x14ac:dyDescent="0.2">
      <c r="A179" s="1792"/>
      <c r="B179" s="1806"/>
      <c r="C179" s="1807"/>
      <c r="D179" s="1808" t="s">
        <v>2014</v>
      </c>
      <c r="E179" s="1809"/>
      <c r="F179" s="1811">
        <f>'PCTC-OEPP 27-28'!F77-F178</f>
        <v>3536866</v>
      </c>
    </row>
    <row r="180" spans="1:7" ht="12" customHeight="1" x14ac:dyDescent="0.2">
      <c r="A180" s="1792"/>
      <c r="B180" s="1806"/>
      <c r="C180" s="1807"/>
      <c r="D180" s="1808" t="s">
        <v>1923</v>
      </c>
      <c r="E180" s="1809"/>
      <c r="F180" s="1811">
        <f>'Cap Outlay Deprec 26'!I18</f>
        <v>248617</v>
      </c>
    </row>
    <row r="181" spans="1:7" ht="12" customHeight="1" x14ac:dyDescent="0.2">
      <c r="A181" s="1792"/>
      <c r="B181" s="1806"/>
      <c r="C181" s="1807"/>
      <c r="D181" s="1808" t="s">
        <v>2015</v>
      </c>
      <c r="E181" s="1809"/>
      <c r="F181" s="1811">
        <f>F179+F180</f>
        <v>3785483</v>
      </c>
    </row>
    <row r="182" spans="1:7" ht="12" customHeight="1" x14ac:dyDescent="0.2">
      <c r="A182" s="1792"/>
      <c r="B182" s="1812"/>
      <c r="C182" s="1807"/>
      <c r="D182" s="1808" t="str">
        <f>D78</f>
        <v>9 Month ADA from District Average Daily Attendance/Prior General State Aid Inquiry 2017-2018</v>
      </c>
      <c r="E182" s="1809"/>
      <c r="F182" s="1813">
        <f>'PCTC-OEPP 27-28'!F78</f>
        <v>437.52</v>
      </c>
      <c r="G182" s="931"/>
    </row>
    <row r="183" spans="1:7" ht="12" customHeight="1" thickBot="1" x14ac:dyDescent="0.25">
      <c r="A183" s="1792"/>
      <c r="B183" s="1812"/>
      <c r="C183" s="1807"/>
      <c r="D183" s="1808" t="s">
        <v>2016</v>
      </c>
      <c r="E183" s="1809" t="s">
        <v>1625</v>
      </c>
      <c r="F183" s="1814">
        <f>F181/F182</f>
        <v>8652.1370451636503</v>
      </c>
      <c r="G183" s="857">
        <v>6323</v>
      </c>
    </row>
    <row r="184" spans="1:7" ht="12" thickTop="1" x14ac:dyDescent="0.2">
      <c r="B184" s="931"/>
      <c r="C184" s="950"/>
      <c r="D184" s="931"/>
      <c r="E184" s="950"/>
      <c r="F184" s="931"/>
      <c r="G184" s="952">
        <v>6326</v>
      </c>
    </row>
    <row r="185" spans="1:7" ht="12.4" customHeight="1" x14ac:dyDescent="0.2">
      <c r="A185" s="931" t="s">
        <v>2059</v>
      </c>
      <c r="B185" s="931"/>
      <c r="C185" s="950"/>
      <c r="D185" s="931"/>
      <c r="E185" s="950"/>
      <c r="F185" s="931"/>
      <c r="G185" s="931"/>
    </row>
    <row r="186" spans="1:7" s="1947" customFormat="1" ht="12.4" customHeight="1" x14ac:dyDescent="0.2">
      <c r="A186" s="1947" t="s">
        <v>2064</v>
      </c>
      <c r="B186" s="1948"/>
      <c r="C186" s="1949"/>
      <c r="D186" s="1948"/>
      <c r="E186" s="1949"/>
      <c r="F186" s="1948"/>
      <c r="G186" s="1948"/>
    </row>
    <row r="187" spans="1:7" s="1947" customFormat="1" ht="12.4" customHeight="1" x14ac:dyDescent="0.2">
      <c r="A187" s="1950" t="s">
        <v>2065</v>
      </c>
      <c r="C187" s="1949"/>
      <c r="D187" s="1948"/>
      <c r="E187" s="1949"/>
      <c r="F187" s="1948"/>
      <c r="G187" s="1948"/>
    </row>
    <row r="188" spans="1:7" ht="12" customHeight="1" x14ac:dyDescent="0.2">
      <c r="C188" s="950"/>
      <c r="D188" s="931"/>
      <c r="E188" s="950"/>
      <c r="F188" s="931"/>
      <c r="G188" s="931"/>
    </row>
    <row r="189" spans="1:7" x14ac:dyDescent="0.2">
      <c r="A189" s="1951" t="s">
        <v>2063</v>
      </c>
      <c r="B189" s="1952"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6" activePane="bottomLeft" state="frozen"/>
      <selection activeCell="K49" sqref="K49"/>
      <selection pane="bottomLeft" activeCell="K49" sqref="K49"/>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2106</v>
      </c>
      <c r="B17" s="1956" t="s">
        <v>2107</v>
      </c>
      <c r="C17" s="1957" t="s">
        <v>2108</v>
      </c>
      <c r="D17" s="1867">
        <v>5516</v>
      </c>
      <c r="E17" s="1562">
        <f t="shared" ref="E17:E141" si="1">IF(D17&lt;=25000,D17,IF(D17&gt;25000,25000,0))</f>
        <v>5516</v>
      </c>
      <c r="F17" s="1815">
        <f t="shared" si="0"/>
        <v>0</v>
      </c>
      <c r="G17" s="1816">
        <f>IF(F17=0,0,D17-F17)</f>
        <v>0</v>
      </c>
      <c r="H17" s="1669"/>
    </row>
    <row r="18" spans="1:8" x14ac:dyDescent="0.25">
      <c r="A18" s="1955" t="s">
        <v>2109</v>
      </c>
      <c r="B18" s="1956" t="s">
        <v>2110</v>
      </c>
      <c r="C18" s="1957" t="s">
        <v>2111</v>
      </c>
      <c r="D18" s="1867">
        <v>8750</v>
      </c>
      <c r="E18" s="1562">
        <f t="shared" ref="E18:E140" si="2">IF(D18&lt;=25000,D18,IF(D18&gt;25000,25000,0))</f>
        <v>8750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5" t="s">
        <v>2112</v>
      </c>
      <c r="B19" s="1956" t="s">
        <v>2113</v>
      </c>
      <c r="C19" s="1957" t="s">
        <v>2114</v>
      </c>
      <c r="D19" s="1867">
        <v>974</v>
      </c>
      <c r="E19" s="1562">
        <f t="shared" si="2"/>
        <v>974</v>
      </c>
      <c r="F19" s="1815">
        <f t="shared" si="3"/>
        <v>0</v>
      </c>
      <c r="G19" s="1816">
        <f t="shared" si="4"/>
        <v>0</v>
      </c>
    </row>
    <row r="20" spans="1:8" x14ac:dyDescent="0.25">
      <c r="A20" s="1955" t="s">
        <v>2106</v>
      </c>
      <c r="B20" s="1956" t="s">
        <v>2107</v>
      </c>
      <c r="C20" s="1957" t="s">
        <v>2115</v>
      </c>
      <c r="D20" s="1867">
        <v>33303</v>
      </c>
      <c r="E20" s="1562">
        <f t="shared" si="2"/>
        <v>25000</v>
      </c>
      <c r="F20" s="1815">
        <f t="shared" si="3"/>
        <v>0</v>
      </c>
      <c r="G20" s="1816">
        <f t="shared" si="4"/>
        <v>0</v>
      </c>
    </row>
    <row r="21" spans="1:8" x14ac:dyDescent="0.25">
      <c r="A21" s="1955" t="s">
        <v>2116</v>
      </c>
      <c r="B21" s="1956" t="s">
        <v>2117</v>
      </c>
      <c r="C21" s="1957" t="s">
        <v>2118</v>
      </c>
      <c r="D21" s="1867">
        <v>111737</v>
      </c>
      <c r="E21" s="1562">
        <f t="shared" si="2"/>
        <v>25000</v>
      </c>
      <c r="F21" s="1815">
        <f t="shared" si="3"/>
        <v>0</v>
      </c>
      <c r="G21" s="1816">
        <f t="shared" si="4"/>
        <v>0</v>
      </c>
    </row>
    <row r="22" spans="1:8" x14ac:dyDescent="0.25">
      <c r="A22" s="1955" t="s">
        <v>2116</v>
      </c>
      <c r="B22" s="1956" t="s">
        <v>2119</v>
      </c>
      <c r="C22" s="1957" t="s">
        <v>2120</v>
      </c>
      <c r="D22" s="1867">
        <v>9338</v>
      </c>
      <c r="E22" s="1562">
        <f t="shared" si="2"/>
        <v>9338</v>
      </c>
      <c r="F22" s="1815">
        <f t="shared" si="3"/>
        <v>0</v>
      </c>
      <c r="G22" s="1816">
        <f t="shared" si="4"/>
        <v>0</v>
      </c>
    </row>
    <row r="23" spans="1:8" x14ac:dyDescent="0.25">
      <c r="A23" s="1955" t="s">
        <v>2116</v>
      </c>
      <c r="B23" s="1956" t="s">
        <v>2121</v>
      </c>
      <c r="C23" s="1957" t="s">
        <v>2122</v>
      </c>
      <c r="D23" s="1867">
        <v>3991</v>
      </c>
      <c r="E23" s="1562">
        <f t="shared" si="2"/>
        <v>3991</v>
      </c>
      <c r="F23" s="1815">
        <f t="shared" si="3"/>
        <v>0</v>
      </c>
      <c r="G23" s="1816">
        <f t="shared" si="4"/>
        <v>0</v>
      </c>
    </row>
    <row r="24" spans="1:8" x14ac:dyDescent="0.25">
      <c r="A24" s="1955" t="s">
        <v>2116</v>
      </c>
      <c r="B24" s="1956" t="s">
        <v>2121</v>
      </c>
      <c r="C24" s="1957" t="s">
        <v>2123</v>
      </c>
      <c r="D24" s="1867">
        <v>3585</v>
      </c>
      <c r="E24" s="1562">
        <f t="shared" si="2"/>
        <v>3585</v>
      </c>
      <c r="F24" s="1815">
        <f t="shared" si="3"/>
        <v>0</v>
      </c>
      <c r="G24" s="1816">
        <f t="shared" si="4"/>
        <v>0</v>
      </c>
    </row>
    <row r="25" spans="1:8" x14ac:dyDescent="0.25">
      <c r="A25" s="1955" t="s">
        <v>2116</v>
      </c>
      <c r="B25" s="1956" t="s">
        <v>2124</v>
      </c>
      <c r="C25" s="1957" t="s">
        <v>2125</v>
      </c>
      <c r="D25" s="1867">
        <v>1585</v>
      </c>
      <c r="E25" s="1562">
        <f t="shared" si="2"/>
        <v>1585</v>
      </c>
      <c r="F25" s="1815">
        <f t="shared" si="3"/>
        <v>0</v>
      </c>
      <c r="G25" s="1816">
        <f t="shared" si="4"/>
        <v>0</v>
      </c>
    </row>
    <row r="26" spans="1:8" x14ac:dyDescent="0.25">
      <c r="A26" s="1955" t="s">
        <v>2126</v>
      </c>
      <c r="B26" s="1956" t="s">
        <v>2127</v>
      </c>
      <c r="C26" s="1957" t="s">
        <v>2103</v>
      </c>
      <c r="D26" s="1867">
        <v>343009</v>
      </c>
      <c r="E26" s="1562">
        <f t="shared" si="2"/>
        <v>25000</v>
      </c>
      <c r="F26" s="1815">
        <f t="shared" si="3"/>
        <v>0</v>
      </c>
      <c r="G26" s="1816">
        <f t="shared" si="4"/>
        <v>0</v>
      </c>
    </row>
    <row r="27" spans="1:8" x14ac:dyDescent="0.25">
      <c r="A27" s="1955" t="s">
        <v>2128</v>
      </c>
      <c r="B27" s="1956" t="s">
        <v>2129</v>
      </c>
      <c r="C27" s="1957" t="s">
        <v>2130</v>
      </c>
      <c r="D27" s="1867">
        <v>5860</v>
      </c>
      <c r="E27" s="1562">
        <f t="shared" si="2"/>
        <v>5860</v>
      </c>
      <c r="F27" s="1815">
        <f t="shared" si="3"/>
        <v>0</v>
      </c>
      <c r="G27" s="1816">
        <f t="shared" si="4"/>
        <v>0</v>
      </c>
    </row>
    <row r="28" spans="1:8" x14ac:dyDescent="0.25">
      <c r="A28" s="1955" t="s">
        <v>2131</v>
      </c>
      <c r="B28" s="1956" t="s">
        <v>2132</v>
      </c>
      <c r="C28" s="1957" t="s">
        <v>2133</v>
      </c>
      <c r="D28" s="1867">
        <v>7130</v>
      </c>
      <c r="E28" s="1562">
        <f t="shared" si="2"/>
        <v>7130</v>
      </c>
      <c r="F28" s="1815">
        <f t="shared" si="3"/>
        <v>0</v>
      </c>
      <c r="G28" s="1816">
        <f t="shared" si="4"/>
        <v>0</v>
      </c>
    </row>
    <row r="29" spans="1:8" x14ac:dyDescent="0.25">
      <c r="A29" s="1955" t="s">
        <v>2131</v>
      </c>
      <c r="B29" s="1956" t="s">
        <v>2132</v>
      </c>
      <c r="C29" s="1957" t="s">
        <v>2134</v>
      </c>
      <c r="D29" s="1867">
        <v>13610</v>
      </c>
      <c r="E29" s="1562">
        <f t="shared" si="2"/>
        <v>13610</v>
      </c>
      <c r="F29" s="1815">
        <f t="shared" si="3"/>
        <v>0</v>
      </c>
      <c r="G29" s="1816">
        <f t="shared" si="4"/>
        <v>0</v>
      </c>
    </row>
    <row r="30" spans="1:8" x14ac:dyDescent="0.25">
      <c r="A30" s="1955" t="s">
        <v>2131</v>
      </c>
      <c r="B30" s="1956" t="s">
        <v>2132</v>
      </c>
      <c r="C30" s="1957" t="s">
        <v>2135</v>
      </c>
      <c r="D30" s="1867">
        <v>12000</v>
      </c>
      <c r="E30" s="1562">
        <f t="shared" si="2"/>
        <v>12000</v>
      </c>
      <c r="F30" s="1815">
        <f t="shared" si="3"/>
        <v>0</v>
      </c>
      <c r="G30" s="1816">
        <f t="shared" si="4"/>
        <v>0</v>
      </c>
    </row>
    <row r="31" spans="1:8" x14ac:dyDescent="0.25">
      <c r="A31" s="1955" t="s">
        <v>2131</v>
      </c>
      <c r="B31" s="1956" t="s">
        <v>2132</v>
      </c>
      <c r="C31" s="1957" t="s">
        <v>2136</v>
      </c>
      <c r="D31" s="1867">
        <v>14700</v>
      </c>
      <c r="E31" s="1562">
        <f t="shared" si="2"/>
        <v>14700</v>
      </c>
      <c r="F31" s="1815">
        <f t="shared" si="3"/>
        <v>0</v>
      </c>
      <c r="G31" s="1816">
        <f t="shared" si="4"/>
        <v>0</v>
      </c>
    </row>
    <row r="32" spans="1:8" x14ac:dyDescent="0.25">
      <c r="A32" s="1955" t="s">
        <v>2131</v>
      </c>
      <c r="B32" s="1956" t="s">
        <v>2132</v>
      </c>
      <c r="C32" s="1957" t="s">
        <v>2137</v>
      </c>
      <c r="D32" s="1867">
        <v>8545</v>
      </c>
      <c r="E32" s="1562">
        <f t="shared" si="2"/>
        <v>8545</v>
      </c>
      <c r="F32" s="1815">
        <f t="shared" si="3"/>
        <v>0</v>
      </c>
      <c r="G32" s="1816">
        <f t="shared" si="4"/>
        <v>0</v>
      </c>
    </row>
    <row r="33" spans="1:7" x14ac:dyDescent="0.25">
      <c r="A33" s="1955" t="s">
        <v>2138</v>
      </c>
      <c r="B33" s="1956" t="s">
        <v>2139</v>
      </c>
      <c r="C33" s="1957" t="s">
        <v>2140</v>
      </c>
      <c r="D33" s="1867">
        <v>2545</v>
      </c>
      <c r="E33" s="1562">
        <f t="shared" si="2"/>
        <v>2545</v>
      </c>
      <c r="F33" s="1815">
        <f t="shared" si="3"/>
        <v>0</v>
      </c>
      <c r="G33" s="1816">
        <f t="shared" si="4"/>
        <v>0</v>
      </c>
    </row>
    <row r="34" spans="1:7" x14ac:dyDescent="0.25">
      <c r="A34" s="1955" t="s">
        <v>2138</v>
      </c>
      <c r="B34" s="1956" t="s">
        <v>2141</v>
      </c>
      <c r="C34" s="1957" t="s">
        <v>2142</v>
      </c>
      <c r="D34" s="1867">
        <v>24850</v>
      </c>
      <c r="E34" s="1562">
        <f t="shared" si="2"/>
        <v>24850</v>
      </c>
      <c r="F34" s="1815">
        <f t="shared" si="3"/>
        <v>0</v>
      </c>
      <c r="G34" s="1816">
        <f t="shared" si="4"/>
        <v>0</v>
      </c>
    </row>
    <row r="35" spans="1:7" x14ac:dyDescent="0.25">
      <c r="A35" s="1955" t="s">
        <v>2143</v>
      </c>
      <c r="B35" s="1956" t="s">
        <v>2144</v>
      </c>
      <c r="C35" s="1957" t="s">
        <v>2145</v>
      </c>
      <c r="D35" s="1867">
        <v>20183</v>
      </c>
      <c r="E35" s="1562">
        <f t="shared" si="2"/>
        <v>20183</v>
      </c>
      <c r="F35" s="1815">
        <f t="shared" si="3"/>
        <v>0</v>
      </c>
      <c r="G35" s="1816">
        <f t="shared" si="4"/>
        <v>0</v>
      </c>
    </row>
    <row r="36" spans="1:7" x14ac:dyDescent="0.25">
      <c r="A36" s="1955" t="s">
        <v>2146</v>
      </c>
      <c r="B36" s="1956" t="s">
        <v>2147</v>
      </c>
      <c r="C36" s="1957" t="s">
        <v>2148</v>
      </c>
      <c r="D36" s="1867">
        <v>844</v>
      </c>
      <c r="E36" s="1562">
        <f t="shared" si="2"/>
        <v>844</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632055</v>
      </c>
      <c r="E141" s="1563">
        <f t="shared" si="1"/>
        <v>25000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K49" sqref="K49"/>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0" t="s">
        <v>1777</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5" t="s">
        <v>1944</v>
      </c>
      <c r="B11" s="2306"/>
      <c r="C11" s="2306"/>
      <c r="D11" s="2307"/>
      <c r="E11" s="978">
        <v>20603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2476692</v>
      </c>
      <c r="F19" s="1822"/>
      <c r="G19" s="1824">
        <f>'Expenditures 15-22'!K33-SUM('Expenditures 15-22'!G33,'Expenditures 15-22'!I33)+'Expenditures 15-22'!D229</f>
        <v>2476692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145225</v>
      </c>
      <c r="F21" s="1825"/>
      <c r="G21" s="1828">
        <f>'Expenditures 15-22'!K42-SUM('Expenditures 15-22'!G42,'Expenditures 15-22'!I42)+'Expenditures 15-22'!K120-SUM('Expenditures 15-22'!G120,'Expenditures 15-22'!I120)+'Expenditures 15-22'!K180-SUM('Expenditures 15-22'!G180,'Expenditures 15-22'!I180)+'Expenditures 15-22'!D238</f>
        <v>145225</v>
      </c>
      <c r="H21" s="988"/>
      <c r="I21" s="162"/>
    </row>
    <row r="22" spans="1:9" s="669" customFormat="1" ht="12" customHeight="1" x14ac:dyDescent="0.2">
      <c r="A22" s="995" t="s">
        <v>584</v>
      </c>
      <c r="B22" s="996"/>
      <c r="C22" s="994">
        <v>2200</v>
      </c>
      <c r="D22" s="1825"/>
      <c r="E22" s="1827">
        <f>'Expenditures 15-22'!K47-SUM('Expenditures 15-22'!G47,'Expenditures 15-22'!I47)+'Expenditures 15-22'!D243</f>
        <v>148592</v>
      </c>
      <c r="F22" s="1825"/>
      <c r="G22" s="1828">
        <f>'Expenditures 15-22'!K47-SUM('Expenditures 15-22'!G47,'Expenditures 15-22'!I47)+'Expenditures 15-22'!D243</f>
        <v>148592</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347225</v>
      </c>
      <c r="F23" s="1825"/>
      <c r="G23" s="1827">
        <f>'Expenditures 15-22'!K53-SUM('Expenditures 15-22'!G53,'Expenditures 15-22'!I53)+'Expenditures 15-22'!D257+'Expenditures 15-22'!K330-SUM('Expenditures 15-22'!G330,'Expenditures 15-22'!I330)</f>
        <v>347225</v>
      </c>
      <c r="H23" s="988"/>
      <c r="I23" s="162"/>
    </row>
    <row r="24" spans="1:9" s="669" customFormat="1" ht="12" customHeight="1" x14ac:dyDescent="0.2">
      <c r="A24" s="995" t="s">
        <v>586</v>
      </c>
      <c r="B24" s="996"/>
      <c r="C24" s="994">
        <v>2400</v>
      </c>
      <c r="D24" s="1825"/>
      <c r="E24" s="1827">
        <f>'Expenditures 15-22'!K57-SUM('Expenditures 15-22'!G57,'Expenditures 15-22'!I57)+'Expenditures 15-22'!D261</f>
        <v>309651</v>
      </c>
      <c r="F24" s="1825"/>
      <c r="G24" s="1828">
        <f>'Expenditures 15-22'!K57-SUM('Expenditures 15-22'!G57,'Expenditures 15-22'!I57)+'Expenditures 15-22'!D261</f>
        <v>309651</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42612</v>
      </c>
      <c r="E27" s="1827">
        <f>E8</f>
        <v>0</v>
      </c>
      <c r="F27" s="1827">
        <f>'Expenditures 15-22'!K60-SUM('Expenditures 15-22'!G60,'Expenditures 15-22'!I60)+'Expenditures 15-22'!D264-E8</f>
        <v>42612</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454122</v>
      </c>
      <c r="F28" s="1829">
        <f>'Expenditures 15-22'!K61-SUM('Expenditures 15-22'!G61,'Expenditures 15-22'!I61)+'Expenditures 15-22'!K124-SUM('Expenditures 15-22'!G124,'Expenditures 15-22'!I124)+'Expenditures 15-22'!D266-E9</f>
        <v>454122</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396573</v>
      </c>
      <c r="F29" s="1825"/>
      <c r="G29" s="1828">
        <f>'Expenditures 15-22'!K62-SUM('Expenditures 15-22'!G62,'Expenditures 15-22'!I62)+'Expenditures 15-22'!K125-SUM('Expenditures 15-22'!G125,'Expenditures 15-22'!I125)+'Expenditures 15-22'!K182-SUM('Expenditures 15-22'!G182,'Expenditures 15-22'!I182)+'Expenditures 15-22'!D267</f>
        <v>396573</v>
      </c>
      <c r="H29" s="986"/>
    </row>
    <row r="30" spans="1:9" ht="12" customHeight="1" x14ac:dyDescent="0.2">
      <c r="A30" s="995" t="s">
        <v>102</v>
      </c>
      <c r="B30" s="998"/>
      <c r="C30" s="994">
        <v>2560</v>
      </c>
      <c r="D30" s="1825"/>
      <c r="E30" s="1827">
        <f>'Expenditures 15-22'!K63-SUM('Expenditures 15-22'!G63,'Expenditures 15-22'!I63)+'Expenditures 15-22'!D268-E10</f>
        <v>209954</v>
      </c>
      <c r="F30" s="1825"/>
      <c r="G30" s="1827">
        <f>'Expenditures 15-22'!K63-SUM('Expenditures 15-22'!G63,'Expenditures 15-22'!I63)+'Expenditures 15-22'!D268-E10</f>
        <v>209954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6568</v>
      </c>
      <c r="F39" s="1825"/>
      <c r="G39" s="1827">
        <f>'Expenditures 15-22'!K75-SUM('Expenditures 15-22'!G75,'Expenditures 15-22'!I75)+'Expenditures 15-22'!K130-SUM('Expenditures 15-22'!G130,'Expenditures 15-22'!I130)+'Expenditures 15-22'!K185-SUM('Expenditures 15-22'!G185,'Expenditures 15-22'!I185)+'Expenditures 15-22'!D280</f>
        <v>6568</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42612</v>
      </c>
      <c r="E41" s="1829">
        <f>SUM(E19:E40)</f>
        <v>4494602</v>
      </c>
      <c r="F41" s="1829">
        <f>SUM(F19:F39)</f>
        <v>496734</v>
      </c>
      <c r="G41" s="1829">
        <f>SUM(G19:G40)</f>
        <v>4040480</v>
      </c>
    </row>
    <row r="42" spans="1:7" x14ac:dyDescent="0.2">
      <c r="A42" s="988"/>
      <c r="B42" s="162"/>
      <c r="C42" s="1002"/>
      <c r="D42" s="2303" t="s">
        <v>542</v>
      </c>
      <c r="E42" s="2304"/>
      <c r="F42" s="1003" t="s">
        <v>543</v>
      </c>
      <c r="G42" s="1004"/>
    </row>
    <row r="43" spans="1:7" ht="12" customHeight="1" x14ac:dyDescent="0.2">
      <c r="A43" s="988"/>
      <c r="B43" s="162"/>
      <c r="C43" s="1002"/>
      <c r="D43" s="1830" t="s">
        <v>492</v>
      </c>
      <c r="E43" s="1831">
        <f>D41</f>
        <v>42612</v>
      </c>
      <c r="F43" s="1830" t="s">
        <v>494</v>
      </c>
      <c r="G43" s="1831">
        <f>F41</f>
        <v>496734</v>
      </c>
    </row>
    <row r="44" spans="1:7" ht="12" customHeight="1" x14ac:dyDescent="0.2">
      <c r="A44" s="988"/>
      <c r="B44" s="162"/>
      <c r="C44" s="1002"/>
      <c r="D44" s="1830" t="s">
        <v>493</v>
      </c>
      <c r="E44" s="1831">
        <f>E41</f>
        <v>4494602</v>
      </c>
      <c r="F44" s="1830" t="s">
        <v>493</v>
      </c>
      <c r="G44" s="1831">
        <f>G41</f>
        <v>4040480</v>
      </c>
    </row>
    <row r="45" spans="1:7" ht="12" customHeight="1" x14ac:dyDescent="0.2">
      <c r="A45" s="988"/>
      <c r="B45" s="162"/>
      <c r="C45" s="162"/>
      <c r="D45" s="1832" t="s">
        <v>1062</v>
      </c>
      <c r="E45" s="1833">
        <f>(E43/E44)</f>
        <v>9.4807059668464526E-3</v>
      </c>
      <c r="F45" s="1832" t="s">
        <v>1062</v>
      </c>
      <c r="G45" s="1833">
        <f>(G43/G44)</f>
        <v>0.12293935374014968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8" activePane="bottomLeft" state="frozen"/>
      <selection activeCell="K49" sqref="K49"/>
      <selection pane="bottomLeft" activeCell="K49" sqref="K49"/>
    </sheetView>
  </sheetViews>
  <sheetFormatPr defaultColWidth="9.28515625" defaultRowHeight="12.75" x14ac:dyDescent="0.2"/>
  <cols>
    <col min="1" max="1" width="54.5703125" style="1900" customWidth="1"/>
    <col min="2" max="2" width="4.28515625" style="1900" customWidth="1"/>
    <col min="3" max="4" width="9.7109375" style="1871" customWidth="1"/>
    <col min="5" max="5" width="12.5703125" style="1901" customWidth="1"/>
    <col min="6" max="6" width="67.5703125" style="1871" customWidth="1"/>
    <col min="7" max="7" width="9.28515625" style="1871" customWidth="1"/>
    <col min="8" max="8" width="5.5703125" style="1902" bestFit="1" customWidth="1"/>
    <col min="9" max="10" width="2" style="1902" bestFit="1" customWidth="1"/>
    <col min="11" max="11" width="9" style="1902" customWidth="1"/>
    <col min="12" max="16384" width="9.28515625" style="1871"/>
  </cols>
  <sheetData>
    <row r="1" spans="1:10" x14ac:dyDescent="0.2">
      <c r="A1" s="2311" t="s">
        <v>1445</v>
      </c>
      <c r="B1" s="2311"/>
      <c r="C1" s="2311"/>
      <c r="D1" s="2311"/>
      <c r="E1" s="2311"/>
      <c r="F1" s="2311"/>
    </row>
    <row r="2" spans="1:10" x14ac:dyDescent="0.2">
      <c r="A2" s="1911" t="s">
        <v>2047</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2" t="s">
        <v>1626</v>
      </c>
      <c r="B5" s="2313"/>
      <c r="C5" s="2314"/>
      <c r="D5" s="2314"/>
      <c r="E5" s="2314"/>
      <c r="F5" s="2314"/>
    </row>
    <row r="6" spans="1:10" ht="12" customHeight="1" x14ac:dyDescent="0.25">
      <c r="A6" s="1874"/>
      <c r="B6" s="1875"/>
      <c r="C6" s="2315" t="str">
        <f>COVER!A17</f>
        <v>Cerro Gordo CUSD 100</v>
      </c>
      <c r="D6" s="2315"/>
      <c r="E6" s="2315"/>
      <c r="F6" s="1876"/>
    </row>
    <row r="7" spans="1:10" ht="11.25" customHeight="1" thickBot="1" x14ac:dyDescent="0.3">
      <c r="A7" s="1874"/>
      <c r="B7" s="1875"/>
      <c r="C7" s="2316" t="str">
        <f>COVER!A13</f>
        <v>39-074-1000-26</v>
      </c>
      <c r="D7" s="2316"/>
      <c r="E7" s="2316"/>
      <c r="F7" s="1876"/>
    </row>
    <row r="8" spans="1:10" ht="25.5" customHeight="1" thickBot="1" x14ac:dyDescent="0.25">
      <c r="A8" s="1917" t="s">
        <v>2024</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t="s">
        <v>2076</v>
      </c>
      <c r="D13" s="1889" t="s">
        <v>2076</v>
      </c>
      <c r="E13" s="1892" t="s">
        <v>2076</v>
      </c>
      <c r="F13" s="1891" t="s">
        <v>2098</v>
      </c>
      <c r="H13" s="1902">
        <f t="shared" si="0"/>
        <v>5</v>
      </c>
      <c r="I13" s="1902">
        <f t="shared" si="1"/>
        <v>5</v>
      </c>
      <c r="J13" s="1902">
        <f t="shared" si="2"/>
        <v>5</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t="s">
        <v>2076</v>
      </c>
      <c r="D16" s="1889" t="s">
        <v>2076</v>
      </c>
      <c r="E16" s="1892" t="s">
        <v>2076</v>
      </c>
      <c r="F16" s="1891" t="s">
        <v>2099</v>
      </c>
      <c r="H16" s="1902">
        <f t="shared" si="0"/>
        <v>5</v>
      </c>
      <c r="I16" s="1902">
        <f t="shared" si="1"/>
        <v>5</v>
      </c>
      <c r="J16" s="1902">
        <f t="shared" si="2"/>
        <v>5</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t="s">
        <v>2076</v>
      </c>
      <c r="D25" s="1889" t="s">
        <v>2076</v>
      </c>
      <c r="E25" s="1892" t="s">
        <v>2076</v>
      </c>
      <c r="F25" s="1891" t="s">
        <v>2100</v>
      </c>
      <c r="H25" s="1902">
        <f t="shared" si="0"/>
        <v>5</v>
      </c>
      <c r="I25" s="1902">
        <f t="shared" si="1"/>
        <v>5</v>
      </c>
      <c r="J25" s="1902">
        <f t="shared" si="2"/>
        <v>5</v>
      </c>
    </row>
    <row r="26" spans="1:12" ht="12" customHeight="1" x14ac:dyDescent="0.2">
      <c r="A26" s="1887" t="s">
        <v>1614</v>
      </c>
      <c r="B26" s="1888"/>
      <c r="C26" s="1889" t="s">
        <v>2076</v>
      </c>
      <c r="D26" s="1889" t="s">
        <v>2076</v>
      </c>
      <c r="E26" s="1892" t="s">
        <v>2076</v>
      </c>
      <c r="F26" s="1891" t="s">
        <v>2101</v>
      </c>
      <c r="H26" s="1902">
        <f t="shared" si="0"/>
        <v>5</v>
      </c>
      <c r="I26" s="1902">
        <f t="shared" si="1"/>
        <v>5</v>
      </c>
      <c r="J26" s="1902">
        <f t="shared" si="2"/>
        <v>5</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t="s">
        <v>2076</v>
      </c>
      <c r="D29" s="1889" t="s">
        <v>2076</v>
      </c>
      <c r="E29" s="1892" t="s">
        <v>2076</v>
      </c>
      <c r="F29" s="1891" t="s">
        <v>2102</v>
      </c>
      <c r="H29" s="1902">
        <f t="shared" si="0"/>
        <v>5</v>
      </c>
      <c r="I29" s="1902">
        <f t="shared" si="1"/>
        <v>5</v>
      </c>
      <c r="J29" s="1902">
        <f t="shared" si="2"/>
        <v>5</v>
      </c>
    </row>
    <row r="30" spans="1:12" ht="12" customHeight="1" x14ac:dyDescent="0.2">
      <c r="A30" s="1887" t="s">
        <v>1618</v>
      </c>
      <c r="B30" s="1888"/>
      <c r="C30" s="1889" t="s">
        <v>2076</v>
      </c>
      <c r="D30" s="1889" t="s">
        <v>2076</v>
      </c>
      <c r="E30" s="1892" t="s">
        <v>2076</v>
      </c>
      <c r="F30" s="1891" t="s">
        <v>2103</v>
      </c>
      <c r="H30" s="1902">
        <f t="shared" si="0"/>
        <v>5</v>
      </c>
      <c r="I30" s="1902">
        <f t="shared" si="1"/>
        <v>5</v>
      </c>
      <c r="J30" s="1902">
        <f t="shared" si="2"/>
        <v>5</v>
      </c>
    </row>
    <row r="31" spans="1:12" ht="12" customHeight="1" x14ac:dyDescent="0.2">
      <c r="A31" s="1887" t="s">
        <v>1619</v>
      </c>
      <c r="B31" s="1888"/>
      <c r="C31" s="1889" t="s">
        <v>2076</v>
      </c>
      <c r="D31" s="1889" t="s">
        <v>2076</v>
      </c>
      <c r="E31" s="1892" t="s">
        <v>2076</v>
      </c>
      <c r="F31" s="1891" t="s">
        <v>2104</v>
      </c>
      <c r="H31" s="1902">
        <f t="shared" si="0"/>
        <v>5</v>
      </c>
      <c r="I31" s="1902">
        <f t="shared" si="1"/>
        <v>5</v>
      </c>
      <c r="J31" s="1902">
        <f t="shared" si="2"/>
        <v>5</v>
      </c>
      <c r="L31" s="1893"/>
    </row>
    <row r="32" spans="1:12" ht="12" customHeight="1" x14ac:dyDescent="0.2">
      <c r="A32" s="1887" t="s">
        <v>1620</v>
      </c>
      <c r="B32" s="1888"/>
      <c r="C32" s="1889" t="s">
        <v>2076</v>
      </c>
      <c r="D32" s="1889" t="s">
        <v>2076</v>
      </c>
      <c r="E32" s="1892" t="s">
        <v>2076</v>
      </c>
      <c r="F32" s="1891" t="s">
        <v>2105</v>
      </c>
      <c r="H32" s="1902">
        <f t="shared" si="0"/>
        <v>5</v>
      </c>
      <c r="I32" s="1902">
        <f t="shared" si="1"/>
        <v>5</v>
      </c>
      <c r="J32" s="1902">
        <f t="shared" si="2"/>
        <v>5</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40</v>
      </c>
      <c r="I34" s="1902">
        <f>SUM(I11:I32)</f>
        <v>40</v>
      </c>
      <c r="J34" s="1902">
        <f>SUM(J11:J32)</f>
        <v>40</v>
      </c>
      <c r="K34" s="1902">
        <f>SUM(H34:J34)</f>
        <v>120</v>
      </c>
    </row>
    <row r="35" spans="1:11" ht="12" customHeight="1" x14ac:dyDescent="0.2">
      <c r="A35" s="1895" t="s">
        <v>1458</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1457</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K49" sqref="K49"/>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4" customHeight="1" x14ac:dyDescent="0.2">
      <c r="F5" s="1015"/>
    </row>
    <row r="6" spans="1:17" x14ac:dyDescent="0.2">
      <c r="A6" s="1918" t="s">
        <v>692</v>
      </c>
      <c r="B6" s="1664"/>
      <c r="C6" s="1664"/>
      <c r="D6" s="1664"/>
      <c r="E6" s="1665"/>
      <c r="F6" s="1016"/>
      <c r="G6" s="1010"/>
      <c r="H6" s="1017" t="s">
        <v>1085</v>
      </c>
      <c r="I6" s="2335" t="str">
        <f>COVER!A17</f>
        <v>Cerro Gordo CUSD 100</v>
      </c>
      <c r="J6" s="2336"/>
      <c r="Q6" s="1686"/>
    </row>
    <row r="7" spans="1:17" x14ac:dyDescent="0.2">
      <c r="A7" s="2337" t="s">
        <v>923</v>
      </c>
      <c r="B7" s="2338"/>
      <c r="C7" s="2338"/>
      <c r="D7" s="2338"/>
      <c r="E7" s="2339"/>
      <c r="F7" s="1018"/>
      <c r="G7" s="1010"/>
      <c r="H7" s="1017" t="s">
        <v>389</v>
      </c>
      <c r="I7" s="2340" t="str">
        <f>COVER!A13</f>
        <v>39-074-1000-26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1" t="s">
        <v>501</v>
      </c>
      <c r="B11" s="2342"/>
      <c r="C11" s="234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156480</v>
      </c>
      <c r="F12" s="1040"/>
      <c r="G12" s="1834">
        <f t="shared" ref="G12:G18" si="0">SUM(E12:F12)</f>
        <v>156480</v>
      </c>
      <c r="H12" s="1041">
        <v>164060</v>
      </c>
      <c r="I12" s="1040"/>
      <c r="J12" s="1834">
        <f t="shared" ref="J12:J18" si="1">SUM(H12:I12)</f>
        <v>164060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156480</v>
      </c>
      <c r="F19" s="1836">
        <f t="shared" si="2"/>
        <v>0</v>
      </c>
      <c r="G19" s="1836">
        <f t="shared" si="2"/>
        <v>156480</v>
      </c>
      <c r="H19" s="1836">
        <f t="shared" si="2"/>
        <v>164060</v>
      </c>
      <c r="I19" s="1836">
        <f t="shared" si="2"/>
        <v>0</v>
      </c>
      <c r="J19" s="1836">
        <f t="shared" si="2"/>
        <v>164060</v>
      </c>
    </row>
    <row r="20" spans="1:10" ht="13.5" thickTop="1" x14ac:dyDescent="0.2">
      <c r="A20" s="1036">
        <v>9</v>
      </c>
      <c r="B20" s="2347" t="s">
        <v>1702</v>
      </c>
      <c r="C20" s="2347"/>
      <c r="D20" s="2348"/>
      <c r="E20" s="1047"/>
      <c r="F20" s="1047"/>
      <c r="G20" s="1047"/>
      <c r="H20" s="1047"/>
      <c r="I20" s="1047"/>
      <c r="J20" s="1837">
        <f>IF(AND(G19&gt;0,J19&gt;0),(((J19-G19)/G19)),"Enter Budget Data")</f>
        <v>4.844069529652352E-2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1092</v>
      </c>
      <c r="D27" s="1053"/>
      <c r="E27" s="1054"/>
      <c r="F27" s="2349" t="s">
        <v>1588</v>
      </c>
      <c r="G27" s="2349"/>
    </row>
    <row r="28" spans="1:10" ht="28.5" customHeight="1" x14ac:dyDescent="0.2">
      <c r="B28" s="1048"/>
      <c r="C28" s="2351"/>
      <c r="D28" s="2351"/>
      <c r="E28" s="1055"/>
      <c r="F28" s="2351"/>
      <c r="G28" s="2351"/>
    </row>
    <row r="29" spans="1:10" x14ac:dyDescent="0.2">
      <c r="B29" s="1048"/>
      <c r="C29" s="1056" t="s">
        <v>1641</v>
      </c>
      <c r="E29" s="1057"/>
      <c r="F29" s="2350" t="s">
        <v>1589</v>
      </c>
      <c r="G29" s="235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936</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topLeftCell="A18" zoomScale="110" zoomScaleNormal="110" workbookViewId="0">
      <selection activeCell="K49" sqref="K49"/>
    </sheetView>
  </sheetViews>
  <sheetFormatPr defaultColWidth="9.28515625" defaultRowHeight="12.75" x14ac:dyDescent="0.2"/>
  <cols>
    <col min="1" max="1" width="3" style="329" customWidth="1"/>
    <col min="2" max="2" width="43.85546875" style="329" customWidth="1"/>
    <col min="3" max="3" width="2" style="329" customWidth="1"/>
    <col min="4" max="16384" width="9.28515625" style="329"/>
  </cols>
  <sheetData>
    <row r="2" spans="1:4" x14ac:dyDescent="0.2">
      <c r="A2" s="389" t="s">
        <v>276</v>
      </c>
    </row>
    <row r="3" spans="1:4" x14ac:dyDescent="0.2">
      <c r="A3" s="329" t="s">
        <v>277</v>
      </c>
    </row>
    <row r="5" spans="1:4" x14ac:dyDescent="0.2">
      <c r="A5" s="1069">
        <v>1</v>
      </c>
      <c r="B5" s="329" t="s">
        <v>2149</v>
      </c>
    </row>
    <row r="6" spans="1:4" x14ac:dyDescent="0.2">
      <c r="A6" s="1069">
        <v>2</v>
      </c>
      <c r="B6" s="329" t="s">
        <v>2150</v>
      </c>
    </row>
    <row r="7" spans="1:4" x14ac:dyDescent="0.2">
      <c r="A7" s="1069">
        <v>3</v>
      </c>
      <c r="B7" s="329" t="s">
        <v>2151</v>
      </c>
      <c r="C7" s="329" t="s">
        <v>1014</v>
      </c>
      <c r="D7" s="329">
        <v>955</v>
      </c>
    </row>
    <row r="8" spans="1:4" x14ac:dyDescent="0.2">
      <c r="A8" s="1069">
        <v>4</v>
      </c>
    </row>
    <row r="9" spans="1:4" x14ac:dyDescent="0.2">
      <c r="A9" s="1070"/>
      <c r="B9" s="329" t="s">
        <v>2152</v>
      </c>
    </row>
    <row r="10" spans="1:4" x14ac:dyDescent="0.2">
      <c r="A10" s="1070"/>
      <c r="B10" s="329" t="s">
        <v>2153</v>
      </c>
    </row>
    <row r="11" spans="1:4" x14ac:dyDescent="0.2">
      <c r="A11" s="1070"/>
      <c r="B11" s="329" t="s">
        <v>2154</v>
      </c>
      <c r="C11" s="329" t="s">
        <v>1014</v>
      </c>
      <c r="D11" s="1958">
        <v>5003</v>
      </c>
    </row>
    <row r="12" spans="1:4" x14ac:dyDescent="0.2">
      <c r="A12" s="1070"/>
      <c r="B12" s="329" t="s">
        <v>2155</v>
      </c>
      <c r="D12" s="1958">
        <v>1083</v>
      </c>
    </row>
    <row r="13" spans="1:4" x14ac:dyDescent="0.2">
      <c r="A13" s="1070"/>
      <c r="B13" s="329" t="s">
        <v>2156</v>
      </c>
      <c r="D13" s="1958">
        <v>1040</v>
      </c>
    </row>
    <row r="14" spans="1:4" x14ac:dyDescent="0.2">
      <c r="A14" s="1070"/>
      <c r="B14" s="329" t="s">
        <v>2157</v>
      </c>
      <c r="D14" s="329">
        <v>394</v>
      </c>
    </row>
    <row r="15" spans="1:4" x14ac:dyDescent="0.2">
      <c r="A15" s="1070"/>
      <c r="B15" s="329" t="s">
        <v>2161</v>
      </c>
      <c r="D15" s="329">
        <v>477</v>
      </c>
    </row>
    <row r="16" spans="1:4" x14ac:dyDescent="0.2">
      <c r="A16" s="1070"/>
      <c r="B16" s="329" t="s">
        <v>2158</v>
      </c>
      <c r="D16" s="329">
        <v>98</v>
      </c>
    </row>
    <row r="17" spans="1:4" x14ac:dyDescent="0.2">
      <c r="A17" s="1070"/>
      <c r="B17" s="329" t="s">
        <v>2159</v>
      </c>
      <c r="D17" s="329">
        <v>584</v>
      </c>
    </row>
    <row r="18" spans="1:4" x14ac:dyDescent="0.2">
      <c r="A18" s="1070"/>
      <c r="B18" s="329" t="s">
        <v>2160</v>
      </c>
      <c r="D18" s="329">
        <v>98</v>
      </c>
    </row>
    <row r="19" spans="1:4" x14ac:dyDescent="0.2">
      <c r="A19" s="1070"/>
    </row>
    <row r="20" spans="1:4" x14ac:dyDescent="0.2">
      <c r="A20" s="1070"/>
      <c r="B20" s="329" t="s">
        <v>2162</v>
      </c>
    </row>
    <row r="21" spans="1:4" x14ac:dyDescent="0.2">
      <c r="A21" s="1070"/>
      <c r="B21" s="329" t="s">
        <v>2150</v>
      </c>
    </row>
    <row r="22" spans="1:4" x14ac:dyDescent="0.2">
      <c r="A22" s="1070"/>
      <c r="B22" s="329" t="s">
        <v>2163</v>
      </c>
      <c r="C22" s="329" t="s">
        <v>1014</v>
      </c>
      <c r="D22" s="1958">
        <v>9002</v>
      </c>
    </row>
    <row r="23" spans="1:4" x14ac:dyDescent="0.2">
      <c r="A23" s="1070" t="s">
        <v>1230</v>
      </c>
      <c r="B23" s="329" t="s">
        <v>2164</v>
      </c>
      <c r="D23" s="1958">
        <v>2235</v>
      </c>
    </row>
    <row r="24" spans="1:4" x14ac:dyDescent="0.2">
      <c r="A24" s="1070"/>
      <c r="B24" s="329" t="s">
        <v>2165</v>
      </c>
      <c r="D24" s="1958">
        <v>10858</v>
      </c>
    </row>
    <row r="25" spans="1:4" x14ac:dyDescent="0.2">
      <c r="A25" s="1070"/>
      <c r="B25" s="329" t="s">
        <v>2166</v>
      </c>
      <c r="D25" s="329">
        <v>805</v>
      </c>
    </row>
    <row r="26" spans="1:4" x14ac:dyDescent="0.2">
      <c r="A26" s="1070"/>
      <c r="B26" s="329" t="s">
        <v>2169</v>
      </c>
    </row>
    <row r="27" spans="1:4" x14ac:dyDescent="0.2">
      <c r="A27" s="1070"/>
      <c r="B27" s="329" t="s">
        <v>2168</v>
      </c>
      <c r="C27" s="329" t="s">
        <v>2167</v>
      </c>
      <c r="D27" s="1958">
        <v>23776</v>
      </c>
    </row>
    <row r="28" spans="1:4" x14ac:dyDescent="0.2">
      <c r="A28" s="1070"/>
      <c r="B28" s="329" t="s">
        <v>2170</v>
      </c>
    </row>
    <row r="29" spans="1:4" x14ac:dyDescent="0.2">
      <c r="A29" s="1070"/>
      <c r="B29" s="329" t="s">
        <v>2171</v>
      </c>
      <c r="C29" s="329" t="s">
        <v>1014</v>
      </c>
      <c r="D29" s="1958">
        <v>1520</v>
      </c>
    </row>
    <row r="30" spans="1:4" x14ac:dyDescent="0.2">
      <c r="A30" s="1070"/>
      <c r="B30" s="329" t="s">
        <v>2172</v>
      </c>
    </row>
    <row r="31" spans="1:4" x14ac:dyDescent="0.2">
      <c r="A31" s="1070"/>
      <c r="B31" s="329" t="s">
        <v>2166</v>
      </c>
      <c r="C31" s="329" t="s">
        <v>1014</v>
      </c>
      <c r="D31" s="329">
        <v>696</v>
      </c>
    </row>
    <row r="32" spans="1:4" x14ac:dyDescent="0.2">
      <c r="A32" s="1070"/>
    </row>
    <row r="33" spans="1:4" x14ac:dyDescent="0.2">
      <c r="A33" s="1070" t="s">
        <v>1230</v>
      </c>
      <c r="B33" s="329" t="s">
        <v>2173</v>
      </c>
    </row>
    <row r="34" spans="1:4" x14ac:dyDescent="0.2">
      <c r="A34" s="1070" t="s">
        <v>2174</v>
      </c>
      <c r="B34" s="329" t="s">
        <v>2150</v>
      </c>
    </row>
    <row r="35" spans="1:4" x14ac:dyDescent="0.2">
      <c r="A35" s="1070" t="s">
        <v>2175</v>
      </c>
      <c r="B35" s="329" t="s">
        <v>2176</v>
      </c>
      <c r="C35" s="329" t="s">
        <v>1014</v>
      </c>
      <c r="D35" s="1958">
        <v>2742</v>
      </c>
    </row>
    <row r="36" spans="1:4" x14ac:dyDescent="0.2">
      <c r="A36" s="1070"/>
      <c r="B36" s="329" t="s">
        <v>2177</v>
      </c>
      <c r="D36" s="1958">
        <v>4500</v>
      </c>
    </row>
    <row r="37" spans="1:4" x14ac:dyDescent="0.2">
      <c r="A37" s="1070"/>
    </row>
    <row r="38" spans="1:4" x14ac:dyDescent="0.2">
      <c r="A38" s="1070" t="s">
        <v>1230</v>
      </c>
      <c r="B38" s="329" t="s">
        <v>2178</v>
      </c>
    </row>
    <row r="39" spans="1:4" x14ac:dyDescent="0.2">
      <c r="A39" s="1070" t="s">
        <v>1230</v>
      </c>
      <c r="B39" s="329" t="s">
        <v>2179</v>
      </c>
    </row>
    <row r="40" spans="1:4" x14ac:dyDescent="0.2">
      <c r="A40" s="1070" t="s">
        <v>1230</v>
      </c>
      <c r="B40" s="329" t="s">
        <v>2180</v>
      </c>
      <c r="C40" s="329" t="s">
        <v>1014</v>
      </c>
      <c r="D40" s="1958">
        <v>10587</v>
      </c>
    </row>
    <row r="41" spans="1:4" x14ac:dyDescent="0.2">
      <c r="A41" s="1070" t="s">
        <v>1230</v>
      </c>
      <c r="B41" s="329" t="s">
        <v>2181</v>
      </c>
      <c r="D41" s="1958">
        <v>60843</v>
      </c>
    </row>
    <row r="42" spans="1:4" x14ac:dyDescent="0.2">
      <c r="A42" s="1070"/>
    </row>
    <row r="43" spans="1:4" x14ac:dyDescent="0.2">
      <c r="A43" s="1070"/>
      <c r="B43" s="329" t="s">
        <v>2182</v>
      </c>
    </row>
    <row r="44" spans="1:4" x14ac:dyDescent="0.2">
      <c r="A44" s="1070"/>
      <c r="B44" s="329" t="s">
        <v>2183</v>
      </c>
    </row>
    <row r="45" spans="1:4" x14ac:dyDescent="0.2">
      <c r="A45" s="1070"/>
      <c r="B45" s="329" t="s">
        <v>2184</v>
      </c>
      <c r="C45" s="329" t="s">
        <v>1014</v>
      </c>
      <c r="D45" s="329">
        <v>500</v>
      </c>
    </row>
    <row r="46" spans="1:4" x14ac:dyDescent="0.2">
      <c r="A46" s="1070"/>
    </row>
    <row r="47" spans="1:4" x14ac:dyDescent="0.2">
      <c r="A47" s="1070"/>
    </row>
    <row r="48" spans="1:4"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Cerro Gordo CUSD 100</v>
      </c>
    </row>
    <row r="65" spans="2:2" x14ac:dyDescent="0.2">
      <c r="B65" s="1071" t="str">
        <f>COVER!A13</f>
        <v>39-074-1000-26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election activeCell="K49" sqref="K49"/>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1" t="s">
        <v>1124</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714</v>
      </c>
      <c r="B40" s="2068"/>
      <c r="C40" s="2068"/>
      <c r="D40" s="2068"/>
      <c r="E40" s="2068"/>
    </row>
    <row r="41" spans="1:5" x14ac:dyDescent="0.2">
      <c r="A41" s="2069" t="s">
        <v>1705</v>
      </c>
      <c r="B41" s="2069"/>
      <c r="C41" s="2069"/>
      <c r="D41" s="2069"/>
      <c r="E41" s="2069"/>
    </row>
    <row r="42" spans="1:5" ht="12.75" customHeight="1" x14ac:dyDescent="0.2">
      <c r="A42" s="2070" t="s">
        <v>1079</v>
      </c>
      <c r="B42" s="2070"/>
      <c r="C42" s="2070"/>
      <c r="D42" s="2070"/>
      <c r="E42" s="2070"/>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4" customHeight="1" x14ac:dyDescent="0.2">
      <c r="A76" s="189" t="s">
        <v>1718</v>
      </c>
      <c r="B76" s="198" t="s">
        <v>1887</v>
      </c>
    </row>
    <row r="77" spans="1:9" ht="12.4"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4"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K49" sqref="K49"/>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5" sqref="C5"/>
    </sheetView>
  </sheetViews>
  <sheetFormatPr defaultColWidth="9.28515625" defaultRowHeight="12.75" x14ac:dyDescent="0.2"/>
  <cols>
    <col min="1" max="1" width="1.7109375" style="329" customWidth="1"/>
    <col min="2" max="2" width="17.140625" style="329" customWidth="1"/>
    <col min="3" max="16384" width="9.28515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4" t="s">
        <v>1783</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4</xdr:row>
                <xdr:rowOff>0</xdr:rowOff>
              </from>
              <to>
                <xdr:col>3</xdr:col>
                <xdr:colOff>285750</xdr:colOff>
                <xdr:row>7</xdr:row>
                <xdr:rowOff>161925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49" sqref="K49"/>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5" t="s">
        <v>1789</v>
      </c>
      <c r="B1" s="2356"/>
      <c r="C1" s="2356"/>
      <c r="D1" s="2356"/>
      <c r="E1" s="2356"/>
      <c r="F1" s="2357"/>
    </row>
    <row r="2" spans="1:8" ht="45" customHeight="1" x14ac:dyDescent="0.2">
      <c r="A2" s="2365" t="s">
        <v>1790</v>
      </c>
      <c r="B2" s="2366"/>
      <c r="C2" s="2366"/>
      <c r="D2" s="2366"/>
      <c r="E2" s="2366"/>
      <c r="F2" s="2367"/>
      <c r="G2" s="1075"/>
      <c r="H2" s="1075"/>
    </row>
    <row r="3" spans="1:8" ht="57" customHeight="1" x14ac:dyDescent="0.2">
      <c r="A3" s="2368" t="s">
        <v>1785</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1791</v>
      </c>
      <c r="B6" s="2372"/>
      <c r="C6" s="2372"/>
      <c r="D6" s="2372"/>
      <c r="E6" s="2372"/>
      <c r="F6" s="2373"/>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3992690</v>
      </c>
      <c r="C8" s="1838">
        <f>'Acct Summary 7-8'!D8</f>
        <v>428841</v>
      </c>
      <c r="D8" s="1838">
        <f>'Acct Summary 7-8'!F8</f>
        <v>420442</v>
      </c>
      <c r="E8" s="1838">
        <f>'Acct Summary 7-8'!I8</f>
        <v>36002</v>
      </c>
      <c r="F8" s="1838">
        <f>SUM(B8:E8)</f>
        <v>4877975</v>
      </c>
    </row>
    <row r="9" spans="1:8" s="1080" customFormat="1" ht="14.25" customHeight="1" thickBot="1" x14ac:dyDescent="0.25">
      <c r="A9" s="1079" t="s">
        <v>1435</v>
      </c>
      <c r="B9" s="1839">
        <f>'Acct Summary 7-8'!C17</f>
        <v>3590376</v>
      </c>
      <c r="C9" s="1839">
        <f>'Acct Summary 7-8'!D17</f>
        <v>420687</v>
      </c>
      <c r="D9" s="1839">
        <f>'Acct Summary 7-8'!F17</f>
        <v>396407</v>
      </c>
      <c r="E9" s="1838"/>
      <c r="F9" s="1838">
        <f>SUM(B9:E9)</f>
        <v>4407470</v>
      </c>
    </row>
    <row r="10" spans="1:8" s="1080" customFormat="1" ht="14.25" thickTop="1" thickBot="1" x14ac:dyDescent="0.25">
      <c r="A10" s="1081" t="s">
        <v>1436</v>
      </c>
      <c r="B10" s="1840">
        <f>(B8-B9)</f>
        <v>402314</v>
      </c>
      <c r="C10" s="1840">
        <f>(C8-C9)</f>
        <v>8154</v>
      </c>
      <c r="D10" s="1840">
        <f>(D8-D9)</f>
        <v>24035</v>
      </c>
      <c r="E10" s="1839">
        <f>(E8-E9)</f>
        <v>36002</v>
      </c>
      <c r="F10" s="1841">
        <f>SUM(F8-F9)</f>
        <v>470505</v>
      </c>
    </row>
    <row r="11" spans="1:8" s="1080" customFormat="1" ht="14.25" thickTop="1" thickBot="1" x14ac:dyDescent="0.25">
      <c r="A11" s="1082" t="s">
        <v>1784</v>
      </c>
      <c r="B11" s="1842">
        <f>'Acct Summary 7-8'!C81</f>
        <v>801432</v>
      </c>
      <c r="C11" s="1842">
        <f>'Acct Summary 7-8'!D81</f>
        <v>205758</v>
      </c>
      <c r="D11" s="1842">
        <f>'Acct Summary 7-8'!F81</f>
        <v>114081</v>
      </c>
      <c r="E11" s="1842">
        <f>'Acct Summary 7-8'!I81</f>
        <v>1578283</v>
      </c>
      <c r="F11" s="1843">
        <f>SUM(B11:E11)</f>
        <v>2699554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1786</v>
      </c>
      <c r="B16" s="2358"/>
      <c r="C16" s="2358"/>
      <c r="D16" s="2358"/>
      <c r="E16" s="2358"/>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K49" sqref="K49"/>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685</v>
      </c>
      <c r="B3" s="2381"/>
      <c r="C3" s="2381"/>
      <c r="D3" s="2382"/>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1" t="s">
        <v>1583</v>
      </c>
      <c r="D7" s="2392"/>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3" t="s">
        <v>1064</v>
      </c>
      <c r="B15" s="2384"/>
      <c r="C15" s="2384"/>
      <c r="D15" s="2385"/>
    </row>
    <row r="16" spans="1:4" s="669" customFormat="1" ht="24" customHeight="1" x14ac:dyDescent="0.2">
      <c r="A16" s="2386" t="s">
        <v>683</v>
      </c>
      <c r="B16" s="2387"/>
      <c r="C16" s="2387"/>
      <c r="D16" s="2388"/>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5" t="s">
        <v>331</v>
      </c>
      <c r="D21" s="2396"/>
    </row>
    <row r="22" spans="1:10" ht="12.75" x14ac:dyDescent="0.2">
      <c r="A22" s="1140"/>
      <c r="B22" s="1141">
        <v>2</v>
      </c>
      <c r="C22" s="2393" t="s">
        <v>1604</v>
      </c>
      <c r="D22" s="2394"/>
    </row>
    <row r="23" spans="1:10" ht="12.4" customHeight="1" x14ac:dyDescent="0.2">
      <c r="A23" s="1140"/>
      <c r="B23" s="1141"/>
      <c r="C23" s="1142" t="s">
        <v>1010</v>
      </c>
      <c r="D23" s="1143" t="str">
        <f>IF(COVER!O11="X","CASH",IF(COVER!O12="X","ACCRUAL ","PLEASE CHECK AN ACCOUNTING BASIS."))</f>
        <v>CASH</v>
      </c>
    </row>
    <row r="24" spans="1:10" ht="12.4"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7" t="s">
        <v>556</v>
      </c>
      <c r="D43" s="2398"/>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9" t="s">
        <v>816</v>
      </c>
      <c r="D56" s="2390"/>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1796</v>
      </c>
      <c r="D70" s="2390"/>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39-074-1000-26</v>
      </c>
    </row>
    <row r="3" spans="1:2" x14ac:dyDescent="0.2">
      <c r="A3" t="s">
        <v>1012</v>
      </c>
      <c r="B3" s="138" t="str">
        <f>COVER!A15</f>
        <v>PIATT</v>
      </c>
    </row>
    <row r="4" spans="1:2" x14ac:dyDescent="0.2">
      <c r="A4" t="s">
        <v>1063</v>
      </c>
      <c r="B4" s="138" t="str">
        <f>COVER!A17</f>
        <v>Cerro Gordo CUSD 100</v>
      </c>
    </row>
    <row r="5" spans="1:2" x14ac:dyDescent="0.2">
      <c r="A5" t="s">
        <v>727</v>
      </c>
      <c r="B5" s="138" t="str">
        <f>COVER!A38</f>
        <v>MR. BRETT ROBINSON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f>COVER!T23</f>
        <v>66.004384999999999</v>
      </c>
    </row>
    <row r="16" spans="1:2" x14ac:dyDescent="0.2">
      <c r="A16" t="s">
        <v>441</v>
      </c>
      <c r="B16" s="138" t="str">
        <f>COVER!T13</f>
        <v>FLOYD &amp; ASSOCIATES, CPAs</v>
      </c>
    </row>
    <row r="17" spans="1:2" x14ac:dyDescent="0.2">
      <c r="A17" t="s">
        <v>938</v>
      </c>
      <c r="B17" s="138" t="str">
        <f>COVER!T15</f>
        <v>JULIE M. FLOYD, CPA</v>
      </c>
    </row>
    <row r="18" spans="1:2" x14ac:dyDescent="0.2">
      <c r="A18" t="s">
        <v>1211</v>
      </c>
      <c r="B18" s="138" t="str">
        <f>COVER!T17</f>
        <v>910 STATE HIGHWAY 54 EAST</v>
      </c>
    </row>
    <row r="19" spans="1:2" x14ac:dyDescent="0.2">
      <c r="A19" t="s">
        <v>940</v>
      </c>
      <c r="B19" s="138" t="str">
        <f>COVER!T25</f>
        <v>julie.floyd@frontier.com</v>
      </c>
    </row>
    <row r="20" spans="1:2" x14ac:dyDescent="0.2">
      <c r="A20" t="s">
        <v>941</v>
      </c>
      <c r="B20" s="138" t="str">
        <f>COVER!T19</f>
        <v>CLINTON</v>
      </c>
    </row>
    <row r="21" spans="1:2" x14ac:dyDescent="0.2">
      <c r="A21" t="s">
        <v>499</v>
      </c>
      <c r="B21" s="138" t="str">
        <f>COVER!X19</f>
        <v>IL</v>
      </c>
    </row>
    <row r="22" spans="1:2" x14ac:dyDescent="0.2">
      <c r="A22" t="s">
        <v>942</v>
      </c>
      <c r="B22" s="138">
        <f>COVER!Z19</f>
        <v>61727</v>
      </c>
    </row>
    <row r="23" spans="1:2" x14ac:dyDescent="0.2">
      <c r="A23" t="s">
        <v>1213</v>
      </c>
      <c r="B23" s="138" t="str">
        <f>COVER!T21</f>
        <v>217-935-8871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955</v>
      </c>
      <c r="D76" s="2" t="str">
        <f t="shared" si="0"/>
        <v>Error?</v>
      </c>
    </row>
    <row r="77" spans="1:4" x14ac:dyDescent="0.2">
      <c r="A77" s="5">
        <v>16</v>
      </c>
      <c r="B77" s="138">
        <f>'Assets-Liab 5-6'!C13</f>
        <v>801432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801432</v>
      </c>
      <c r="D92" s="2" t="str">
        <f t="shared" si="0"/>
        <v>Error?</v>
      </c>
    </row>
    <row r="93" spans="1:4" x14ac:dyDescent="0.2">
      <c r="A93" s="5">
        <v>32</v>
      </c>
      <c r="B93" s="138">
        <f>'Assets-Liab 5-6'!C41</f>
        <v>801432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205758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177971</v>
      </c>
      <c r="D123" s="2" t="str">
        <f t="shared" si="0"/>
        <v>Error?</v>
      </c>
    </row>
    <row r="124" spans="1:4" x14ac:dyDescent="0.2">
      <c r="A124" s="5">
        <v>63</v>
      </c>
      <c r="B124" s="138">
        <f>'Assets-Liab 5-6'!D41</f>
        <v>205758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483200</v>
      </c>
      <c r="D129" s="2" t="str">
        <f t="shared" si="1"/>
        <v>Error?</v>
      </c>
    </row>
    <row r="130" spans="1:4" x14ac:dyDescent="0.2">
      <c r="A130" s="5">
        <v>69</v>
      </c>
      <c r="B130" s="138">
        <f>'Assets-Liab 5-6'!E12</f>
        <v>0</v>
      </c>
      <c r="D130" s="2" t="str">
        <f t="shared" si="1"/>
        <v>Error?</v>
      </c>
    </row>
    <row r="131" spans="1:4" x14ac:dyDescent="0.2">
      <c r="A131" s="5">
        <v>70</v>
      </c>
      <c r="B131" s="138">
        <f>'Assets-Liab 5-6'!E13</f>
        <v>540592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540592</v>
      </c>
      <c r="D140" s="2" t="str">
        <f t="shared" si="1"/>
        <v>Error?</v>
      </c>
    </row>
    <row r="141" spans="1:4" x14ac:dyDescent="0.2">
      <c r="A141" s="5">
        <v>80</v>
      </c>
      <c r="B141" s="138">
        <f>'Assets-Liab 5-6'!E41</f>
        <v>540592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114081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114081</v>
      </c>
      <c r="D170" s="2" t="str">
        <f t="shared" si="1"/>
        <v>Error?</v>
      </c>
    </row>
    <row r="171" spans="1:4" x14ac:dyDescent="0.2">
      <c r="A171" s="5">
        <v>110</v>
      </c>
      <c r="B171" s="138">
        <f>'Assets-Liab 5-6'!F41</f>
        <v>114081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176091</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176091</v>
      </c>
      <c r="D189" s="2" t="str">
        <f t="shared" si="1"/>
        <v>Error?</v>
      </c>
    </row>
    <row r="190" spans="1:4" x14ac:dyDescent="0.2">
      <c r="A190" s="5">
        <v>129</v>
      </c>
      <c r="B190" s="138">
        <f>'Assets-Liab 5-6'!G41</f>
        <v>176091</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8749898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8981584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8981584</v>
      </c>
      <c r="D212" s="2" t="str">
        <f t="shared" si="2"/>
        <v>Error?</v>
      </c>
    </row>
    <row r="213" spans="1:4" x14ac:dyDescent="0.2">
      <c r="A213" s="12">
        <v>152</v>
      </c>
      <c r="B213" s="138">
        <f>'Assets-Liab 5-6'!H41</f>
        <v>8981584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4000</v>
      </c>
      <c r="D273" s="2" t="str">
        <f t="shared" si="3"/>
        <v>Error?</v>
      </c>
    </row>
    <row r="274" spans="1:4" x14ac:dyDescent="0.2">
      <c r="A274" s="5">
        <v>213</v>
      </c>
      <c r="B274" s="138">
        <f>'Assets-Liab 5-6'!M17</f>
        <v>10008106</v>
      </c>
      <c r="D274" s="2" t="str">
        <f t="shared" si="3"/>
        <v>Error?</v>
      </c>
    </row>
    <row r="275" spans="1:4" x14ac:dyDescent="0.2">
      <c r="A275" s="5">
        <v>214</v>
      </c>
      <c r="B275" s="138">
        <f>'Assets-Liab 5-6'!M18</f>
        <v>358328</v>
      </c>
      <c r="D275" s="2" t="str">
        <f t="shared" si="3"/>
        <v>Error?</v>
      </c>
    </row>
    <row r="276" spans="1:4" x14ac:dyDescent="0.2">
      <c r="A276" s="5">
        <v>215</v>
      </c>
      <c r="B276" s="138">
        <f>'Assets-Liab 5-6'!M19</f>
        <v>2005497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13439296</v>
      </c>
      <c r="C279" s="2" t="s">
        <v>593</v>
      </c>
      <c r="D279" s="2" t="str">
        <f t="shared" si="3"/>
        <v>Error?</v>
      </c>
    </row>
    <row r="280" spans="1:4" x14ac:dyDescent="0.2">
      <c r="A280" s="5">
        <v>219</v>
      </c>
      <c r="B280" s="138">
        <f>'Assets-Liab 5-6'!M40</f>
        <v>13439296</v>
      </c>
      <c r="D280" s="2" t="str">
        <f t="shared" si="3"/>
        <v>Error?</v>
      </c>
    </row>
    <row r="281" spans="1:4" x14ac:dyDescent="0.2">
      <c r="A281" s="5">
        <v>220</v>
      </c>
      <c r="B281" s="138">
        <f>'Assets-Liab 5-6'!M41</f>
        <v>13439296</v>
      </c>
      <c r="C281" s="2" t="s">
        <v>593</v>
      </c>
      <c r="D281" s="2" t="str">
        <f t="shared" si="3"/>
        <v>Error?</v>
      </c>
    </row>
    <row r="282" spans="1:4" x14ac:dyDescent="0.2">
      <c r="A282" s="5">
        <v>221</v>
      </c>
      <c r="B282" s="138">
        <f>'Assets-Liab 5-6'!N21</f>
        <v>533092</v>
      </c>
      <c r="D282" s="2" t="str">
        <f t="shared" si="3"/>
        <v>Error?</v>
      </c>
    </row>
    <row r="283" spans="1:4" x14ac:dyDescent="0.2">
      <c r="A283" s="5">
        <v>222</v>
      </c>
      <c r="B283" s="138">
        <f>'Assets-Liab 5-6'!N22</f>
        <v>11750408</v>
      </c>
      <c r="D283" s="2" t="str">
        <f t="shared" si="3"/>
        <v>Error?</v>
      </c>
    </row>
    <row r="284" spans="1:4" x14ac:dyDescent="0.2">
      <c r="A284" s="5">
        <v>223</v>
      </c>
      <c r="B284" s="138">
        <f>'Assets-Liab 5-6'!N23</f>
        <v>12283500</v>
      </c>
      <c r="C284" s="2" t="s">
        <v>593</v>
      </c>
      <c r="D284" s="2" t="str">
        <f t="shared" si="3"/>
        <v>Error?</v>
      </c>
    </row>
    <row r="285" spans="1:4" x14ac:dyDescent="0.2">
      <c r="A285" s="5">
        <v>224</v>
      </c>
      <c r="B285" s="138">
        <f>'Assets-Liab 5-6'!N36</f>
        <v>12283500</v>
      </c>
      <c r="D285" s="2" t="str">
        <f t="shared" si="3"/>
        <v>Error?</v>
      </c>
    </row>
    <row r="286" spans="1:4" x14ac:dyDescent="0.2">
      <c r="A286" s="10">
        <v>225</v>
      </c>
      <c r="D286" s="2" t="str">
        <f t="shared" si="3"/>
        <v>OK</v>
      </c>
    </row>
    <row r="287" spans="1:4" x14ac:dyDescent="0.2">
      <c r="A287" s="5">
        <v>226</v>
      </c>
      <c r="B287" s="138">
        <f>'Assets-Liab 5-6'!N37</f>
        <v>12283500</v>
      </c>
      <c r="C287" s="2" t="s">
        <v>593</v>
      </c>
      <c r="D287" s="2" t="str">
        <f t="shared" si="3"/>
        <v>Error?</v>
      </c>
    </row>
    <row r="288" spans="1:4" x14ac:dyDescent="0.2">
      <c r="A288" s="5">
        <v>227</v>
      </c>
      <c r="B288" s="138">
        <f>'Assets-Liab 5-6'!N41</f>
        <v>12283500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10000000</v>
      </c>
      <c r="D618" s="2" t="str">
        <f t="shared" si="8"/>
        <v>Error?</v>
      </c>
    </row>
    <row r="619" spans="1:4" x14ac:dyDescent="0.2">
      <c r="A619" s="5">
        <v>558</v>
      </c>
      <c r="B619" s="138">
        <f>'Acct Summary 7-8'!H34</f>
        <v>307193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1399365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140630</v>
      </c>
      <c r="D717" s="2" t="str">
        <f t="shared" si="10"/>
        <v>Error?</v>
      </c>
    </row>
    <row r="718" spans="1:4" x14ac:dyDescent="0.2">
      <c r="A718" s="5">
        <v>657</v>
      </c>
      <c r="B718" s="138">
        <f>'Expenditures 15-22'!C14</f>
        <v>93425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1852146</v>
      </c>
      <c r="C720" s="2" t="s">
        <v>593</v>
      </c>
      <c r="D720" s="2" t="str">
        <f t="shared" si="10"/>
        <v>Error?</v>
      </c>
    </row>
    <row r="721" spans="1:4" x14ac:dyDescent="0.2">
      <c r="A721" s="5">
        <v>660</v>
      </c>
      <c r="B721" s="138">
        <f>'Expenditures 15-22'!C36</f>
        <v>51080</v>
      </c>
      <c r="D721" s="2" t="str">
        <f t="shared" si="10"/>
        <v>Error?</v>
      </c>
    </row>
    <row r="722" spans="1:4" x14ac:dyDescent="0.2">
      <c r="A722" s="5">
        <v>661</v>
      </c>
      <c r="B722" s="138">
        <f>'Expenditures 15-22'!C37</f>
        <v>42895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19697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113672</v>
      </c>
      <c r="C727" s="2" t="s">
        <v>593</v>
      </c>
      <c r="D727" s="2" t="str">
        <f t="shared" si="10"/>
        <v>Error?</v>
      </c>
    </row>
    <row r="728" spans="1:4" x14ac:dyDescent="0.2">
      <c r="A728" s="5">
        <v>667</v>
      </c>
      <c r="B728" s="138">
        <f>'Expenditures 15-22'!C44</f>
        <v>270</v>
      </c>
      <c r="D728" s="2" t="str">
        <f t="shared" si="10"/>
        <v>Error?</v>
      </c>
    </row>
    <row r="729" spans="1:4" x14ac:dyDescent="0.2">
      <c r="A729" s="5">
        <v>668</v>
      </c>
      <c r="B729" s="138">
        <f>'Expenditures 15-22'!C45</f>
        <v>36043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36313</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133044</v>
      </c>
      <c r="D733" s="2" t="str">
        <f t="shared" si="10"/>
        <v>Error?</v>
      </c>
    </row>
    <row r="734" spans="1:4" x14ac:dyDescent="0.2">
      <c r="A734" s="5">
        <v>673</v>
      </c>
      <c r="B734" s="138">
        <f>'Expenditures 15-22'!C53</f>
        <v>133044</v>
      </c>
      <c r="C734" s="2" t="s">
        <v>593</v>
      </c>
      <c r="D734" s="2" t="str">
        <f t="shared" si="10"/>
        <v>Error?</v>
      </c>
    </row>
    <row r="735" spans="1:4" x14ac:dyDescent="0.2">
      <c r="A735" s="5">
        <v>674</v>
      </c>
      <c r="B735" s="138">
        <f>'Expenditures 15-22'!C55</f>
        <v>237719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237719</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28075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83781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111856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632604</v>
      </c>
      <c r="C755" s="2" t="s">
        <v>593</v>
      </c>
      <c r="D755" s="2" t="str">
        <f t="shared" si="10"/>
        <v>Error?</v>
      </c>
    </row>
    <row r="756" spans="1:4" x14ac:dyDescent="0.2">
      <c r="A756" s="5">
        <v>695</v>
      </c>
      <c r="B756" s="138">
        <f>'Expenditures 15-22'!C75</f>
        <v>6432</v>
      </c>
      <c r="D756" s="2" t="str">
        <f t="shared" si="10"/>
        <v>Error?</v>
      </c>
    </row>
    <row r="757" spans="1:4" x14ac:dyDescent="0.2">
      <c r="A757" s="5">
        <v>696</v>
      </c>
      <c r="B757" s="138">
        <f>'Expenditures 15-22'!C114</f>
        <v>2491182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350185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33109</v>
      </c>
      <c r="D775" s="2" t="str">
        <f t="shared" si="11"/>
        <v>Error?</v>
      </c>
    </row>
    <row r="776" spans="1:4" x14ac:dyDescent="0.2">
      <c r="A776" s="5">
        <v>715</v>
      </c>
      <c r="B776" s="138">
        <f>'Expenditures 15-22'!D14</f>
        <v>1027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436210</v>
      </c>
      <c r="C778" s="2" t="s">
        <v>593</v>
      </c>
      <c r="D778" s="2" t="str">
        <f t="shared" si="11"/>
        <v>Error?</v>
      </c>
    </row>
    <row r="779" spans="1:4" x14ac:dyDescent="0.2">
      <c r="A779" s="5">
        <v>718</v>
      </c>
      <c r="B779" s="138">
        <f>'Expenditures 15-22'!D36</f>
        <v>9451</v>
      </c>
      <c r="D779" s="2" t="str">
        <f t="shared" si="11"/>
        <v>Error?</v>
      </c>
    </row>
    <row r="780" spans="1:4" x14ac:dyDescent="0.2">
      <c r="A780" s="5">
        <v>719</v>
      </c>
      <c r="B780" s="138">
        <f>'Expenditures 15-22'!D37</f>
        <v>12200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2470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24121</v>
      </c>
      <c r="C785" s="2" t="s">
        <v>593</v>
      </c>
      <c r="D785" s="2" t="str">
        <f t="shared" si="11"/>
        <v>Error?</v>
      </c>
    </row>
    <row r="786" spans="1:4" x14ac:dyDescent="0.2">
      <c r="A786" s="5">
        <v>725</v>
      </c>
      <c r="B786" s="138">
        <f>'Expenditures 15-22'!D44</f>
        <v>4</v>
      </c>
      <c r="D786" s="2" t="str">
        <f t="shared" si="11"/>
        <v>Error?</v>
      </c>
    </row>
    <row r="787" spans="1:4" x14ac:dyDescent="0.2">
      <c r="A787" s="5">
        <v>726</v>
      </c>
      <c r="B787" s="138">
        <f>'Expenditures 15-22'!D45</f>
        <v>11882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11886</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21764</v>
      </c>
      <c r="D791" s="2" t="str">
        <f t="shared" si="11"/>
        <v>Error?</v>
      </c>
    </row>
    <row r="792" spans="1:4" x14ac:dyDescent="0.2">
      <c r="A792" s="5">
        <v>731</v>
      </c>
      <c r="B792" s="138">
        <f>'Expenditures 15-22'!D53</f>
        <v>21764</v>
      </c>
      <c r="C792" s="2" t="s">
        <v>593</v>
      </c>
      <c r="D792" s="2" t="str">
        <f t="shared" si="11"/>
        <v>Error?</v>
      </c>
    </row>
    <row r="793" spans="1:4" x14ac:dyDescent="0.2">
      <c r="A793" s="5">
        <v>732</v>
      </c>
      <c r="B793" s="138">
        <f>'Expenditures 15-22'!D55</f>
        <v>51942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51942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7360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7360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14720</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124433</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560643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545</v>
      </c>
      <c r="D833" s="2" t="str">
        <f t="shared" si="12"/>
        <v>Error?</v>
      </c>
    </row>
    <row r="834" spans="1:4" x14ac:dyDescent="0.2">
      <c r="A834" s="5">
        <v>773</v>
      </c>
      <c r="B834" s="138">
        <f>'Expenditures 15-22'!E14</f>
        <v>22949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64159</v>
      </c>
      <c r="C836" s="2" t="s">
        <v>593</v>
      </c>
      <c r="D836" s="2" t="str">
        <f t="shared" si="12"/>
        <v>Error?</v>
      </c>
    </row>
    <row r="837" spans="1:4" x14ac:dyDescent="0.2">
      <c r="A837" s="5">
        <v>776</v>
      </c>
      <c r="B837" s="138">
        <f>'Expenditures 15-22'!E36</f>
        <v>235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347</v>
      </c>
      <c r="C843" s="2" t="s">
        <v>593</v>
      </c>
      <c r="D843" s="2" t="str">
        <f t="shared" si="12"/>
        <v>Error?</v>
      </c>
    </row>
    <row r="844" spans="1:4" x14ac:dyDescent="0.2">
      <c r="A844" s="5">
        <v>783</v>
      </c>
      <c r="B844" s="138">
        <f>'Expenditures 15-22'!E44</f>
        <v>5452</v>
      </c>
      <c r="D844" s="2" t="str">
        <f t="shared" si="12"/>
        <v>Error?</v>
      </c>
    </row>
    <row r="845" spans="1:4" x14ac:dyDescent="0.2">
      <c r="A845" s="5">
        <v>784</v>
      </c>
      <c r="B845" s="138">
        <f>'Expenditures 15-22'!E45</f>
        <v>34047</v>
      </c>
      <c r="D845" s="2" t="str">
        <f t="shared" si="12"/>
        <v>Error?</v>
      </c>
    </row>
    <row r="846" spans="1:4" x14ac:dyDescent="0.2">
      <c r="A846" s="5">
        <v>785</v>
      </c>
      <c r="B846" s="138">
        <f>'Expenditures 15-22'!E46</f>
        <v>8481</v>
      </c>
      <c r="D846" s="2" t="str">
        <f t="shared" si="12"/>
        <v>Error?</v>
      </c>
    </row>
    <row r="847" spans="1:4" x14ac:dyDescent="0.2">
      <c r="A847" s="5">
        <v>786</v>
      </c>
      <c r="B847" s="138">
        <f>'Expenditures 15-22'!E47</f>
        <v>47980</v>
      </c>
      <c r="C847" s="2" t="s">
        <v>593</v>
      </c>
      <c r="D847" s="2" t="str">
        <f t="shared" si="12"/>
        <v>Error?</v>
      </c>
    </row>
    <row r="848" spans="1:4" x14ac:dyDescent="0.2">
      <c r="A848" s="5">
        <v>787</v>
      </c>
      <c r="B848" s="138">
        <f>'Expenditures 15-22'!E49</f>
        <v>14570</v>
      </c>
      <c r="D848" s="2" t="str">
        <f t="shared" si="12"/>
        <v>Error?</v>
      </c>
    </row>
    <row r="849" spans="1:4" x14ac:dyDescent="0.2">
      <c r="A849" s="5">
        <v>788</v>
      </c>
      <c r="B849" s="138">
        <f>'Expenditures 15-22'!E50</f>
        <v>459</v>
      </c>
      <c r="D849" s="2" t="str">
        <f t="shared" si="12"/>
        <v>Error?</v>
      </c>
    </row>
    <row r="850" spans="1:4" x14ac:dyDescent="0.2">
      <c r="A850" s="5">
        <v>789</v>
      </c>
      <c r="B850" s="138">
        <f>'Expenditures 15-22'!E53</f>
        <v>15029</v>
      </c>
      <c r="C850" s="2" t="s">
        <v>593</v>
      </c>
      <c r="D850" s="2" t="str">
        <f t="shared" si="12"/>
        <v>Error?</v>
      </c>
    </row>
    <row r="851" spans="1:4" x14ac:dyDescent="0.2">
      <c r="A851" s="5">
        <v>790</v>
      </c>
      <c r="B851" s="138">
        <f>'Expenditures 15-22'!E55</f>
        <v>2789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2789</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2481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2496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68641</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132800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44800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15354</v>
      </c>
      <c r="D891" s="2" t="str">
        <f t="shared" si="12"/>
        <v>Error?</v>
      </c>
    </row>
    <row r="892" spans="1:4" x14ac:dyDescent="0.2">
      <c r="A892" s="5">
        <v>831</v>
      </c>
      <c r="B892" s="138">
        <f>'Expenditures 15-22'!F14</f>
        <v>12816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76860</v>
      </c>
      <c r="C894" s="2" t="s">
        <v>593</v>
      </c>
      <c r="D894" s="2" t="str">
        <f t="shared" si="12"/>
        <v>Error?</v>
      </c>
    </row>
    <row r="895" spans="1:4" x14ac:dyDescent="0.2">
      <c r="A895" s="5">
        <v>834</v>
      </c>
      <c r="B895" s="138">
        <f>'Expenditures 15-22'!F36</f>
        <v>1354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3828</v>
      </c>
      <c r="D900" s="2" t="str">
        <f t="shared" si="13"/>
        <v>Error?</v>
      </c>
    </row>
    <row r="901" spans="1:4" x14ac:dyDescent="0.2">
      <c r="A901" s="5">
        <v>840</v>
      </c>
      <c r="B901" s="138">
        <f>'Expenditures 15-22'!F42</f>
        <v>5182</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40595</v>
      </c>
      <c r="D903" s="2" t="str">
        <f t="shared" si="13"/>
        <v>Error?</v>
      </c>
    </row>
    <row r="904" spans="1:4" x14ac:dyDescent="0.2">
      <c r="A904" s="5">
        <v>843</v>
      </c>
      <c r="B904" s="138">
        <f>'Expenditures 15-22'!F46</f>
        <v>1212</v>
      </c>
      <c r="D904" s="2" t="str">
        <f t="shared" si="13"/>
        <v>Error?</v>
      </c>
    </row>
    <row r="905" spans="1:4" x14ac:dyDescent="0.2">
      <c r="A905" s="5">
        <v>844</v>
      </c>
      <c r="B905" s="138">
        <f>'Expenditures 15-22'!F47</f>
        <v>41807</v>
      </c>
      <c r="C905" s="2" t="s">
        <v>593</v>
      </c>
      <c r="D905" s="2" t="str">
        <f t="shared" si="13"/>
        <v>Error?</v>
      </c>
    </row>
    <row r="906" spans="1:4" x14ac:dyDescent="0.2">
      <c r="A906" s="5">
        <v>845</v>
      </c>
      <c r="B906" s="138">
        <f>'Expenditures 15-22'!F49</f>
        <v>717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717</v>
      </c>
      <c r="C908" s="2" t="s">
        <v>593</v>
      </c>
      <c r="D908" s="2" t="str">
        <f t="shared" si="13"/>
        <v>Error?</v>
      </c>
    </row>
    <row r="909" spans="1:4" x14ac:dyDescent="0.2">
      <c r="A909" s="5">
        <v>848</v>
      </c>
      <c r="B909" s="138">
        <f>'Expenditures 15-22'!F55</f>
        <v>5156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5156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102564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104547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157409</v>
      </c>
      <c r="C929" s="2" t="s">
        <v>593</v>
      </c>
      <c r="D929" s="2" t="str">
        <f t="shared" si="13"/>
        <v>Error?</v>
      </c>
    </row>
    <row r="930" spans="1:4" x14ac:dyDescent="0.2">
      <c r="A930" s="5">
        <v>869</v>
      </c>
      <c r="B930" s="138">
        <f>'Expenditures 15-22'!F75</f>
        <v>136</v>
      </c>
      <c r="D930" s="2" t="str">
        <f t="shared" si="13"/>
        <v>Error?</v>
      </c>
    </row>
    <row r="931" spans="1:4" x14ac:dyDescent="0.2">
      <c r="A931" s="5">
        <v>870</v>
      </c>
      <c r="B931" s="138">
        <f>'Expenditures 15-22'!F114</f>
        <v>234405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1583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1583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651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850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850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1450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2951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4534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12409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14965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260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10080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10080</v>
      </c>
      <c r="C1021" s="2" t="s">
        <v>593</v>
      </c>
      <c r="D1021" s="2" t="str">
        <f t="shared" si="14"/>
        <v>Error?</v>
      </c>
    </row>
    <row r="1022" spans="1:4" x14ac:dyDescent="0.2">
      <c r="A1022" s="5">
        <v>961</v>
      </c>
      <c r="B1022" s="138">
        <f>'Expenditures 15-22'!H49</f>
        <v>8380</v>
      </c>
      <c r="D1022" s="2" t="str">
        <f t="shared" si="14"/>
        <v>Error?</v>
      </c>
    </row>
    <row r="1023" spans="1:4" x14ac:dyDescent="0.2">
      <c r="A1023" s="5">
        <v>962</v>
      </c>
      <c r="B1023" s="138">
        <f>'Expenditures 15-22'!H50</f>
        <v>1213</v>
      </c>
      <c r="D1023" s="2" t="str">
        <f t="shared" ref="D1023:D1086" si="15">IF(ISBLANK(B1023),"OK",IF(A1023-B1023=0,"OK","Error?"))</f>
        <v>Error?</v>
      </c>
    </row>
    <row r="1024" spans="1:4" x14ac:dyDescent="0.2">
      <c r="A1024" s="5">
        <v>963</v>
      </c>
      <c r="B1024" s="138">
        <f>'Expenditures 15-22'!H53</f>
        <v>9593</v>
      </c>
      <c r="C1024" s="2" t="s">
        <v>593</v>
      </c>
      <c r="D1024" s="2" t="str">
        <f t="shared" si="15"/>
        <v>Error?</v>
      </c>
    </row>
    <row r="1025" spans="1:4" x14ac:dyDescent="0.2">
      <c r="A1025" s="5">
        <v>964</v>
      </c>
      <c r="B1025" s="138">
        <f>'Expenditures 15-22'!H55</f>
        <v>1020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1020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20953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130894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166812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1807932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191221</v>
      </c>
      <c r="C1105" s="2" t="s">
        <v>593</v>
      </c>
      <c r="D1105" s="2" t="str">
        <f t="shared" si="16"/>
        <v>Error?</v>
      </c>
    </row>
    <row r="1106" spans="1:4" x14ac:dyDescent="0.2">
      <c r="A1106" s="5">
        <v>1045</v>
      </c>
      <c r="B1106" s="138">
        <f>'Expenditures 15-22'!K14</f>
        <v>132763</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2445923</v>
      </c>
      <c r="C1108" s="2" t="s">
        <v>593</v>
      </c>
      <c r="D1108" s="2" t="str">
        <f t="shared" si="16"/>
        <v>Error?</v>
      </c>
    </row>
    <row r="1109" spans="1:4" x14ac:dyDescent="0.2">
      <c r="A1109" s="5">
        <v>1048</v>
      </c>
      <c r="B1109" s="138">
        <f>'Expenditures 15-22'!K36</f>
        <v>62120</v>
      </c>
      <c r="C1109" s="2" t="s">
        <v>593</v>
      </c>
      <c r="D1109" s="2" t="str">
        <f t="shared" si="16"/>
        <v>Error?</v>
      </c>
    </row>
    <row r="1110" spans="1:4" x14ac:dyDescent="0.2">
      <c r="A1110" s="5">
        <v>1049</v>
      </c>
      <c r="B1110" s="138">
        <f>'Expenditures 15-22'!K37</f>
        <v>55095</v>
      </c>
      <c r="C1110" s="2" t="s">
        <v>593</v>
      </c>
      <c r="D1110" s="2" t="str">
        <f t="shared" si="16"/>
        <v>Error?</v>
      </c>
    </row>
    <row r="1111" spans="1:4" x14ac:dyDescent="0.2">
      <c r="A1111" s="5">
        <v>1050</v>
      </c>
      <c r="B1111" s="138">
        <f>'Expenditures 15-22'!K38</f>
        <v>0</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22539</v>
      </c>
      <c r="C1113" s="2" t="s">
        <v>593</v>
      </c>
      <c r="D1113" s="2" t="str">
        <f t="shared" si="16"/>
        <v>Error?</v>
      </c>
    </row>
    <row r="1114" spans="1:4" x14ac:dyDescent="0.2">
      <c r="A1114" s="5">
        <v>1053</v>
      </c>
      <c r="B1114" s="138">
        <f>'Expenditures 15-22'!K41</f>
        <v>3828</v>
      </c>
      <c r="C1114" s="2" t="s">
        <v>593</v>
      </c>
      <c r="D1114" s="2" t="str">
        <f t="shared" si="16"/>
        <v>Error?</v>
      </c>
    </row>
    <row r="1115" spans="1:4" x14ac:dyDescent="0.2">
      <c r="A1115" s="5">
        <v>1054</v>
      </c>
      <c r="B1115" s="138">
        <f>'Expenditures 15-22'!K42</f>
        <v>143582</v>
      </c>
      <c r="C1115" s="2" t="s">
        <v>593</v>
      </c>
      <c r="D1115" s="2" t="str">
        <f t="shared" si="16"/>
        <v>Error?</v>
      </c>
    </row>
    <row r="1116" spans="1:4" x14ac:dyDescent="0.2">
      <c r="A1116" s="5">
        <v>1055</v>
      </c>
      <c r="B1116" s="138">
        <f>'Expenditures 15-22'!K44</f>
        <v>5726</v>
      </c>
      <c r="C1116" s="2" t="s">
        <v>593</v>
      </c>
      <c r="D1116" s="2" t="str">
        <f t="shared" si="16"/>
        <v>Error?</v>
      </c>
    </row>
    <row r="1117" spans="1:4" x14ac:dyDescent="0.2">
      <c r="A1117" s="5">
        <v>1056</v>
      </c>
      <c r="B1117" s="138">
        <f>'Expenditures 15-22'!K45</f>
        <v>133298</v>
      </c>
      <c r="C1117" s="2" t="s">
        <v>593</v>
      </c>
      <c r="D1117" s="2" t="str">
        <f t="shared" si="16"/>
        <v>Error?</v>
      </c>
    </row>
    <row r="1118" spans="1:4" x14ac:dyDescent="0.2">
      <c r="A1118" s="5">
        <v>1057</v>
      </c>
      <c r="B1118" s="138">
        <f>'Expenditures 15-22'!K46</f>
        <v>9693</v>
      </c>
      <c r="C1118" s="2" t="s">
        <v>593</v>
      </c>
      <c r="D1118" s="2" t="str">
        <f t="shared" si="16"/>
        <v>Error?</v>
      </c>
    </row>
    <row r="1119" spans="1:4" x14ac:dyDescent="0.2">
      <c r="A1119" s="5">
        <v>1058</v>
      </c>
      <c r="B1119" s="138">
        <f>'Expenditures 15-22'!K47</f>
        <v>148717</v>
      </c>
      <c r="C1119" s="2" t="s">
        <v>593</v>
      </c>
      <c r="D1119" s="2" t="str">
        <f t="shared" si="16"/>
        <v>Error?</v>
      </c>
    </row>
    <row r="1120" spans="1:4" x14ac:dyDescent="0.2">
      <c r="A1120" s="5">
        <v>1059</v>
      </c>
      <c r="B1120" s="138">
        <f>'Expenditures 15-22'!K49</f>
        <v>23667</v>
      </c>
      <c r="C1120" s="2" t="s">
        <v>593</v>
      </c>
      <c r="D1120" s="2" t="str">
        <f t="shared" si="16"/>
        <v>Error?</v>
      </c>
    </row>
    <row r="1121" spans="1:4" x14ac:dyDescent="0.2">
      <c r="A1121" s="5">
        <v>1060</v>
      </c>
      <c r="B1121" s="138">
        <f>'Expenditures 15-22'!K50</f>
        <v>156480</v>
      </c>
      <c r="C1121" s="2" t="s">
        <v>593</v>
      </c>
      <c r="D1121" s="2" t="str">
        <f t="shared" si="16"/>
        <v>Error?</v>
      </c>
    </row>
    <row r="1122" spans="1:4" x14ac:dyDescent="0.2">
      <c r="A1122" s="5">
        <v>1061</v>
      </c>
      <c r="B1122" s="138">
        <f>'Expenditures 15-22'!K53</f>
        <v>180147</v>
      </c>
      <c r="C1122" s="2" t="s">
        <v>593</v>
      </c>
      <c r="D1122" s="2" t="str">
        <f t="shared" si="16"/>
        <v>Error?</v>
      </c>
    </row>
    <row r="1123" spans="1:4" x14ac:dyDescent="0.2">
      <c r="A1123" s="5">
        <v>1062</v>
      </c>
      <c r="B1123" s="138">
        <f>'Expenditures 15-22'!K55</f>
        <v>299476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299476</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37433</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197636</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235069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1006991</v>
      </c>
      <c r="C1143" s="2" t="s">
        <v>593</v>
      </c>
      <c r="D1143" s="2" t="str">
        <f t="shared" si="16"/>
        <v>Error?</v>
      </c>
    </row>
    <row r="1144" spans="1:4" x14ac:dyDescent="0.2">
      <c r="A1144" s="5">
        <v>1083</v>
      </c>
      <c r="B1144" s="138">
        <f>'Expenditures 15-22'!K75</f>
        <v>6568</v>
      </c>
      <c r="C1144" s="2" t="s">
        <v>593</v>
      </c>
      <c r="D1144" s="2" t="str">
        <f t="shared" si="16"/>
        <v>Error?</v>
      </c>
    </row>
    <row r="1145" spans="1:4" x14ac:dyDescent="0.2">
      <c r="A1145" s="5">
        <v>1084</v>
      </c>
      <c r="B1145" s="138">
        <f>'Expenditures 15-22'!K102</f>
        <v>130894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3590376</v>
      </c>
      <c r="C1152" s="2" t="s">
        <v>593</v>
      </c>
      <c r="D1152" s="2" t="str">
        <f t="shared" si="17"/>
        <v>Error?</v>
      </c>
    </row>
    <row r="1153" spans="1:4" x14ac:dyDescent="0.2">
      <c r="A1153" s="5">
        <v>1092</v>
      </c>
      <c r="B1153" s="138">
        <f>'Expenditures 15-22'!K115</f>
        <v>402314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203928</v>
      </c>
      <c r="D1221" s="2" t="str">
        <f t="shared" si="18"/>
        <v>Error?</v>
      </c>
    </row>
    <row r="1222" spans="1:4" x14ac:dyDescent="0.2">
      <c r="A1222" s="10">
        <v>1161</v>
      </c>
      <c r="D1222" s="2" t="str">
        <f t="shared" si="18"/>
        <v>OK</v>
      </c>
    </row>
    <row r="1223" spans="1:4" x14ac:dyDescent="0.2">
      <c r="A1223" s="5">
        <v>1162</v>
      </c>
      <c r="B1223" s="138">
        <f>'Expenditures 15-22'!C127</f>
        <v>203928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203928</v>
      </c>
      <c r="C1225" s="2" t="s">
        <v>593</v>
      </c>
      <c r="D1225" s="2" t="str">
        <f t="shared" si="18"/>
        <v>Error?</v>
      </c>
    </row>
    <row r="1226" spans="1:4" x14ac:dyDescent="0.2">
      <c r="A1226" s="5">
        <v>1165</v>
      </c>
      <c r="B1226" s="138">
        <f>'Expenditures 15-22'!C151</f>
        <v>203928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29343</v>
      </c>
      <c r="D1229" s="2" t="str">
        <f t="shared" si="18"/>
        <v>Error?</v>
      </c>
    </row>
    <row r="1230" spans="1:4" x14ac:dyDescent="0.2">
      <c r="A1230" s="10">
        <v>1169</v>
      </c>
      <c r="D1230" s="2" t="str">
        <f t="shared" si="18"/>
        <v>OK</v>
      </c>
    </row>
    <row r="1231" spans="1:4" x14ac:dyDescent="0.2">
      <c r="A1231" s="5">
        <v>1170</v>
      </c>
      <c r="B1231" s="138">
        <f>'Expenditures 15-22'!D127</f>
        <v>29343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29343</v>
      </c>
      <c r="C1233" s="2" t="s">
        <v>593</v>
      </c>
      <c r="D1233" s="2" t="str">
        <f t="shared" si="18"/>
        <v>Error?</v>
      </c>
    </row>
    <row r="1234" spans="1:4" x14ac:dyDescent="0.2">
      <c r="A1234" s="5">
        <v>1173</v>
      </c>
      <c r="B1234" s="138">
        <f>'Expenditures 15-22'!D151</f>
        <v>29343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53451</v>
      </c>
      <c r="D1237" s="2" t="str">
        <f t="shared" si="18"/>
        <v>Error?</v>
      </c>
    </row>
    <row r="1238" spans="1:4" x14ac:dyDescent="0.2">
      <c r="A1238" s="10">
        <v>1177</v>
      </c>
      <c r="D1238" s="2" t="str">
        <f t="shared" si="18"/>
        <v>OK</v>
      </c>
    </row>
    <row r="1239" spans="1:4" x14ac:dyDescent="0.2">
      <c r="A1239" s="5">
        <v>1178</v>
      </c>
      <c r="B1239" s="138">
        <f>'Expenditures 15-22'!E127</f>
        <v>53451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53451</v>
      </c>
      <c r="C1241" s="2" t="s">
        <v>593</v>
      </c>
      <c r="D1241" s="2" t="str">
        <f t="shared" si="18"/>
        <v>Error?</v>
      </c>
    </row>
    <row r="1242" spans="1:4" x14ac:dyDescent="0.2">
      <c r="A1242" s="5">
        <v>1181</v>
      </c>
      <c r="B1242" s="138">
        <f>'Expenditures 15-22'!E151</f>
        <v>53451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131531</v>
      </c>
      <c r="D1245" s="2" t="str">
        <f t="shared" si="18"/>
        <v>Error?</v>
      </c>
    </row>
    <row r="1246" spans="1:4" x14ac:dyDescent="0.2">
      <c r="A1246" s="10">
        <v>1185</v>
      </c>
      <c r="D1246" s="2" t="str">
        <f t="shared" si="18"/>
        <v>OK</v>
      </c>
    </row>
    <row r="1247" spans="1:4" x14ac:dyDescent="0.2">
      <c r="A1247" s="5">
        <v>1186</v>
      </c>
      <c r="B1247" s="138">
        <f>'Expenditures 15-22'!F127</f>
        <v>131531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131531</v>
      </c>
      <c r="C1249" s="2" t="s">
        <v>593</v>
      </c>
      <c r="D1249" s="2" t="str">
        <f t="shared" si="18"/>
        <v>Error?</v>
      </c>
    </row>
    <row r="1250" spans="1:4" x14ac:dyDescent="0.2">
      <c r="A1250" s="5">
        <v>1189</v>
      </c>
      <c r="B1250" s="138">
        <f>'Expenditures 15-22'!F151</f>
        <v>131531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2434</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2434</v>
      </c>
      <c r="C1258" s="2" t="s">
        <v>593</v>
      </c>
      <c r="D1258" s="2" t="str">
        <f t="shared" si="18"/>
        <v>Error?</v>
      </c>
    </row>
    <row r="1259" spans="1:4" x14ac:dyDescent="0.2">
      <c r="A1259" s="5">
        <v>1198</v>
      </c>
      <c r="B1259" s="138">
        <f>'Expenditures 15-22'!G151</f>
        <v>2434</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420687</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420687</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420687</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420687</v>
      </c>
      <c r="C1288" s="2" t="s">
        <v>593</v>
      </c>
      <c r="D1288" s="2" t="str">
        <f t="shared" si="19"/>
        <v>Error?</v>
      </c>
    </row>
    <row r="1289" spans="1:4" x14ac:dyDescent="0.2">
      <c r="A1289" s="5">
        <v>1228</v>
      </c>
      <c r="B1289" s="138">
        <f>'Expenditures 15-22'!K152</f>
        <v>8154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16626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433600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450726</v>
      </c>
      <c r="C1317" s="2" t="s">
        <v>593</v>
      </c>
      <c r="D1317" s="2" t="str">
        <f t="shared" si="19"/>
        <v>Error?</v>
      </c>
    </row>
    <row r="1318" spans="1:4" x14ac:dyDescent="0.2">
      <c r="A1318" s="5">
        <v>1257</v>
      </c>
      <c r="B1318" s="138">
        <f>'Expenditures 15-22'!H174</f>
        <v>450726</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16626</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433600</v>
      </c>
      <c r="C1329" s="2" t="s">
        <v>593</v>
      </c>
      <c r="D1329" s="2" t="str">
        <f t="shared" si="19"/>
        <v>Error?</v>
      </c>
    </row>
    <row r="1330" spans="1:4" x14ac:dyDescent="0.2">
      <c r="A1330" s="5">
        <v>1269</v>
      </c>
      <c r="B1330" s="138">
        <f>'Expenditures 15-22'!K171</f>
        <v>500</v>
      </c>
      <c r="C1330" s="2" t="s">
        <v>593</v>
      </c>
      <c r="D1330" s="2" t="str">
        <f t="shared" si="19"/>
        <v>Error?</v>
      </c>
    </row>
    <row r="1331" spans="1:4" x14ac:dyDescent="0.2">
      <c r="A1331" s="5">
        <v>1270</v>
      </c>
      <c r="B1331" s="138">
        <f>'Expenditures 15-22'!K172</f>
        <v>450726</v>
      </c>
      <c r="C1331" s="2" t="s">
        <v>593</v>
      </c>
      <c r="D1331" s="2" t="str">
        <f t="shared" si="19"/>
        <v>Error?</v>
      </c>
    </row>
    <row r="1332" spans="1:4" x14ac:dyDescent="0.2">
      <c r="A1332" s="5">
        <v>1271</v>
      </c>
      <c r="B1332" s="138">
        <f>'Expenditures 15-22'!K174</f>
        <v>450726</v>
      </c>
      <c r="C1332" s="2" t="s">
        <v>593</v>
      </c>
      <c r="D1332" s="2" t="str">
        <f t="shared" si="19"/>
        <v>Error?</v>
      </c>
    </row>
    <row r="1333" spans="1:4" x14ac:dyDescent="0.2">
      <c r="A1333" s="5">
        <v>1272</v>
      </c>
      <c r="B1333" s="138">
        <f>'Expenditures 15-22'!K175</f>
        <v>33363</v>
      </c>
      <c r="C1333" s="2" t="s">
        <v>593</v>
      </c>
      <c r="D1333" s="2" t="str">
        <f t="shared" si="19"/>
        <v>Error?</v>
      </c>
    </row>
    <row r="1334" spans="1:4" x14ac:dyDescent="0.2">
      <c r="A1334" s="10">
        <v>1273</v>
      </c>
      <c r="D1334" s="2" t="str">
        <f t="shared" si="19"/>
        <v>OK</v>
      </c>
    </row>
    <row r="1335" spans="1:4" x14ac:dyDescent="0.2">
      <c r="A1335" s="5">
        <v>1274</v>
      </c>
      <c r="B1335" s="138">
        <f>'Expenditures 15-22'!C182</f>
        <v>11429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11429</v>
      </c>
      <c r="C1339" s="2" t="s">
        <v>593</v>
      </c>
      <c r="D1339" s="2" t="str">
        <f t="shared" si="19"/>
        <v>Error?</v>
      </c>
    </row>
    <row r="1340" spans="1:4" x14ac:dyDescent="0.2">
      <c r="A1340" s="5">
        <v>1279</v>
      </c>
      <c r="B1340" s="138">
        <f>'Expenditures 15-22'!C210</f>
        <v>11429</v>
      </c>
      <c r="C1340" s="2" t="s">
        <v>593</v>
      </c>
      <c r="D1340" s="2" t="str">
        <f t="shared" si="19"/>
        <v>Error?</v>
      </c>
    </row>
    <row r="1341" spans="1:4" x14ac:dyDescent="0.2">
      <c r="A1341" s="5">
        <v>1280</v>
      </c>
      <c r="B1341" s="138">
        <f>'Expenditures 15-22'!D182</f>
        <v>1397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1397</v>
      </c>
      <c r="C1345" s="2" t="s">
        <v>593</v>
      </c>
      <c r="D1345" s="2" t="str">
        <f t="shared" si="20"/>
        <v>Error?</v>
      </c>
    </row>
    <row r="1346" spans="1:4" x14ac:dyDescent="0.2">
      <c r="A1346" s="5">
        <v>1285</v>
      </c>
      <c r="B1346" s="138">
        <f>'Expenditures 15-22'!D210</f>
        <v>1397</v>
      </c>
      <c r="C1346" s="2" t="s">
        <v>593</v>
      </c>
      <c r="D1346" s="2" t="str">
        <f t="shared" si="20"/>
        <v>Error?</v>
      </c>
    </row>
    <row r="1347" spans="1:4" x14ac:dyDescent="0.2">
      <c r="A1347" s="5">
        <v>1286</v>
      </c>
      <c r="B1347" s="138">
        <f>'Expenditures 15-22'!E182</f>
        <v>349471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349471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349471</v>
      </c>
      <c r="C1353" s="2" t="s">
        <v>593</v>
      </c>
      <c r="D1353" s="2" t="str">
        <f t="shared" si="20"/>
        <v>Error?</v>
      </c>
    </row>
    <row r="1354" spans="1:4" x14ac:dyDescent="0.2">
      <c r="A1354" s="5">
        <v>1293</v>
      </c>
      <c r="B1354" s="138">
        <f>'Expenditures 15-22'!F182</f>
        <v>34110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34110</v>
      </c>
      <c r="C1358" s="2" t="s">
        <v>593</v>
      </c>
      <c r="D1358" s="2" t="str">
        <f t="shared" si="20"/>
        <v>Error?</v>
      </c>
    </row>
    <row r="1359" spans="1:4" x14ac:dyDescent="0.2">
      <c r="A1359" s="5">
        <v>1298</v>
      </c>
      <c r="B1359" s="138">
        <f>'Expenditures 15-22'!F210</f>
        <v>34110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396407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396407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396407</v>
      </c>
      <c r="C1388" s="2" t="s">
        <v>593</v>
      </c>
      <c r="D1388" s="2" t="str">
        <f t="shared" si="20"/>
        <v>Error?</v>
      </c>
    </row>
    <row r="1389" spans="1:4" x14ac:dyDescent="0.2">
      <c r="A1389" s="5">
        <v>1328</v>
      </c>
      <c r="B1389" s="138">
        <f>'Expenditures 15-22'!K211</f>
        <v>24035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2030</v>
      </c>
      <c r="D1407" s="2" t="str">
        <f t="shared" ref="D1407:D1470" si="21">IF(ISBLANK(B1407),"OK",IF(A1407-B1407=0,"OK","Error?"))</f>
        <v>Error?</v>
      </c>
    </row>
    <row r="1408" spans="1:4" x14ac:dyDescent="0.2">
      <c r="A1408" s="5">
        <v>1347</v>
      </c>
      <c r="B1408" s="138">
        <f>'Expenditures 15-22'!D223</f>
        <v>1032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32352</v>
      </c>
      <c r="C1410" s="2" t="s">
        <v>593</v>
      </c>
      <c r="D1410" s="2" t="str">
        <f t="shared" si="21"/>
        <v>Error?</v>
      </c>
    </row>
    <row r="1411" spans="1:4" x14ac:dyDescent="0.2">
      <c r="A1411" s="5">
        <v>1350</v>
      </c>
      <c r="B1411" s="138">
        <f>'Expenditures 15-22'!D232</f>
        <v>741</v>
      </c>
      <c r="D1411" s="2" t="str">
        <f t="shared" si="21"/>
        <v>Error?</v>
      </c>
    </row>
    <row r="1412" spans="1:4" x14ac:dyDescent="0.2">
      <c r="A1412" s="5">
        <v>1351</v>
      </c>
      <c r="B1412" s="138">
        <f>'Expenditures 15-22'!D233</f>
        <v>617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285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1643</v>
      </c>
      <c r="C1417" s="2" t="s">
        <v>593</v>
      </c>
      <c r="D1417" s="2" t="str">
        <f t="shared" si="21"/>
        <v>Error?</v>
      </c>
    </row>
    <row r="1418" spans="1:4" x14ac:dyDescent="0.2">
      <c r="A1418" s="5">
        <v>1357</v>
      </c>
      <c r="B1418" s="138">
        <f>'Expenditures 15-22'!D240</f>
        <v>4</v>
      </c>
      <c r="D1418" s="2" t="str">
        <f t="shared" si="21"/>
        <v>Error?</v>
      </c>
    </row>
    <row r="1419" spans="1:4" x14ac:dyDescent="0.2">
      <c r="A1419" s="5">
        <v>1358</v>
      </c>
      <c r="B1419" s="138">
        <f>'Expenditures 15-22'!D241</f>
        <v>522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526</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4507</v>
      </c>
      <c r="D1423" s="2" t="str">
        <f t="shared" si="21"/>
        <v>Error?</v>
      </c>
    </row>
    <row r="1424" spans="1:4" x14ac:dyDescent="0.2">
      <c r="A1424" s="5">
        <v>1363</v>
      </c>
      <c r="B1424" s="138">
        <f>'Expenditures 15-22'!D257</f>
        <v>7506</v>
      </c>
      <c r="C1424" s="2" t="s">
        <v>593</v>
      </c>
      <c r="D1424" s="2" t="str">
        <f t="shared" si="21"/>
        <v>Error?</v>
      </c>
    </row>
    <row r="1425" spans="1:4" x14ac:dyDescent="0.2">
      <c r="A1425" s="5">
        <v>1364</v>
      </c>
      <c r="B1425" s="138">
        <f>'Expenditures 15-22'!D259</f>
        <v>11025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11025</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5179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35869</v>
      </c>
      <c r="D1431" s="2" t="str">
        <f t="shared" si="21"/>
        <v>Error?</v>
      </c>
    </row>
    <row r="1432" spans="1:4" x14ac:dyDescent="0.2">
      <c r="A1432" s="5">
        <v>1371</v>
      </c>
      <c r="B1432" s="138">
        <f>'Expenditures 15-22'!D267</f>
        <v>166</v>
      </c>
      <c r="D1432" s="2" t="str">
        <f t="shared" si="21"/>
        <v>Error?</v>
      </c>
    </row>
    <row r="1433" spans="1:4" x14ac:dyDescent="0.2">
      <c r="A1433" s="5">
        <v>1372</v>
      </c>
      <c r="B1433" s="138">
        <f>'Expenditures 15-22'!D268</f>
        <v>13768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54982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75682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108034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2030</v>
      </c>
      <c r="C1471" s="2" t="s">
        <v>593</v>
      </c>
      <c r="D1471" s="2" t="str">
        <f t="shared" ref="D1471:D1534" si="22">IF(ISBLANK(B1471),"OK",IF(A1471-B1471=0,"OK","Error?"))</f>
        <v>Error?</v>
      </c>
    </row>
    <row r="1472" spans="1:4" x14ac:dyDescent="0.2">
      <c r="A1472" s="5">
        <v>1411</v>
      </c>
      <c r="B1472" s="138">
        <f>'Expenditures 15-22'!K223</f>
        <v>1032</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32352</v>
      </c>
      <c r="C1474" s="2" t="s">
        <v>593</v>
      </c>
      <c r="D1474" s="2" t="str">
        <f t="shared" si="22"/>
        <v>Error?</v>
      </c>
    </row>
    <row r="1475" spans="1:4" x14ac:dyDescent="0.2">
      <c r="A1475" s="5">
        <v>1414</v>
      </c>
      <c r="B1475" s="138">
        <f>'Expenditures 15-22'!K232</f>
        <v>741</v>
      </c>
      <c r="C1475" s="2" t="s">
        <v>593</v>
      </c>
      <c r="D1475" s="2" t="str">
        <f t="shared" si="22"/>
        <v>Error?</v>
      </c>
    </row>
    <row r="1476" spans="1:4" x14ac:dyDescent="0.2">
      <c r="A1476" s="5">
        <v>1415</v>
      </c>
      <c r="B1476" s="138">
        <f>'Expenditures 15-22'!K233</f>
        <v>617</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285</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1643</v>
      </c>
      <c r="C1481" s="2" t="s">
        <v>593</v>
      </c>
      <c r="D1481" s="2" t="str">
        <f t="shared" si="22"/>
        <v>Error?</v>
      </c>
    </row>
    <row r="1482" spans="1:4" x14ac:dyDescent="0.2">
      <c r="A1482" s="5">
        <v>1421</v>
      </c>
      <c r="B1482" s="138">
        <f>'Expenditures 15-22'!K240</f>
        <v>4</v>
      </c>
      <c r="C1482" s="2" t="s">
        <v>593</v>
      </c>
      <c r="D1482" s="2" t="str">
        <f t="shared" si="22"/>
        <v>Error?</v>
      </c>
    </row>
    <row r="1483" spans="1:4" x14ac:dyDescent="0.2">
      <c r="A1483" s="5">
        <v>1422</v>
      </c>
      <c r="B1483" s="138">
        <f>'Expenditures 15-22'!K241</f>
        <v>522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526</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4507</v>
      </c>
      <c r="C1487" s="2" t="s">
        <v>593</v>
      </c>
      <c r="D1487" s="2" t="str">
        <f t="shared" si="22"/>
        <v>Error?</v>
      </c>
    </row>
    <row r="1488" spans="1:4" x14ac:dyDescent="0.2">
      <c r="A1488" s="5">
        <v>1427</v>
      </c>
      <c r="B1488" s="138">
        <f>'Expenditures 15-22'!K257</f>
        <v>7506</v>
      </c>
      <c r="C1488" s="2" t="s">
        <v>593</v>
      </c>
      <c r="D1488" s="2" t="str">
        <f t="shared" si="22"/>
        <v>Error?</v>
      </c>
    </row>
    <row r="1489" spans="1:4" x14ac:dyDescent="0.2">
      <c r="A1489" s="5">
        <v>1428</v>
      </c>
      <c r="B1489" s="138">
        <f>'Expenditures 15-22'!K259</f>
        <v>11025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11025</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5179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35869</v>
      </c>
      <c r="C1495" s="2" t="s">
        <v>593</v>
      </c>
      <c r="D1495" s="2" t="str">
        <f t="shared" si="22"/>
        <v>Error?</v>
      </c>
    </row>
    <row r="1496" spans="1:4" x14ac:dyDescent="0.2">
      <c r="A1496" s="5">
        <v>1435</v>
      </c>
      <c r="B1496" s="138">
        <f>'Expenditures 15-22'!K267</f>
        <v>166</v>
      </c>
      <c r="C1496" s="2" t="s">
        <v>593</v>
      </c>
      <c r="D1496" s="2" t="str">
        <f t="shared" si="22"/>
        <v>Error?</v>
      </c>
    </row>
    <row r="1497" spans="1:4" x14ac:dyDescent="0.2">
      <c r="A1497" s="5">
        <v>1436</v>
      </c>
      <c r="B1497" s="138">
        <f>'Expenditures 15-22'!K268</f>
        <v>13768</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54982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75682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108034</v>
      </c>
      <c r="C1517" s="2" t="s">
        <v>593</v>
      </c>
      <c r="D1517" s="2" t="str">
        <f t="shared" si="22"/>
        <v>Error?</v>
      </c>
    </row>
    <row r="1518" spans="1:4" x14ac:dyDescent="0.2">
      <c r="A1518" s="5">
        <v>1457</v>
      </c>
      <c r="B1518" s="138">
        <f>'Expenditures 15-22'!K296</f>
        <v>34014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112005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112005</v>
      </c>
      <c r="C1535" s="2" t="s">
        <v>593</v>
      </c>
      <c r="D1535" s="2" t="str">
        <f t="shared" ref="D1535:D1598" si="23">IF(ISBLANK(B1535),"OK",IF(A1535-B1535=0,"OK","Error?"))</f>
        <v>Error?</v>
      </c>
    </row>
    <row r="1536" spans="1:4" x14ac:dyDescent="0.2">
      <c r="A1536" s="5">
        <v>1475</v>
      </c>
      <c r="B1536" s="138">
        <f>'Expenditures 15-22'!E312</f>
        <v>112005</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1079537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1079537</v>
      </c>
      <c r="C1547" s="2" t="s">
        <v>593</v>
      </c>
      <c r="D1547" s="2" t="str">
        <f t="shared" si="23"/>
        <v>Error?</v>
      </c>
    </row>
    <row r="1548" spans="1:4" x14ac:dyDescent="0.2">
      <c r="A1548" s="5">
        <v>1487</v>
      </c>
      <c r="B1548" s="138">
        <f>'Expenditures 15-22'!G312</f>
        <v>1079537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1191542</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1191542</v>
      </c>
      <c r="C1559" s="2" t="s">
        <v>593</v>
      </c>
      <c r="D1559" s="2" t="str">
        <f t="shared" si="23"/>
        <v>Error?</v>
      </c>
    </row>
    <row r="1560" spans="1:4" x14ac:dyDescent="0.2">
      <c r="A1560" s="5">
        <v>1499</v>
      </c>
      <c r="B1560" s="138">
        <f>'Expenditures 15-22'!K312</f>
        <v>1191542</v>
      </c>
      <c r="C1560" s="2" t="s">
        <v>593</v>
      </c>
      <c r="D1560" s="2" t="str">
        <f t="shared" si="23"/>
        <v>Error?</v>
      </c>
    </row>
    <row r="1561" spans="1:4" x14ac:dyDescent="0.2">
      <c r="A1561" s="5">
        <v>1500</v>
      </c>
      <c r="B1561" s="138">
        <f>'Expenditures 15-22'!K313</f>
        <v>-1110705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399118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801432</v>
      </c>
      <c r="C1630" s="2" t="s">
        <v>593</v>
      </c>
      <c r="D1630" s="2" t="str">
        <f t="shared" si="24"/>
        <v>Error?</v>
      </c>
    </row>
    <row r="1631" spans="1:4" x14ac:dyDescent="0.2">
      <c r="A1631" s="5">
        <v>1570</v>
      </c>
      <c r="B1631" s="138">
        <f>'Acct Summary 7-8'!D79</f>
        <v>197604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205758</v>
      </c>
      <c r="C1644" s="2" t="s">
        <v>593</v>
      </c>
      <c r="D1644" s="2" t="str">
        <f t="shared" si="24"/>
        <v>Error?</v>
      </c>
    </row>
    <row r="1645" spans="1:4" x14ac:dyDescent="0.2">
      <c r="A1645" s="5">
        <v>1584</v>
      </c>
      <c r="B1645" s="138">
        <f>'Acct Summary 7-8'!E79</f>
        <v>124029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540592</v>
      </c>
      <c r="C1658" s="2" t="s">
        <v>593</v>
      </c>
      <c r="D1658" s="2" t="str">
        <f t="shared" si="24"/>
        <v>Error?</v>
      </c>
    </row>
    <row r="1659" spans="1:4" x14ac:dyDescent="0.2">
      <c r="A1659" s="5">
        <v>1598</v>
      </c>
      <c r="B1659" s="138">
        <f>'Acct Summary 7-8'!F79</f>
        <v>90046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114081</v>
      </c>
      <c r="C1672" s="2" t="s">
        <v>593</v>
      </c>
      <c r="D1672" s="2" t="str">
        <f t="shared" si="25"/>
        <v>Error?</v>
      </c>
    </row>
    <row r="1673" spans="1:4" x14ac:dyDescent="0.2">
      <c r="A1673" s="5">
        <v>1612</v>
      </c>
      <c r="B1673" s="138">
        <f>'Acct Summary 7-8'!G79</f>
        <v>142077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176091</v>
      </c>
      <c r="C1686" s="2" t="s">
        <v>593</v>
      </c>
      <c r="D1686" s="2" t="str">
        <f t="shared" si="25"/>
        <v>Error?</v>
      </c>
    </row>
    <row r="1687" spans="1:4" x14ac:dyDescent="0.2">
      <c r="A1687" s="5">
        <v>1626</v>
      </c>
      <c r="B1687" s="138">
        <f>'Acct Summary 7-8'!H79</f>
        <v>21340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8981584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1795324</v>
      </c>
      <c r="C1744" s="2" t="s">
        <v>593</v>
      </c>
      <c r="D1744" s="2" t="str">
        <f t="shared" si="26"/>
        <v>Error?</v>
      </c>
    </row>
    <row r="1745" spans="1:5" x14ac:dyDescent="0.2">
      <c r="A1745" s="5">
        <v>1684</v>
      </c>
      <c r="B1745" s="138">
        <f>'Tax Sched 23'!B5</f>
        <v>359044</v>
      </c>
      <c r="C1745" s="2" t="s">
        <v>593</v>
      </c>
      <c r="D1745" s="2" t="str">
        <f t="shared" si="26"/>
        <v>Error?</v>
      </c>
    </row>
    <row r="1746" spans="1:5" x14ac:dyDescent="0.2">
      <c r="A1746" s="5">
        <v>1685</v>
      </c>
      <c r="B1746" s="138">
        <f>'Tax Sched 23'!B6</f>
        <v>376103</v>
      </c>
      <c r="C1746" s="2" t="s">
        <v>593</v>
      </c>
      <c r="D1746" s="2" t="str">
        <f t="shared" si="26"/>
        <v>Error?</v>
      </c>
    </row>
    <row r="1747" spans="1:5" x14ac:dyDescent="0.2">
      <c r="A1747" s="5">
        <v>1686</v>
      </c>
      <c r="B1747" s="138">
        <f>'Tax Sched 23'!B7</f>
        <v>143617</v>
      </c>
      <c r="C1747" s="2" t="s">
        <v>593</v>
      </c>
      <c r="D1747" s="2" t="str">
        <f t="shared" si="26"/>
        <v>Error?</v>
      </c>
    </row>
    <row r="1748" spans="1:5" x14ac:dyDescent="0.2">
      <c r="A1748" s="5">
        <v>1687</v>
      </c>
      <c r="B1748" s="138">
        <f>'Tax Sched 23'!B8</f>
        <v>59199</v>
      </c>
      <c r="C1748" s="2" t="s">
        <v>593</v>
      </c>
      <c r="D1748" s="2" t="str">
        <f t="shared" si="26"/>
        <v>Error?</v>
      </c>
    </row>
    <row r="1749" spans="1:5" x14ac:dyDescent="0.2">
      <c r="A1749" s="5">
        <v>1688</v>
      </c>
      <c r="B1749" s="138">
        <f>'Tax Sched 23'!B10</f>
        <v>35904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200333</v>
      </c>
      <c r="C1752" s="2" t="s">
        <v>593</v>
      </c>
      <c r="D1752" s="2" t="str">
        <f t="shared" si="26"/>
        <v>Error?</v>
      </c>
    </row>
    <row r="1753" spans="1:5" x14ac:dyDescent="0.2">
      <c r="A1753" s="5">
        <v>1692</v>
      </c>
      <c r="B1753" s="138">
        <f>'Tax Sched 23'!B12</f>
        <v>35904</v>
      </c>
      <c r="C1753" s="2" t="s">
        <v>593</v>
      </c>
      <c r="D1753" s="2" t="str">
        <f t="shared" si="26"/>
        <v>Error?</v>
      </c>
    </row>
    <row r="1754" spans="1:5" x14ac:dyDescent="0.2">
      <c r="A1754" s="5">
        <v>1693</v>
      </c>
      <c r="B1754" s="138">
        <f>'Tax Sched 23'!B14</f>
        <v>28724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3152428</v>
      </c>
      <c r="C1759" s="2" t="s">
        <v>593</v>
      </c>
      <c r="D1759" s="2" t="str">
        <f t="shared" si="26"/>
        <v>Error?</v>
      </c>
    </row>
    <row r="1760" spans="1:5" x14ac:dyDescent="0.2">
      <c r="A1760" s="5">
        <v>1699</v>
      </c>
      <c r="B1760" s="138">
        <f>'Tax Sched 23'!D4</f>
        <v>1795324</v>
      </c>
      <c r="C1760" s="2" t="s">
        <v>593</v>
      </c>
      <c r="D1760" s="2" t="str">
        <f t="shared" si="26"/>
        <v>Error?</v>
      </c>
    </row>
    <row r="1761" spans="1:5" x14ac:dyDescent="0.2">
      <c r="A1761" s="5">
        <v>1700</v>
      </c>
      <c r="B1761" s="138">
        <f>'Tax Sched 23'!D5</f>
        <v>359044</v>
      </c>
      <c r="C1761" s="2" t="s">
        <v>593</v>
      </c>
      <c r="D1761" s="2" t="str">
        <f t="shared" si="26"/>
        <v>Error?</v>
      </c>
    </row>
    <row r="1762" spans="1:5" s="8" customFormat="1" x14ac:dyDescent="0.2">
      <c r="A1762" s="5">
        <v>1701</v>
      </c>
      <c r="B1762" s="138">
        <f>'Tax Sched 23'!D6</f>
        <v>376103</v>
      </c>
      <c r="C1762" s="2" t="s">
        <v>593</v>
      </c>
      <c r="D1762" s="2" t="str">
        <f t="shared" si="26"/>
        <v>Error?</v>
      </c>
      <c r="E1762" s="9"/>
    </row>
    <row r="1763" spans="1:5" x14ac:dyDescent="0.2">
      <c r="A1763" s="5">
        <v>1702</v>
      </c>
      <c r="B1763" s="138">
        <f>'Tax Sched 23'!D7</f>
        <v>143617</v>
      </c>
      <c r="C1763" s="2" t="s">
        <v>593</v>
      </c>
      <c r="D1763" s="2" t="str">
        <f t="shared" si="26"/>
        <v>Error?</v>
      </c>
    </row>
    <row r="1764" spans="1:5" x14ac:dyDescent="0.2">
      <c r="A1764" s="5">
        <v>1703</v>
      </c>
      <c r="B1764" s="138">
        <f>'Tax Sched 23'!D8</f>
        <v>59199</v>
      </c>
      <c r="C1764" s="2" t="s">
        <v>593</v>
      </c>
      <c r="D1764" s="2" t="str">
        <f t="shared" si="26"/>
        <v>Error?</v>
      </c>
    </row>
    <row r="1765" spans="1:5" x14ac:dyDescent="0.2">
      <c r="A1765" s="5">
        <v>1704</v>
      </c>
      <c r="B1765" s="138">
        <f>'Tax Sched 23'!D10</f>
        <v>35904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200333</v>
      </c>
      <c r="C1768" s="2" t="s">
        <v>593</v>
      </c>
      <c r="D1768" s="2" t="str">
        <f t="shared" si="26"/>
        <v>Error?</v>
      </c>
    </row>
    <row r="1769" spans="1:5" x14ac:dyDescent="0.2">
      <c r="A1769" s="5">
        <v>1708</v>
      </c>
      <c r="B1769" s="138">
        <f>'Tax Sched 23'!D12</f>
        <v>35904</v>
      </c>
      <c r="C1769" s="2" t="s">
        <v>593</v>
      </c>
      <c r="D1769" s="2" t="str">
        <f t="shared" si="26"/>
        <v>Error?</v>
      </c>
    </row>
    <row r="1770" spans="1:5" x14ac:dyDescent="0.2">
      <c r="A1770" s="5">
        <v>1709</v>
      </c>
      <c r="B1770" s="138">
        <f>'Tax Sched 23'!D14</f>
        <v>28724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3152428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1830457</v>
      </c>
      <c r="C1792" s="2" t="s">
        <v>593</v>
      </c>
      <c r="D1792" s="2" t="str">
        <f t="shared" si="27"/>
        <v>Error?</v>
      </c>
    </row>
    <row r="1793" spans="1:4" x14ac:dyDescent="0.2">
      <c r="A1793" s="5">
        <v>1732</v>
      </c>
      <c r="B1793" s="138">
        <f>'Tax Sched 23'!F5</f>
        <v>366092</v>
      </c>
      <c r="C1793" s="2" t="s">
        <v>593</v>
      </c>
      <c r="D1793" s="2" t="str">
        <f t="shared" si="27"/>
        <v>Error?</v>
      </c>
    </row>
    <row r="1794" spans="1:4" x14ac:dyDescent="0.2">
      <c r="A1794" s="5">
        <v>1733</v>
      </c>
      <c r="B1794" s="138">
        <f>'Tax Sched 23'!F6</f>
        <v>667956</v>
      </c>
      <c r="C1794" s="2" t="s">
        <v>593</v>
      </c>
      <c r="D1794" s="2" t="str">
        <f t="shared" si="27"/>
        <v>Error?</v>
      </c>
    </row>
    <row r="1795" spans="1:4" x14ac:dyDescent="0.2">
      <c r="A1795" s="5">
        <v>1734</v>
      </c>
      <c r="B1795" s="138">
        <f>'Tax Sched 23'!F7</f>
        <v>146437</v>
      </c>
      <c r="C1795" s="2" t="s">
        <v>593</v>
      </c>
      <c r="D1795" s="2" t="str">
        <f t="shared" si="27"/>
        <v>Error?</v>
      </c>
    </row>
    <row r="1796" spans="1:4" x14ac:dyDescent="0.2">
      <c r="A1796" s="5">
        <v>1735</v>
      </c>
      <c r="B1796" s="138">
        <f>'Tax Sched 23'!F8</f>
        <v>59058</v>
      </c>
      <c r="C1796" s="2" t="s">
        <v>593</v>
      </c>
      <c r="D1796" s="2" t="str">
        <f t="shared" si="27"/>
        <v>Error?</v>
      </c>
    </row>
    <row r="1797" spans="1:4" x14ac:dyDescent="0.2">
      <c r="A1797" s="5">
        <v>1736</v>
      </c>
      <c r="B1797" s="138">
        <f>'Tax Sched 23'!F10</f>
        <v>36609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199330</v>
      </c>
      <c r="C1800" s="2" t="s">
        <v>593</v>
      </c>
      <c r="D1800" s="2" t="str">
        <f t="shared" si="27"/>
        <v>Error?</v>
      </c>
    </row>
    <row r="1801" spans="1:4" x14ac:dyDescent="0.2">
      <c r="A1801" s="5">
        <v>1740</v>
      </c>
      <c r="B1801" s="138">
        <f>'Tax Sched 23'!F12</f>
        <v>36609</v>
      </c>
      <c r="C1801" s="2" t="s">
        <v>593</v>
      </c>
      <c r="D1801" s="2" t="str">
        <f t="shared" si="27"/>
        <v>Error?</v>
      </c>
    </row>
    <row r="1802" spans="1:4" x14ac:dyDescent="0.2">
      <c r="A1802" s="5">
        <v>1741</v>
      </c>
      <c r="B1802" s="138">
        <f>'Tax Sched 23'!F14</f>
        <v>29287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3489650</v>
      </c>
      <c r="C1807" s="2" t="s">
        <v>593</v>
      </c>
      <c r="D1807" s="2" t="str">
        <f t="shared" si="27"/>
        <v>Error?</v>
      </c>
    </row>
    <row r="1808" spans="1:4" x14ac:dyDescent="0.2">
      <c r="A1808" s="5">
        <v>1747</v>
      </c>
      <c r="B1808" s="138">
        <f>'Tax Sched 23'!E4</f>
        <v>1830457</v>
      </c>
      <c r="D1808" s="2" t="str">
        <f t="shared" si="27"/>
        <v>Error?</v>
      </c>
    </row>
    <row r="1809" spans="1:4" x14ac:dyDescent="0.2">
      <c r="A1809" s="5">
        <v>1748</v>
      </c>
      <c r="B1809" s="138">
        <f>'Tax Sched 23'!E5</f>
        <v>366092</v>
      </c>
      <c r="D1809" s="2" t="str">
        <f t="shared" si="27"/>
        <v>Error?</v>
      </c>
    </row>
    <row r="1810" spans="1:4" x14ac:dyDescent="0.2">
      <c r="A1810" s="5">
        <v>1749</v>
      </c>
      <c r="B1810" s="138">
        <f>'Tax Sched 23'!E6</f>
        <v>667956</v>
      </c>
      <c r="D1810" s="2" t="str">
        <f t="shared" si="27"/>
        <v>Error?</v>
      </c>
    </row>
    <row r="1811" spans="1:4" x14ac:dyDescent="0.2">
      <c r="A1811" s="5">
        <v>1750</v>
      </c>
      <c r="B1811" s="138">
        <f>'Tax Sched 23'!E7</f>
        <v>146437</v>
      </c>
      <c r="D1811" s="2" t="str">
        <f t="shared" si="27"/>
        <v>Error?</v>
      </c>
    </row>
    <row r="1812" spans="1:4" x14ac:dyDescent="0.2">
      <c r="A1812" s="5">
        <v>1751</v>
      </c>
      <c r="B1812" s="138">
        <f>'Tax Sched 23'!E8</f>
        <v>59058</v>
      </c>
      <c r="D1812" s="2" t="str">
        <f t="shared" si="27"/>
        <v>Error?</v>
      </c>
    </row>
    <row r="1813" spans="1:4" x14ac:dyDescent="0.2">
      <c r="A1813" s="5">
        <v>1752</v>
      </c>
      <c r="B1813" s="138">
        <f>'Tax Sched 23'!E10</f>
        <v>36609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199330</v>
      </c>
      <c r="D1816" s="2" t="str">
        <f t="shared" si="27"/>
        <v>Error?</v>
      </c>
    </row>
    <row r="1817" spans="1:4" x14ac:dyDescent="0.2">
      <c r="A1817" s="5">
        <v>1756</v>
      </c>
      <c r="B1817" s="138">
        <f>'Tax Sched 23'!E12</f>
        <v>36609</v>
      </c>
      <c r="D1817" s="2" t="str">
        <f t="shared" si="27"/>
        <v>Error?</v>
      </c>
    </row>
    <row r="1818" spans="1:4" x14ac:dyDescent="0.2">
      <c r="A1818" s="5">
        <v>1757</v>
      </c>
      <c r="B1818" s="138">
        <f>'Tax Sched 23'!E14</f>
        <v>29287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3489650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2333900</v>
      </c>
      <c r="C1939" s="2" t="s">
        <v>593</v>
      </c>
      <c r="D1939" s="2" t="str">
        <f t="shared" si="29"/>
        <v>Error?</v>
      </c>
    </row>
    <row r="1940" spans="1:5" x14ac:dyDescent="0.2">
      <c r="A1940" s="5">
        <v>1879</v>
      </c>
      <c r="B1940" s="138">
        <f>'Short-Term Long-Term Debt 24'!F49</f>
        <v>10383200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28724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28724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28724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4000</v>
      </c>
      <c r="D2008" s="2" t="str">
        <f t="shared" si="30"/>
        <v>Error?</v>
      </c>
    </row>
    <row r="2009" spans="1:4" x14ac:dyDescent="0.2">
      <c r="A2009" s="5">
        <v>1948</v>
      </c>
      <c r="B2009" s="138">
        <f>'Cap Outlay Deprec 26'!C8</f>
        <v>10008106</v>
      </c>
      <c r="D2009" s="2" t="str">
        <f t="shared" si="30"/>
        <v>Error?</v>
      </c>
    </row>
    <row r="2010" spans="1:4" x14ac:dyDescent="0.2">
      <c r="A2010" s="5">
        <v>1949</v>
      </c>
      <c r="B2010" s="138">
        <f>'Cap Outlay Deprec 26'!C10</f>
        <v>358328</v>
      </c>
      <c r="D2010" s="2" t="str">
        <f t="shared" si="30"/>
        <v>Error?</v>
      </c>
    </row>
    <row r="2011" spans="1:4" x14ac:dyDescent="0.2">
      <c r="A2011" s="5">
        <v>1950</v>
      </c>
      <c r="B2011" s="138">
        <f>'Cap Outlay Deprec 26'!C12</f>
        <v>1699046</v>
      </c>
      <c r="D2011" s="2" t="str">
        <f t="shared" si="30"/>
        <v>Error?</v>
      </c>
    </row>
    <row r="2012" spans="1:4" x14ac:dyDescent="0.2">
      <c r="A2012" s="5">
        <v>1951</v>
      </c>
      <c r="B2012" s="138">
        <f>'Cap Outlay Deprec 26'!C13</f>
        <v>38850</v>
      </c>
      <c r="D2012" s="2" t="str">
        <f t="shared" si="30"/>
        <v>Error?</v>
      </c>
    </row>
    <row r="2013" spans="1:4" x14ac:dyDescent="0.2">
      <c r="A2013" s="5">
        <v>1952</v>
      </c>
      <c r="B2013" s="138">
        <f>'Cap Outlay Deprec 26'!C16</f>
        <v>12352791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22290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1086505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4000</v>
      </c>
      <c r="C2026" s="2" t="s">
        <v>593</v>
      </c>
      <c r="D2026" s="2" t="str">
        <f t="shared" si="30"/>
        <v>Error?</v>
      </c>
    </row>
    <row r="2027" spans="1:4" x14ac:dyDescent="0.2">
      <c r="A2027" s="5">
        <v>1966</v>
      </c>
      <c r="B2027" s="138">
        <f>'Cap Outlay Deprec 26'!F8</f>
        <v>10008106</v>
      </c>
      <c r="C2027" s="2" t="s">
        <v>593</v>
      </c>
      <c r="D2027" s="2" t="str">
        <f t="shared" si="30"/>
        <v>Error?</v>
      </c>
    </row>
    <row r="2028" spans="1:4" x14ac:dyDescent="0.2">
      <c r="A2028" s="5">
        <v>1967</v>
      </c>
      <c r="B2028" s="138">
        <f>'Cap Outlay Deprec 26'!F10</f>
        <v>358328</v>
      </c>
      <c r="C2028" s="2" t="s">
        <v>593</v>
      </c>
      <c r="D2028" s="2" t="str">
        <f t="shared" si="30"/>
        <v>Error?</v>
      </c>
    </row>
    <row r="2029" spans="1:4" x14ac:dyDescent="0.2">
      <c r="A2029" s="5">
        <v>1968</v>
      </c>
      <c r="B2029" s="138">
        <f>'Cap Outlay Deprec 26'!F12</f>
        <v>1721336</v>
      </c>
      <c r="C2029" s="2" t="s">
        <v>593</v>
      </c>
      <c r="D2029" s="2" t="str">
        <f t="shared" si="30"/>
        <v>Error?</v>
      </c>
    </row>
    <row r="2030" spans="1:4" x14ac:dyDescent="0.2">
      <c r="A2030" s="5">
        <v>1969</v>
      </c>
      <c r="B2030" s="138">
        <f>'Cap Outlay Deprec 26'!F13</f>
        <v>38850</v>
      </c>
      <c r="C2030" s="2" t="s">
        <v>593</v>
      </c>
      <c r="D2030" s="2" t="str">
        <f t="shared" si="30"/>
        <v>Error?</v>
      </c>
    </row>
    <row r="2031" spans="1:4" x14ac:dyDescent="0.2">
      <c r="A2031" s="5">
        <v>1970</v>
      </c>
      <c r="B2031" s="138">
        <f>'Cap Outlay Deprec 26'!F16</f>
        <v>13439296</v>
      </c>
      <c r="C2031" s="2" t="s">
        <v>593</v>
      </c>
      <c r="D2031" s="2" t="str">
        <f t="shared" si="30"/>
        <v>Error?</v>
      </c>
    </row>
    <row r="2032" spans="1:4" x14ac:dyDescent="0.2">
      <c r="A2032" s="10">
        <v>1971</v>
      </c>
      <c r="D2032" s="2" t="str">
        <f t="shared" si="30"/>
        <v>OK</v>
      </c>
    </row>
    <row r="2033" spans="1:4" x14ac:dyDescent="0.2">
      <c r="A2033" s="5">
        <v>1972</v>
      </c>
      <c r="B2033" s="138">
        <f>'Cap Outlay Deprec 26'!H8</f>
        <v>4290890</v>
      </c>
      <c r="D2033" s="2" t="str">
        <f t="shared" si="30"/>
        <v>Error?</v>
      </c>
    </row>
    <row r="2034" spans="1:4" x14ac:dyDescent="0.2">
      <c r="A2034" s="5">
        <v>1973</v>
      </c>
      <c r="B2034" s="138">
        <f>'Cap Outlay Deprec 26'!H10</f>
        <v>154661</v>
      </c>
      <c r="D2034" s="2" t="str">
        <f t="shared" si="30"/>
        <v>Error?</v>
      </c>
    </row>
    <row r="2035" spans="1:4" x14ac:dyDescent="0.2">
      <c r="A2035" s="5">
        <v>1974</v>
      </c>
      <c r="B2035" s="138">
        <f>'Cap Outlay Deprec 26'!H12</f>
        <v>1590572</v>
      </c>
      <c r="D2035" s="2" t="str">
        <f t="shared" si="30"/>
        <v>Error?</v>
      </c>
    </row>
    <row r="2036" spans="1:4" x14ac:dyDescent="0.2">
      <c r="A2036" s="5">
        <v>1975</v>
      </c>
      <c r="B2036" s="138">
        <f>'Cap Outlay Deprec 26'!H13</f>
        <v>23571</v>
      </c>
      <c r="D2036" s="2" t="str">
        <f t="shared" si="30"/>
        <v>Error?</v>
      </c>
    </row>
    <row r="2037" spans="1:4" x14ac:dyDescent="0.2">
      <c r="A2037" s="5">
        <v>1976</v>
      </c>
      <c r="B2037" s="138">
        <f>'Cap Outlay Deprec 26'!H16</f>
        <v>6241492</v>
      </c>
      <c r="C2037" s="2" t="s">
        <v>593</v>
      </c>
      <c r="D2037" s="2" t="str">
        <f t="shared" si="30"/>
        <v>Error?</v>
      </c>
    </row>
    <row r="2038" spans="1:4" x14ac:dyDescent="0.2">
      <c r="A2038" s="10">
        <v>1977</v>
      </c>
      <c r="D2038" s="2" t="str">
        <f t="shared" si="30"/>
        <v>OK</v>
      </c>
    </row>
    <row r="2039" spans="1:4" x14ac:dyDescent="0.2">
      <c r="A2039" s="5">
        <v>1978</v>
      </c>
      <c r="B2039" s="138">
        <f>'Cap Outlay Deprec 26'!I8</f>
        <v>174483</v>
      </c>
      <c r="D2039" s="2" t="str">
        <f t="shared" si="30"/>
        <v>Error?</v>
      </c>
    </row>
    <row r="2040" spans="1:4" x14ac:dyDescent="0.2">
      <c r="A2040" s="5">
        <v>1979</v>
      </c>
      <c r="B2040" s="138">
        <f>'Cap Outlay Deprec 26'!I10</f>
        <v>16747</v>
      </c>
      <c r="D2040" s="2" t="str">
        <f t="shared" si="30"/>
        <v>Error?</v>
      </c>
    </row>
    <row r="2041" spans="1:4" x14ac:dyDescent="0.2">
      <c r="A2041" s="5">
        <v>1980</v>
      </c>
      <c r="B2041" s="138">
        <f>'Cap Outlay Deprec 26'!I12</f>
        <v>27903</v>
      </c>
      <c r="D2041" s="2" t="str">
        <f t="shared" si="30"/>
        <v>Error?</v>
      </c>
    </row>
    <row r="2042" spans="1:4" x14ac:dyDescent="0.2">
      <c r="A2042" s="5">
        <v>1981</v>
      </c>
      <c r="B2042" s="138">
        <f>'Cap Outlay Deprec 26'!I13</f>
        <v>4150</v>
      </c>
      <c r="D2042" s="2" t="str">
        <f t="shared" si="30"/>
        <v>Error?</v>
      </c>
    </row>
    <row r="2043" spans="1:4" x14ac:dyDescent="0.2">
      <c r="A2043" s="5">
        <v>1982</v>
      </c>
      <c r="B2043" s="138">
        <f>'Cap Outlay Deprec 26'!I16</f>
        <v>248617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4465373</v>
      </c>
      <c r="C2051" s="2" t="s">
        <v>593</v>
      </c>
      <c r="D2051" s="2" t="str">
        <f t="shared" si="31"/>
        <v>Error?</v>
      </c>
    </row>
    <row r="2052" spans="1:4" x14ac:dyDescent="0.2">
      <c r="A2052" s="5">
        <v>1991</v>
      </c>
      <c r="B2052" s="138">
        <f>'Cap Outlay Deprec 26'!K10</f>
        <v>171408</v>
      </c>
      <c r="C2052" s="2" t="s">
        <v>593</v>
      </c>
      <c r="D2052" s="2" t="str">
        <f t="shared" si="31"/>
        <v>Error?</v>
      </c>
    </row>
    <row r="2053" spans="1:4" x14ac:dyDescent="0.2">
      <c r="A2053" s="5">
        <v>1992</v>
      </c>
      <c r="B2053" s="138">
        <f>'Cap Outlay Deprec 26'!K12</f>
        <v>1618475</v>
      </c>
      <c r="C2053" s="2" t="s">
        <v>593</v>
      </c>
      <c r="D2053" s="2" t="str">
        <f t="shared" si="31"/>
        <v>Error?</v>
      </c>
    </row>
    <row r="2054" spans="1:4" x14ac:dyDescent="0.2">
      <c r="A2054" s="5">
        <v>1993</v>
      </c>
      <c r="B2054" s="138">
        <f>'Cap Outlay Deprec 26'!K13</f>
        <v>27721</v>
      </c>
      <c r="C2054" s="2" t="s">
        <v>593</v>
      </c>
      <c r="D2054" s="2" t="str">
        <f t="shared" si="31"/>
        <v>Error?</v>
      </c>
    </row>
    <row r="2055" spans="1:4" x14ac:dyDescent="0.2">
      <c r="A2055" s="5">
        <v>1994</v>
      </c>
      <c r="B2055" s="138">
        <f>'Cap Outlay Deprec 26'!K16</f>
        <v>6490109</v>
      </c>
      <c r="C2055" s="2" t="s">
        <v>593</v>
      </c>
      <c r="D2055" s="2" t="str">
        <f t="shared" si="31"/>
        <v>Error?</v>
      </c>
    </row>
    <row r="2056" spans="1:4" x14ac:dyDescent="0.2">
      <c r="A2056" s="5">
        <v>1995</v>
      </c>
      <c r="B2056" s="138">
        <f>'Cap Outlay Deprec 26'!L5</f>
        <v>4000</v>
      </c>
      <c r="C2056" s="2" t="s">
        <v>593</v>
      </c>
      <c r="D2056" s="2" t="str">
        <f t="shared" si="31"/>
        <v>Error?</v>
      </c>
    </row>
    <row r="2057" spans="1:4" x14ac:dyDescent="0.2">
      <c r="A2057" s="5">
        <v>1996</v>
      </c>
      <c r="B2057" s="138">
        <f>'Cap Outlay Deprec 26'!L8</f>
        <v>5542733</v>
      </c>
      <c r="C2057" s="2" t="s">
        <v>593</v>
      </c>
      <c r="D2057" s="2" t="str">
        <f t="shared" si="31"/>
        <v>Error?</v>
      </c>
    </row>
    <row r="2058" spans="1:4" x14ac:dyDescent="0.2">
      <c r="A2058" s="5">
        <v>1997</v>
      </c>
      <c r="B2058" s="138">
        <f>'Cap Outlay Deprec 26'!L10</f>
        <v>186920</v>
      </c>
      <c r="C2058" s="2" t="s">
        <v>593</v>
      </c>
      <c r="D2058" s="2" t="str">
        <f t="shared" si="31"/>
        <v>Error?</v>
      </c>
    </row>
    <row r="2059" spans="1:4" x14ac:dyDescent="0.2">
      <c r="A2059" s="5">
        <v>1998</v>
      </c>
      <c r="B2059" s="138">
        <f>'Cap Outlay Deprec 26'!L12</f>
        <v>102861</v>
      </c>
      <c r="C2059" s="2" t="s">
        <v>593</v>
      </c>
      <c r="D2059" s="2" t="str">
        <f t="shared" si="31"/>
        <v>Error?</v>
      </c>
    </row>
    <row r="2060" spans="1:4" x14ac:dyDescent="0.2">
      <c r="A2060" s="5">
        <v>1999</v>
      </c>
      <c r="B2060" s="138">
        <f>'Cap Outlay Deprec 26'!L13</f>
        <v>11129</v>
      </c>
      <c r="C2060" s="2" t="s">
        <v>593</v>
      </c>
      <c r="D2060" s="2" t="str">
        <f t="shared" si="31"/>
        <v>Error?</v>
      </c>
    </row>
    <row r="2061" spans="1:4" x14ac:dyDescent="0.2">
      <c r="A2061" s="5">
        <v>2000</v>
      </c>
      <c r="B2061" s="138">
        <f>'Cap Outlay Deprec 26'!L16</f>
        <v>6949187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27000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27000</v>
      </c>
      <c r="C2088" s="2" t="s">
        <v>593</v>
      </c>
      <c r="D2088" s="2" t="str">
        <f t="shared" si="31"/>
        <v>Error?</v>
      </c>
    </row>
    <row r="2089" spans="1:4" x14ac:dyDescent="0.2">
      <c r="A2089" s="5">
        <v>2028</v>
      </c>
      <c r="B2089" s="138">
        <f>'Expenditures 15-22'!K92</f>
        <v>103894</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27787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2180092</v>
      </c>
      <c r="C2551" s="2" t="s">
        <v>593</v>
      </c>
      <c r="D2551" s="2" t="str">
        <f t="shared" si="38"/>
        <v>Error?</v>
      </c>
    </row>
    <row r="2552" spans="1:4" x14ac:dyDescent="0.2">
      <c r="A2552" s="10">
        <v>2491</v>
      </c>
      <c r="D2552" s="2" t="str">
        <f t="shared" si="38"/>
        <v>OK</v>
      </c>
    </row>
    <row r="2553" spans="1:4" x14ac:dyDescent="0.2">
      <c r="A2553" s="5">
        <v>2492</v>
      </c>
      <c r="B2553" s="138">
        <f>'Acct Summary 7-8'!C6</f>
        <v>1367079</v>
      </c>
      <c r="C2553" s="2" t="s">
        <v>593</v>
      </c>
      <c r="D2553" s="2" t="str">
        <f t="shared" si="38"/>
        <v>Error?</v>
      </c>
    </row>
    <row r="2554" spans="1:4" x14ac:dyDescent="0.2">
      <c r="A2554" s="5">
        <v>2493</v>
      </c>
      <c r="B2554" s="138">
        <f>'Acct Summary 7-8'!C7</f>
        <v>445519</v>
      </c>
      <c r="C2554" s="2" t="s">
        <v>593</v>
      </c>
      <c r="D2554" s="2" t="str">
        <f t="shared" si="38"/>
        <v>Error?</v>
      </c>
    </row>
    <row r="2555" spans="1:4" x14ac:dyDescent="0.2">
      <c r="A2555" s="5">
        <v>2494</v>
      </c>
      <c r="B2555" s="138">
        <f>'Acct Summary 7-8'!C8</f>
        <v>3992690</v>
      </c>
      <c r="C2555" s="2" t="s">
        <v>593</v>
      </c>
      <c r="D2555" s="2" t="str">
        <f t="shared" si="38"/>
        <v>Error?</v>
      </c>
    </row>
    <row r="2556" spans="1:4" x14ac:dyDescent="0.2">
      <c r="A2556" s="5">
        <v>2495</v>
      </c>
      <c r="B2556" s="138">
        <f>'Acct Summary 7-8'!C12</f>
        <v>2445923</v>
      </c>
      <c r="C2556" s="2" t="s">
        <v>593</v>
      </c>
      <c r="D2556" s="2" t="str">
        <f t="shared" si="38"/>
        <v>Error?</v>
      </c>
    </row>
    <row r="2557" spans="1:4" x14ac:dyDescent="0.2">
      <c r="A2557" s="5">
        <v>2496</v>
      </c>
      <c r="B2557" s="138">
        <f>'Acct Summary 7-8'!C13</f>
        <v>1006991</v>
      </c>
      <c r="C2557" s="2" t="s">
        <v>593</v>
      </c>
      <c r="D2557" s="2" t="str">
        <f t="shared" si="38"/>
        <v>Error?</v>
      </c>
    </row>
    <row r="2558" spans="1:4" x14ac:dyDescent="0.2">
      <c r="A2558" s="5">
        <v>2497</v>
      </c>
      <c r="B2558" s="138">
        <f>'Acct Summary 7-8'!C14</f>
        <v>6568</v>
      </c>
      <c r="C2558" s="2" t="s">
        <v>593</v>
      </c>
      <c r="D2558" s="2" t="str">
        <f t="shared" si="38"/>
        <v>Error?</v>
      </c>
    </row>
    <row r="2559" spans="1:4" x14ac:dyDescent="0.2">
      <c r="A2559" s="5">
        <v>2498</v>
      </c>
      <c r="B2559" s="138">
        <f>'Acct Summary 7-8'!C15</f>
        <v>130894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3590376</v>
      </c>
      <c r="C2561" s="2" t="s">
        <v>593</v>
      </c>
      <c r="D2561" s="2" t="str">
        <f t="shared" si="39"/>
        <v>Error?</v>
      </c>
    </row>
    <row r="2562" spans="1:4" x14ac:dyDescent="0.2">
      <c r="A2562" s="5">
        <v>2501</v>
      </c>
      <c r="B2562" s="138">
        <f>'Acct Summary 7-8'!C20</f>
        <v>402314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398841</v>
      </c>
      <c r="C2564" s="2" t="s">
        <v>593</v>
      </c>
      <c r="D2564" s="2" t="str">
        <f t="shared" si="39"/>
        <v>Error?</v>
      </c>
    </row>
    <row r="2565" spans="1:4" x14ac:dyDescent="0.2">
      <c r="A2565" s="10">
        <v>2504</v>
      </c>
      <c r="D2565" s="2" t="str">
        <f t="shared" si="39"/>
        <v>OK</v>
      </c>
    </row>
    <row r="2566" spans="1:4" x14ac:dyDescent="0.2">
      <c r="A2566" s="5">
        <v>2505</v>
      </c>
      <c r="B2566" s="138">
        <f>'Acct Summary 7-8'!D6</f>
        <v>30000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428841</v>
      </c>
      <c r="C2568" s="2" t="s">
        <v>593</v>
      </c>
      <c r="D2568" s="2" t="str">
        <f t="shared" si="39"/>
        <v>Error?</v>
      </c>
    </row>
    <row r="2569" spans="1:4" x14ac:dyDescent="0.2">
      <c r="A2569" s="5">
        <v>2508</v>
      </c>
      <c r="B2569" s="138">
        <f>'Acct Summary 7-8'!D13</f>
        <v>420687</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420687</v>
      </c>
      <c r="C2573" s="2" t="s">
        <v>593</v>
      </c>
      <c r="D2573" s="2" t="str">
        <f t="shared" si="39"/>
        <v>Error?</v>
      </c>
    </row>
    <row r="2574" spans="1:4" x14ac:dyDescent="0.2">
      <c r="A2574" s="5">
        <v>2513</v>
      </c>
      <c r="B2574" s="138">
        <f>'Acct Summary 7-8'!D20</f>
        <v>8154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168229</v>
      </c>
      <c r="C2591" s="2" t="s">
        <v>593</v>
      </c>
      <c r="D2591" s="2" t="str">
        <f t="shared" si="39"/>
        <v>Error?</v>
      </c>
    </row>
    <row r="2592" spans="1:4" x14ac:dyDescent="0.2">
      <c r="A2592" s="10">
        <v>2531</v>
      </c>
      <c r="D2592" s="2" t="str">
        <f t="shared" si="39"/>
        <v>OK</v>
      </c>
    </row>
    <row r="2593" spans="1:4" x14ac:dyDescent="0.2">
      <c r="A2593" s="5">
        <v>2532</v>
      </c>
      <c r="B2593" s="138">
        <f>'Acct Summary 7-8'!F6</f>
        <v>252213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420442</v>
      </c>
      <c r="C2595" s="2" t="s">
        <v>593</v>
      </c>
      <c r="D2595" s="2" t="str">
        <f t="shared" si="39"/>
        <v>Error?</v>
      </c>
    </row>
    <row r="2596" spans="1:4" x14ac:dyDescent="0.2">
      <c r="A2596" s="5">
        <v>2535</v>
      </c>
      <c r="B2596" s="138">
        <f>'Acct Summary 7-8'!F13</f>
        <v>396407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396407</v>
      </c>
      <c r="C2600" s="2" t="s">
        <v>593</v>
      </c>
      <c r="D2600" s="2" t="str">
        <f t="shared" si="39"/>
        <v>Error?</v>
      </c>
    </row>
    <row r="2601" spans="1:4" x14ac:dyDescent="0.2">
      <c r="A2601" s="5">
        <v>2540</v>
      </c>
      <c r="B2601" s="138">
        <f>'Acct Summary 7-8'!F20</f>
        <v>24035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142048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142048</v>
      </c>
      <c r="C2606" s="2" t="s">
        <v>593</v>
      </c>
      <c r="D2606" s="2" t="str">
        <f t="shared" si="39"/>
        <v>Error?</v>
      </c>
    </row>
    <row r="2607" spans="1:4" x14ac:dyDescent="0.2">
      <c r="A2607" s="5">
        <v>2546</v>
      </c>
      <c r="B2607" s="138">
        <f>'Acct Summary 7-8'!G12</f>
        <v>32352</v>
      </c>
      <c r="C2607" s="2" t="s">
        <v>593</v>
      </c>
      <c r="D2607" s="2" t="str">
        <f t="shared" si="39"/>
        <v>Error?</v>
      </c>
    </row>
    <row r="2608" spans="1:4" x14ac:dyDescent="0.2">
      <c r="A2608" s="5">
        <v>2547</v>
      </c>
      <c r="B2608" s="138">
        <f>'Acct Summary 7-8'!G13</f>
        <v>75682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108034</v>
      </c>
      <c r="C2612" s="2" t="s">
        <v>593</v>
      </c>
      <c r="D2612" s="2" t="str">
        <f t="shared" si="39"/>
        <v>Error?</v>
      </c>
    </row>
    <row r="2613" spans="1:4" x14ac:dyDescent="0.2">
      <c r="A2613" s="5">
        <v>2552</v>
      </c>
      <c r="B2613" s="138">
        <f>'Acct Summary 7-8'!G20</f>
        <v>34014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484089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484089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450726</v>
      </c>
      <c r="C2634" s="2" t="s">
        <v>593</v>
      </c>
      <c r="D2634" s="2" t="str">
        <f t="shared" si="40"/>
        <v>Error?</v>
      </c>
    </row>
    <row r="2635" spans="1:4" x14ac:dyDescent="0.2">
      <c r="A2635" s="5">
        <v>2574</v>
      </c>
      <c r="B2635" s="138">
        <f>'Acct Summary 7-8'!E17</f>
        <v>450726</v>
      </c>
      <c r="C2635" s="2" t="s">
        <v>593</v>
      </c>
      <c r="D2635" s="2" t="str">
        <f t="shared" si="40"/>
        <v>Error?</v>
      </c>
    </row>
    <row r="2636" spans="1:4" x14ac:dyDescent="0.2">
      <c r="A2636" s="5">
        <v>2575</v>
      </c>
      <c r="B2636" s="138">
        <f>'Acct Summary 7-8'!E20</f>
        <v>33363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80837</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80837</v>
      </c>
      <c r="C2658" s="2" t="s">
        <v>593</v>
      </c>
      <c r="D2658" s="2" t="str">
        <f t="shared" si="40"/>
        <v>Error?</v>
      </c>
    </row>
    <row r="2659" spans="1:4" x14ac:dyDescent="0.2">
      <c r="A2659" s="5">
        <v>2598</v>
      </c>
      <c r="B2659" s="138">
        <f>'Acct Summary 7-8'!H13</f>
        <v>1191542</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1191542</v>
      </c>
      <c r="C2661" s="2" t="s">
        <v>593</v>
      </c>
      <c r="D2661" s="2" t="str">
        <f t="shared" si="40"/>
        <v>Error?</v>
      </c>
    </row>
    <row r="2662" spans="1:4" x14ac:dyDescent="0.2">
      <c r="A2662" s="5">
        <v>2601</v>
      </c>
      <c r="B2662" s="138">
        <f>'Acct Summary 7-8'!H20</f>
        <v>-1110705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1063365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1450305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1585783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12818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129852</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7500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1578283</v>
      </c>
      <c r="D2912" s="2" t="str">
        <f t="shared" si="44"/>
        <v>Error?</v>
      </c>
    </row>
    <row r="2913" spans="1:4" x14ac:dyDescent="0.2">
      <c r="A2913" s="5">
        <v>2852</v>
      </c>
      <c r="B2913" s="138">
        <f>'Assets-Liab 5-6'!I41</f>
        <v>1585783</v>
      </c>
      <c r="C2913" s="2" t="s">
        <v>593</v>
      </c>
      <c r="D2913" s="2" t="str">
        <f t="shared" si="44"/>
        <v>Error?</v>
      </c>
    </row>
    <row r="2914" spans="1:4" x14ac:dyDescent="0.2">
      <c r="A2914" s="5">
        <v>2853</v>
      </c>
      <c r="B2914" s="138">
        <f>'Assets-Liab 5-6'!L33</f>
        <v>129852</v>
      </c>
      <c r="D2914" s="2" t="str">
        <f t="shared" si="44"/>
        <v>Error?</v>
      </c>
    </row>
    <row r="2915" spans="1:4" x14ac:dyDescent="0.2">
      <c r="A2915" s="10">
        <v>2854</v>
      </c>
      <c r="D2915" s="2" t="str">
        <f t="shared" si="44"/>
        <v>OK</v>
      </c>
    </row>
    <row r="2916" spans="1:4" x14ac:dyDescent="0.2">
      <c r="A2916" s="5">
        <v>2855</v>
      </c>
      <c r="B2916" s="138">
        <f>'Assets-Liab 5-6'!L34</f>
        <v>129852</v>
      </c>
      <c r="C2916" s="2" t="s">
        <v>593</v>
      </c>
      <c r="D2916" s="2" t="str">
        <f t="shared" si="44"/>
        <v>Error?</v>
      </c>
    </row>
    <row r="2917" spans="1:4" x14ac:dyDescent="0.2">
      <c r="A2917" s="5">
        <v>2856</v>
      </c>
      <c r="B2917" s="138">
        <f>'Assets-Liab 5-6'!L41</f>
        <v>129852</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27000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27000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68662</v>
      </c>
      <c r="D3055" s="2" t="str">
        <f t="shared" si="46"/>
        <v>Error?</v>
      </c>
    </row>
    <row r="3056" spans="1:4" x14ac:dyDescent="0.2">
      <c r="A3056" s="5">
        <v>2995</v>
      </c>
      <c r="B3056" s="138">
        <f>'Expenditures 15-22'!D10</f>
        <v>25594</v>
      </c>
      <c r="D3056" s="2" t="str">
        <f t="shared" si="46"/>
        <v>Error?</v>
      </c>
    </row>
    <row r="3057" spans="1:4" x14ac:dyDescent="0.2">
      <c r="A3057" s="5">
        <v>2996</v>
      </c>
      <c r="B3057" s="138">
        <f>'Expenditures 15-22'!E10</f>
        <v>4648</v>
      </c>
      <c r="D3057" s="2" t="str">
        <f t="shared" si="46"/>
        <v>Error?</v>
      </c>
    </row>
    <row r="3058" spans="1:4" x14ac:dyDescent="0.2">
      <c r="A3058" s="5">
        <v>2997</v>
      </c>
      <c r="B3058" s="138">
        <f>'Expenditures 15-22'!F10</f>
        <v>82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98986</v>
      </c>
      <c r="C3062" s="2" t="s">
        <v>593</v>
      </c>
      <c r="D3062" s="2" t="str">
        <f t="shared" si="46"/>
        <v>Error?</v>
      </c>
    </row>
    <row r="3063" spans="1:4" x14ac:dyDescent="0.2">
      <c r="A3063" s="10">
        <v>3002</v>
      </c>
      <c r="D3063" s="2" t="str">
        <f t="shared" si="46"/>
        <v>OK</v>
      </c>
    </row>
    <row r="3064" spans="1:4" x14ac:dyDescent="0.2">
      <c r="A3064" s="5">
        <v>3003</v>
      </c>
      <c r="B3064" s="138">
        <f>'Expenditures 15-22'!D219</f>
        <v>1639</v>
      </c>
      <c r="D3064" s="2" t="str">
        <f t="shared" si="46"/>
        <v>Error?</v>
      </c>
    </row>
    <row r="3065" spans="1:4" x14ac:dyDescent="0.2">
      <c r="A3065" s="5">
        <v>3004</v>
      </c>
      <c r="B3065" s="138">
        <f>'Expenditures 15-22'!K219</f>
        <v>1639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383200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36002</v>
      </c>
      <c r="C3225" s="2" t="s">
        <v>593</v>
      </c>
      <c r="D3225" s="2" t="str">
        <f t="shared" si="49"/>
        <v>Error?</v>
      </c>
    </row>
    <row r="3226" spans="1:4" x14ac:dyDescent="0.2">
      <c r="A3226" s="5">
        <v>3165</v>
      </c>
      <c r="B3226" s="138">
        <f>'Acct Summary 7-8'!I8</f>
        <v>36002</v>
      </c>
      <c r="C3226" s="2" t="s">
        <v>593</v>
      </c>
      <c r="D3226" s="2" t="str">
        <f t="shared" si="49"/>
        <v>Error?</v>
      </c>
    </row>
    <row r="3227" spans="1:4" x14ac:dyDescent="0.2">
      <c r="A3227" s="5">
        <v>3166</v>
      </c>
      <c r="B3227" s="138">
        <f>'Acct Summary 7-8'!I20</f>
        <v>36002</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402314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8154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24035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34014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383200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383200</v>
      </c>
      <c r="C3277" s="2" t="s">
        <v>593</v>
      </c>
      <c r="D3277" s="2" t="str">
        <f t="shared" si="50"/>
        <v>Error?</v>
      </c>
    </row>
    <row r="3278" spans="1:4" x14ac:dyDescent="0.2">
      <c r="A3278" s="5">
        <v>3217</v>
      </c>
      <c r="B3278" s="138">
        <f>'Acct Summary 7-8'!E78</f>
        <v>416563</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10307193</v>
      </c>
      <c r="C3296" s="2" t="s">
        <v>593</v>
      </c>
      <c r="D3296" s="2" t="str">
        <f t="shared" si="50"/>
        <v>Error?</v>
      </c>
    </row>
    <row r="3297" spans="1:4" x14ac:dyDescent="0.2">
      <c r="A3297" s="5">
        <v>3236</v>
      </c>
      <c r="B3297" s="138">
        <f>'Acct Summary 7-8'!H75</f>
        <v>236244</v>
      </c>
      <c r="D3297" s="2" t="str">
        <f t="shared" si="50"/>
        <v>Error?</v>
      </c>
    </row>
    <row r="3298" spans="1:4" x14ac:dyDescent="0.2">
      <c r="A3298" s="5">
        <v>3237</v>
      </c>
      <c r="B3298" s="138">
        <f>'Acct Summary 7-8'!H76</f>
        <v>236244</v>
      </c>
      <c r="C3298" s="2" t="s">
        <v>593</v>
      </c>
      <c r="D3298" s="2" t="str">
        <f t="shared" si="50"/>
        <v>Error?</v>
      </c>
    </row>
    <row r="3299" spans="1:4" x14ac:dyDescent="0.2">
      <c r="A3299" s="5">
        <v>3238</v>
      </c>
      <c r="B3299" s="138">
        <f>'Acct Summary 7-8'!H77</f>
        <v>10070949</v>
      </c>
      <c r="C3299" s="2" t="s">
        <v>593</v>
      </c>
      <c r="D3299" s="2" t="str">
        <f t="shared" si="50"/>
        <v>Error?</v>
      </c>
    </row>
    <row r="3300" spans="1:4" x14ac:dyDescent="0.2">
      <c r="A3300" s="5">
        <v>3239</v>
      </c>
      <c r="B3300" s="138">
        <f>'Acct Summary 7-8'!H78</f>
        <v>8960244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7500</v>
      </c>
      <c r="C3318" s="2" t="s">
        <v>593</v>
      </c>
      <c r="D3318" s="2" t="str">
        <f t="shared" si="50"/>
        <v>Error?</v>
      </c>
    </row>
    <row r="3319" spans="1:4" x14ac:dyDescent="0.2">
      <c r="A3319" s="5">
        <v>3258</v>
      </c>
      <c r="B3319" s="138">
        <f>'Acct Summary 7-8'!I77</f>
        <v>-7500</v>
      </c>
      <c r="C3319" s="2" t="s">
        <v>593</v>
      </c>
      <c r="D3319" s="2" t="str">
        <f t="shared" si="50"/>
        <v>Error?</v>
      </c>
    </row>
    <row r="3320" spans="1:4" x14ac:dyDescent="0.2">
      <c r="A3320" s="5">
        <v>3259</v>
      </c>
      <c r="B3320" s="138">
        <f>'Acct Summary 7-8'!I78</f>
        <v>28502</v>
      </c>
      <c r="C3320" s="2" t="s">
        <v>593</v>
      </c>
      <c r="D3320" s="2" t="str">
        <f t="shared" si="50"/>
        <v>Error?</v>
      </c>
    </row>
    <row r="3321" spans="1:4" x14ac:dyDescent="0.2">
      <c r="A3321" s="5">
        <v>3260</v>
      </c>
      <c r="B3321" s="138">
        <f>'Acct Summary 7-8'!I79</f>
        <v>1549781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1578283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120540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30353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165596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19961</v>
      </c>
      <c r="D3387" s="2" t="str">
        <f t="shared" si="51"/>
        <v>Error?</v>
      </c>
    </row>
    <row r="3388" spans="1:4" x14ac:dyDescent="0.2">
      <c r="A3388" s="5">
        <v>3327</v>
      </c>
      <c r="B3388" s="138">
        <f>'Expenditures 15-22'!D217</f>
        <v>7267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19961</v>
      </c>
      <c r="C3390" s="2" t="s">
        <v>593</v>
      </c>
      <c r="D3390" s="2" t="str">
        <f t="shared" si="51"/>
        <v>Error?</v>
      </c>
    </row>
    <row r="3391" spans="1:4" x14ac:dyDescent="0.2">
      <c r="A3391" s="5">
        <v>3330</v>
      </c>
      <c r="B3391" s="138">
        <f>'Expenditures 15-22'!K217</f>
        <v>7267</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800477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205758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49892</v>
      </c>
      <c r="D3417" s="2" t="str">
        <f t="shared" si="52"/>
        <v>Error?</v>
      </c>
    </row>
    <row r="3418" spans="1:4" x14ac:dyDescent="0.2">
      <c r="A3418" s="10">
        <v>3357</v>
      </c>
      <c r="D3418" s="2" t="str">
        <f t="shared" si="52"/>
        <v>OK</v>
      </c>
    </row>
    <row r="3419" spans="1:4" x14ac:dyDescent="0.2">
      <c r="A3419" s="5">
        <v>3358</v>
      </c>
      <c r="B3419" s="138">
        <f>'Assets-Liab 5-6'!F4</f>
        <v>114081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126091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231686</v>
      </c>
      <c r="D3425" s="2" t="str">
        <f t="shared" si="52"/>
        <v>Error?</v>
      </c>
    </row>
    <row r="3426" spans="1:4" x14ac:dyDescent="0.2">
      <c r="A3426" s="10">
        <v>3365</v>
      </c>
      <c r="D3426" s="2" t="str">
        <f t="shared" si="52"/>
        <v>OK</v>
      </c>
    </row>
    <row r="3427" spans="1:4" x14ac:dyDescent="0.2">
      <c r="A3427" s="5">
        <v>3366</v>
      </c>
      <c r="B3427" s="138">
        <f>'Assets-Liab 5-6'!I4</f>
        <v>135478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117034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82372</v>
      </c>
      <c r="C3446" s="2" t="s">
        <v>593</v>
      </c>
      <c r="D3446" s="2" t="str">
        <f t="shared" si="52"/>
        <v>Error?</v>
      </c>
    </row>
    <row r="3447" spans="1:4" x14ac:dyDescent="0.2">
      <c r="A3447" s="5">
        <v>3386</v>
      </c>
      <c r="B3447" s="138">
        <f>'Tax Sched 23'!D16</f>
        <v>82372</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81206</v>
      </c>
      <c r="C3449" s="2" t="s">
        <v>593</v>
      </c>
      <c r="D3449" s="2" t="str">
        <f t="shared" si="52"/>
        <v>Error?</v>
      </c>
    </row>
    <row r="3450" spans="1:4" x14ac:dyDescent="0.2">
      <c r="A3450" s="5">
        <v>3389</v>
      </c>
      <c r="B3450" s="138">
        <f>'Tax Sched 23'!E16</f>
        <v>81206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1063365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1063365</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1063365</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65663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65663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65663</v>
      </c>
      <c r="D3567" s="2" t="str">
        <f t="shared" si="54"/>
        <v>Error?</v>
      </c>
    </row>
    <row r="3568" spans="1:4" x14ac:dyDescent="0.2">
      <c r="A3568" s="5">
        <v>3507</v>
      </c>
      <c r="B3568" s="138">
        <f>'Assets-Liab 5-6'!K41</f>
        <v>65663</v>
      </c>
      <c r="C3568" s="2" t="s">
        <v>593</v>
      </c>
      <c r="D3568" s="2" t="str">
        <f t="shared" si="54"/>
        <v>Error?</v>
      </c>
    </row>
    <row r="3569" spans="1:4" x14ac:dyDescent="0.2">
      <c r="A3569" s="5">
        <v>3508</v>
      </c>
      <c r="B3569" s="138">
        <f>'Acct Summary 7-8'!K4</f>
        <v>36002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36002</v>
      </c>
      <c r="C3571" s="2" t="s">
        <v>593</v>
      </c>
      <c r="D3571" s="2" t="str">
        <f t="shared" si="54"/>
        <v>Error?</v>
      </c>
    </row>
    <row r="3572" spans="1:4" x14ac:dyDescent="0.2">
      <c r="A3572" s="5">
        <v>3511</v>
      </c>
      <c r="B3572" s="138">
        <f>'Acct Summary 7-8'!K13</f>
        <v>741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741</v>
      </c>
      <c r="C3575" s="2" t="s">
        <v>593</v>
      </c>
      <c r="D3575" s="2" t="str">
        <f t="shared" si="54"/>
        <v>Error?</v>
      </c>
    </row>
    <row r="3576" spans="1:4" x14ac:dyDescent="0.2">
      <c r="A3576" s="5">
        <v>3515</v>
      </c>
      <c r="B3576" s="138">
        <f>'Acct Summary 7-8'!K20</f>
        <v>35261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35261</v>
      </c>
      <c r="C3588" s="2" t="s">
        <v>593</v>
      </c>
      <c r="D3588" s="2" t="str">
        <f t="shared" si="55"/>
        <v>Error?</v>
      </c>
    </row>
    <row r="3589" spans="1:4" x14ac:dyDescent="0.2">
      <c r="A3589" s="5">
        <v>3528</v>
      </c>
      <c r="B3589" s="138">
        <f>'Acct Summary 7-8'!K79</f>
        <v>30402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65663</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741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741</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741</v>
      </c>
      <c r="C3635" s="2" t="s">
        <v>593</v>
      </c>
      <c r="D3635" s="2" t="str">
        <f t="shared" si="55"/>
        <v>Error?</v>
      </c>
    </row>
    <row r="3636" spans="1:4" x14ac:dyDescent="0.2">
      <c r="A3636" s="5">
        <v>3575</v>
      </c>
      <c r="B3636" s="138">
        <f>'Expenditures 15-22'!E367</f>
        <v>741</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741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741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741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741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35261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35904</v>
      </c>
      <c r="C3725" s="2" t="s">
        <v>593</v>
      </c>
      <c r="D3725" s="2" t="str">
        <f t="shared" si="57"/>
        <v>Error?</v>
      </c>
    </row>
    <row r="3726" spans="1:4" x14ac:dyDescent="0.2">
      <c r="A3726" s="5">
        <v>3665</v>
      </c>
      <c r="B3726" s="138">
        <f>'Tax Sched 23'!D13</f>
        <v>35904</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36609</v>
      </c>
      <c r="C3728" s="2" t="s">
        <v>593</v>
      </c>
      <c r="D3728" s="2" t="str">
        <f t="shared" si="57"/>
        <v>Error?</v>
      </c>
    </row>
    <row r="3729" spans="1:4" x14ac:dyDescent="0.2">
      <c r="A3729" s="5">
        <v>3668</v>
      </c>
      <c r="B3729" s="138">
        <f>'Tax Sched 23'!E13</f>
        <v>36609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1721224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5713914</v>
      </c>
      <c r="C4122" s="2" t="s">
        <v>593</v>
      </c>
      <c r="D4122" s="2" t="str">
        <f t="shared" si="63"/>
        <v>Error?</v>
      </c>
    </row>
    <row r="4123" spans="1:4" x14ac:dyDescent="0.2">
      <c r="A4123" s="5">
        <v>4062</v>
      </c>
      <c r="B4123" s="138">
        <f>'Acct Summary 7-8'!D10</f>
        <v>428841</v>
      </c>
      <c r="C4123" s="2" t="s">
        <v>593</v>
      </c>
      <c r="D4123" s="2" t="str">
        <f t="shared" si="63"/>
        <v>Error?</v>
      </c>
    </row>
    <row r="4124" spans="1:4" x14ac:dyDescent="0.2">
      <c r="A4124" s="5">
        <v>4063</v>
      </c>
      <c r="B4124" s="138">
        <f>'Acct Summary 7-8'!E10</f>
        <v>484089</v>
      </c>
      <c r="C4124" s="2" t="s">
        <v>593</v>
      </c>
      <c r="D4124" s="2" t="str">
        <f t="shared" si="63"/>
        <v>Error?</v>
      </c>
    </row>
    <row r="4125" spans="1:4" x14ac:dyDescent="0.2">
      <c r="A4125" s="5">
        <v>4064</v>
      </c>
      <c r="B4125" s="138">
        <f>'Acct Summary 7-8'!F10</f>
        <v>420442</v>
      </c>
      <c r="C4125" s="2" t="s">
        <v>593</v>
      </c>
      <c r="D4125" s="2" t="str">
        <f t="shared" si="63"/>
        <v>Error?</v>
      </c>
    </row>
    <row r="4126" spans="1:4" x14ac:dyDescent="0.2">
      <c r="A4126" s="5">
        <v>4065</v>
      </c>
      <c r="B4126" s="138">
        <f>'Acct Summary 7-8'!G10</f>
        <v>142048</v>
      </c>
      <c r="C4126" s="2" t="s">
        <v>593</v>
      </c>
      <c r="D4126" s="2" t="str">
        <f t="shared" si="63"/>
        <v>Error?</v>
      </c>
    </row>
    <row r="4127" spans="1:4" x14ac:dyDescent="0.2">
      <c r="A4127" s="5">
        <v>4066</v>
      </c>
      <c r="B4127" s="138">
        <f>'Acct Summary 7-8'!H10</f>
        <v>80837</v>
      </c>
      <c r="C4127" s="2" t="s">
        <v>593</v>
      </c>
      <c r="D4127" s="2" t="str">
        <f t="shared" si="63"/>
        <v>Error?</v>
      </c>
    </row>
    <row r="4128" spans="1:4" x14ac:dyDescent="0.2">
      <c r="A4128" s="5">
        <v>4067</v>
      </c>
      <c r="B4128" s="138">
        <f>'Acct Summary 7-8'!I10</f>
        <v>36002</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36002</v>
      </c>
      <c r="C4130" s="2" t="s">
        <v>593</v>
      </c>
      <c r="D4130" s="2" t="str">
        <f t="shared" si="63"/>
        <v>Error?</v>
      </c>
    </row>
    <row r="4131" spans="1:4" x14ac:dyDescent="0.2">
      <c r="A4131" s="5">
        <v>4070</v>
      </c>
      <c r="B4131" s="138">
        <f>'Acct Summary 7-8'!C18</f>
        <v>1721224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5311600</v>
      </c>
      <c r="C4136" s="2" t="s">
        <v>593</v>
      </c>
      <c r="D4136" s="2" t="str">
        <f t="shared" si="63"/>
        <v>Error?</v>
      </c>
    </row>
    <row r="4137" spans="1:4" x14ac:dyDescent="0.2">
      <c r="A4137" s="5">
        <v>4076</v>
      </c>
      <c r="B4137" s="138">
        <f>'Acct Summary 7-8'!D19</f>
        <v>420687</v>
      </c>
      <c r="C4137" s="2" t="s">
        <v>593</v>
      </c>
      <c r="D4137" s="2" t="str">
        <f t="shared" si="63"/>
        <v>Error?</v>
      </c>
    </row>
    <row r="4138" spans="1:4" x14ac:dyDescent="0.2">
      <c r="A4138" s="5">
        <v>4077</v>
      </c>
      <c r="B4138" s="138">
        <f>'Acct Summary 7-8'!E19</f>
        <v>450726</v>
      </c>
      <c r="C4138" s="2" t="s">
        <v>593</v>
      </c>
      <c r="D4138" s="2" t="str">
        <f t="shared" si="63"/>
        <v>Error?</v>
      </c>
    </row>
    <row r="4139" spans="1:4" x14ac:dyDescent="0.2">
      <c r="A4139" s="5">
        <v>4078</v>
      </c>
      <c r="B4139" s="138">
        <f>'Acct Summary 7-8'!F19</f>
        <v>396407</v>
      </c>
      <c r="C4139" s="2" t="s">
        <v>593</v>
      </c>
      <c r="D4139" s="2" t="str">
        <f t="shared" si="63"/>
        <v>Error?</v>
      </c>
    </row>
    <row r="4140" spans="1:4" x14ac:dyDescent="0.2">
      <c r="A4140" s="5">
        <v>4079</v>
      </c>
      <c r="B4140" s="138">
        <f>'Acct Summary 7-8'!G19</f>
        <v>108034</v>
      </c>
      <c r="C4140" s="2" t="s">
        <v>593</v>
      </c>
      <c r="D4140" s="2" t="str">
        <f t="shared" si="63"/>
        <v>Error?</v>
      </c>
    </row>
    <row r="4141" spans="1:4" x14ac:dyDescent="0.2">
      <c r="A4141" s="5">
        <v>4080</v>
      </c>
      <c r="B4141" s="138">
        <f>'Acct Summary 7-8'!H19</f>
        <v>1191542</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741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12283500</v>
      </c>
      <c r="C4171" s="2" t="s">
        <v>593</v>
      </c>
      <c r="D4171" s="2" t="str">
        <f t="shared" si="64"/>
        <v>Error?</v>
      </c>
    </row>
    <row r="4172" spans="1:4" x14ac:dyDescent="0.2">
      <c r="A4172" s="5">
        <v>4111</v>
      </c>
      <c r="B4172" s="138">
        <f>'Short-Term Long-Term Debt 24'!J49</f>
        <v>11750408</v>
      </c>
      <c r="C4172" s="2" t="s">
        <v>593</v>
      </c>
      <c r="D4172" s="2" t="str">
        <f t="shared" si="64"/>
        <v>Error?</v>
      </c>
    </row>
    <row r="4173" spans="1:4" x14ac:dyDescent="0.2">
      <c r="A4173" s="5">
        <v>4112</v>
      </c>
      <c r="B4173" s="138">
        <f>'Short-Term Long-Term Debt 24'!H49</f>
        <v>433600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3200</v>
      </c>
      <c r="C4268" s="2" t="s">
        <v>593</v>
      </c>
      <c r="D4268" s="2" t="str">
        <f t="shared" si="65"/>
        <v>Error?</v>
      </c>
    </row>
    <row r="4269" spans="1:5" x14ac:dyDescent="0.2">
      <c r="A4269" s="12">
        <v>4208</v>
      </c>
      <c r="B4269" s="138">
        <f>'FP Info 3'!J16</f>
        <v>2699554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5460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14596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7242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71430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78355473</v>
      </c>
      <c r="D4995" s="2" t="str">
        <f t="shared" si="77"/>
        <v>Error?</v>
      </c>
    </row>
    <row r="4996" spans="1:4" x14ac:dyDescent="0.2">
      <c r="A4996" s="12">
        <v>4935</v>
      </c>
      <c r="B4996" s="138">
        <f>'FP Info 3'!H31</f>
        <v>10813055.274</v>
      </c>
      <c r="D4996" s="2" t="str">
        <f t="shared" si="77"/>
        <v>Error?</v>
      </c>
    </row>
    <row r="4997" spans="1:4" x14ac:dyDescent="0.2">
      <c r="A4997" s="12">
        <v>4936</v>
      </c>
      <c r="B4997" s="138">
        <f>'FP Info 3'!H37</f>
        <v>12283500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1795324</v>
      </c>
      <c r="D5061" s="2" t="str">
        <f t="shared" si="78"/>
        <v>Error?</v>
      </c>
    </row>
    <row r="5062" spans="1:4" x14ac:dyDescent="0.2">
      <c r="A5062" s="10">
        <v>5001</v>
      </c>
      <c r="D5062" s="2" t="str">
        <f t="shared" si="78"/>
        <v>OK</v>
      </c>
    </row>
    <row r="5063" spans="1:4" x14ac:dyDescent="0.2">
      <c r="A5063" s="5">
        <v>5002</v>
      </c>
      <c r="B5063" s="138">
        <f>'Revenues 9-14'!C7</f>
        <v>28724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1824048</v>
      </c>
      <c r="C5066" s="2" t="s">
        <v>593</v>
      </c>
      <c r="D5066" s="2" t="str">
        <f t="shared" si="78"/>
        <v>Error?</v>
      </c>
    </row>
    <row r="5067" spans="1:4" x14ac:dyDescent="0.2">
      <c r="A5067" s="5">
        <v>5006</v>
      </c>
      <c r="B5067" s="138">
        <f>'Revenues 9-14'!C14</f>
        <v>492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73500</v>
      </c>
      <c r="D5069" s="2" t="str">
        <f t="shared" si="78"/>
        <v>Error?</v>
      </c>
    </row>
    <row r="5070" spans="1:4" x14ac:dyDescent="0.2">
      <c r="A5070" s="5">
        <v>5009</v>
      </c>
      <c r="B5070" s="138">
        <f>'Revenues 9-14'!C17</f>
        <v>5003</v>
      </c>
      <c r="D5070" s="2" t="str">
        <f t="shared" si="78"/>
        <v>Error?</v>
      </c>
    </row>
    <row r="5071" spans="1:4" x14ac:dyDescent="0.2">
      <c r="A5071" s="5">
        <v>5010</v>
      </c>
      <c r="B5071" s="138">
        <f>'Revenues 9-14'!C18</f>
        <v>78995</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2274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2274</v>
      </c>
      <c r="C5090" s="2" t="s">
        <v>593</v>
      </c>
      <c r="D5090" s="2" t="str">
        <f t="shared" si="78"/>
        <v>Error?</v>
      </c>
    </row>
    <row r="5091" spans="1:4" x14ac:dyDescent="0.2">
      <c r="A5091" s="5">
        <v>5030</v>
      </c>
      <c r="B5091" s="138">
        <f>'Revenues 9-14'!C70</f>
        <v>3967</v>
      </c>
      <c r="D5091" s="2" t="str">
        <f t="shared" si="78"/>
        <v>Error?</v>
      </c>
    </row>
    <row r="5092" spans="1:4" x14ac:dyDescent="0.2">
      <c r="A5092" s="5">
        <v>5031</v>
      </c>
      <c r="B5092" s="138">
        <f>'Revenues 9-14'!C71</f>
        <v>24274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1466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97888</v>
      </c>
      <c r="C5096" s="2" t="s">
        <v>593</v>
      </c>
      <c r="D5096" s="2" t="str">
        <f t="shared" si="78"/>
        <v>Error?</v>
      </c>
    </row>
    <row r="5097" spans="1:4" x14ac:dyDescent="0.2">
      <c r="A5097" s="5">
        <v>5036</v>
      </c>
      <c r="B5097" s="138">
        <f>'Revenues 9-14'!C77</f>
        <v>17693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22858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40551</v>
      </c>
      <c r="C5102" s="2" t="s">
        <v>593</v>
      </c>
      <c r="D5102" s="2" t="str">
        <f t="shared" si="78"/>
        <v>Error?</v>
      </c>
    </row>
    <row r="5103" spans="1:4" x14ac:dyDescent="0.2">
      <c r="A5103" s="5">
        <v>5042</v>
      </c>
      <c r="B5103" s="138">
        <f>'Revenues 9-14'!C84</f>
        <v>24771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24771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33623</v>
      </c>
      <c r="D5114" s="2" t="str">
        <f t="shared" si="78"/>
        <v>Error?</v>
      </c>
    </row>
    <row r="5115" spans="1:4" x14ac:dyDescent="0.2">
      <c r="A5115" s="5">
        <v>5054</v>
      </c>
      <c r="B5115" s="138">
        <f>'Revenues 9-14'!C98</f>
        <v>50517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22900</v>
      </c>
      <c r="D5119" s="2" t="str">
        <f t="shared" ref="D5119:D5182" si="79">IF(ISBLANK(B5119),"OK",IF(A5119-B5119=0,"OK","Error?"))</f>
        <v>Error?</v>
      </c>
    </row>
    <row r="5120" spans="1:4" x14ac:dyDescent="0.2">
      <c r="A5120" s="5">
        <v>5059</v>
      </c>
      <c r="B5120" s="138">
        <f>'Revenues 9-14'!C108</f>
        <v>111565</v>
      </c>
      <c r="C5120" s="2" t="s">
        <v>593</v>
      </c>
      <c r="D5120" s="2" t="str">
        <f t="shared" si="79"/>
        <v>Error?</v>
      </c>
    </row>
    <row r="5121" spans="1:4" x14ac:dyDescent="0.2">
      <c r="A5121" s="5">
        <v>5060</v>
      </c>
      <c r="B5121" s="138">
        <f>'Revenues 9-14'!C109</f>
        <v>2180092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1303953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1303953</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35199</v>
      </c>
      <c r="D5134" s="2" t="str">
        <f t="shared" si="79"/>
        <v>Error?</v>
      </c>
    </row>
    <row r="5135" spans="1:4" x14ac:dyDescent="0.2">
      <c r="A5135" s="5">
        <v>5074</v>
      </c>
      <c r="B5135" s="138">
        <f>'Revenues 9-14'!C126</f>
        <v>8598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43797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3074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3074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1480</v>
      </c>
      <c r="D5167" s="2" t="str">
        <f t="shared" si="79"/>
        <v>Error?</v>
      </c>
    </row>
    <row r="5168" spans="1:4" x14ac:dyDescent="0.2">
      <c r="A5168" s="5">
        <v>5107</v>
      </c>
      <c r="B5168" s="138">
        <f>'Revenues 9-14'!C147</f>
        <v>7533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63126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1367079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83710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21677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105387</v>
      </c>
      <c r="C5246" s="2" t="s">
        <v>593</v>
      </c>
      <c r="D5246" s="2" t="str">
        <f t="shared" si="80"/>
        <v>Error?</v>
      </c>
    </row>
    <row r="5247" spans="1:4" x14ac:dyDescent="0.2">
      <c r="A5247" s="5">
        <v>5186</v>
      </c>
      <c r="B5247" s="138">
        <f>'Revenues 9-14'!C203</f>
        <v>119698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119698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118948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118948</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445519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445519</v>
      </c>
      <c r="C5326" s="2" t="s">
        <v>593</v>
      </c>
      <c r="D5326" s="2" t="str">
        <f t="shared" si="82"/>
        <v>Error?</v>
      </c>
    </row>
    <row r="5327" spans="1:4" x14ac:dyDescent="0.2">
      <c r="A5327" s="5">
        <v>5266</v>
      </c>
      <c r="B5327" s="138">
        <f>'Revenues 9-14'!C275</f>
        <v>3992690</v>
      </c>
      <c r="C5327" s="2" t="s">
        <v>593</v>
      </c>
      <c r="D5327" s="2" t="str">
        <f t="shared" si="82"/>
        <v>Error?</v>
      </c>
    </row>
    <row r="5328" spans="1:4" x14ac:dyDescent="0.2">
      <c r="A5328" s="5">
        <v>5267</v>
      </c>
      <c r="B5328" s="138">
        <f>'Revenues 9-14'!D5</f>
        <v>359044</v>
      </c>
      <c r="D5328" s="2" t="str">
        <f t="shared" si="82"/>
        <v>Error?</v>
      </c>
    </row>
    <row r="5329" spans="1:4" x14ac:dyDescent="0.2">
      <c r="A5329" s="10">
        <v>5268</v>
      </c>
      <c r="D5329" s="2" t="str">
        <f t="shared" si="82"/>
        <v>OK</v>
      </c>
    </row>
    <row r="5330" spans="1:4" x14ac:dyDescent="0.2">
      <c r="A5330" s="5">
        <v>5269</v>
      </c>
      <c r="B5330" s="138">
        <f>'Revenues 9-14'!D6</f>
        <v>35904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394948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1083</v>
      </c>
      <c r="D5338" s="2" t="str">
        <f t="shared" si="82"/>
        <v>Error?</v>
      </c>
    </row>
    <row r="5339" spans="1:4" x14ac:dyDescent="0.2">
      <c r="A5339" s="5">
        <v>5278</v>
      </c>
      <c r="B5339" s="138">
        <f>'Revenues 9-14'!D18</f>
        <v>1083</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1340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1470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2810</v>
      </c>
      <c r="C5355" s="2" t="s">
        <v>593</v>
      </c>
      <c r="D5355" s="2" t="str">
        <f t="shared" si="82"/>
        <v>Error?</v>
      </c>
    </row>
    <row r="5356" spans="1:4" x14ac:dyDescent="0.2">
      <c r="A5356" s="5">
        <v>5295</v>
      </c>
      <c r="B5356" s="138">
        <f>'Revenues 9-14'!D109</f>
        <v>398841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428841</v>
      </c>
      <c r="C5508" s="2" t="s">
        <v>593</v>
      </c>
      <c r="D5508" s="2" t="str">
        <f t="shared" si="85"/>
        <v>Error?</v>
      </c>
    </row>
    <row r="5509" spans="1:4" x14ac:dyDescent="0.2">
      <c r="A5509" s="5">
        <v>5448</v>
      </c>
      <c r="B5509" s="138">
        <f>'Revenues 9-14'!E5</f>
        <v>376103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376103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1040</v>
      </c>
      <c r="D5517" s="2" t="str">
        <f t="shared" si="85"/>
        <v>Error?</v>
      </c>
    </row>
    <row r="5518" spans="1:4" x14ac:dyDescent="0.2">
      <c r="A5518" s="5">
        <v>5457</v>
      </c>
      <c r="B5518" s="138">
        <f>'Revenues 9-14'!E18</f>
        <v>1040</v>
      </c>
      <c r="C5518" s="2" t="s">
        <v>593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106946</v>
      </c>
      <c r="C5526" s="2" t="s">
        <v>593</v>
      </c>
      <c r="D5526" s="2" t="str">
        <f t="shared" si="85"/>
        <v>Error?</v>
      </c>
    </row>
    <row r="5527" spans="1:4" x14ac:dyDescent="0.2">
      <c r="A5527" s="5">
        <v>5466</v>
      </c>
      <c r="B5527" s="138">
        <f>'Revenues 9-14'!E109</f>
        <v>484089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484089</v>
      </c>
      <c r="C5552" s="2" t="s">
        <v>593</v>
      </c>
      <c r="D5552" s="2" t="str">
        <f t="shared" si="85"/>
        <v>Error?</v>
      </c>
    </row>
    <row r="5553" spans="1:4" x14ac:dyDescent="0.2">
      <c r="A5553" s="5">
        <v>5492</v>
      </c>
      <c r="B5553" s="138">
        <f>'Revenues 9-14'!F5</f>
        <v>143617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143617</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394</v>
      </c>
      <c r="D5561" s="2" t="str">
        <f t="shared" si="85"/>
        <v>Error?</v>
      </c>
    </row>
    <row r="5562" spans="1:4" x14ac:dyDescent="0.2">
      <c r="A5562" s="5">
        <v>5501</v>
      </c>
      <c r="B5562" s="138">
        <f>'Revenues 9-14'!F18</f>
        <v>394</v>
      </c>
      <c r="C5562" s="2" t="s">
        <v>593</v>
      </c>
      <c r="D5562" s="2" t="str">
        <f t="shared" si="85"/>
        <v>Error?</v>
      </c>
    </row>
    <row r="5563" spans="1:4" x14ac:dyDescent="0.2">
      <c r="A5563" s="5">
        <v>5502</v>
      </c>
      <c r="B5563" s="138">
        <f>'Revenues 9-14'!F42</f>
        <v>442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442</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23776</v>
      </c>
      <c r="D5586" s="2" t="str">
        <f t="shared" si="86"/>
        <v>Error?</v>
      </c>
    </row>
    <row r="5587" spans="1:4" x14ac:dyDescent="0.2">
      <c r="A5587" s="5">
        <v>5526</v>
      </c>
      <c r="B5587" s="138">
        <f>'Revenues 9-14'!F108</f>
        <v>23776</v>
      </c>
      <c r="C5587" s="2" t="s">
        <v>593</v>
      </c>
      <c r="D5587" s="2" t="str">
        <f t="shared" si="86"/>
        <v>Error?</v>
      </c>
    </row>
    <row r="5588" spans="1:4" x14ac:dyDescent="0.2">
      <c r="A5588" s="5">
        <v>5527</v>
      </c>
      <c r="B5588" s="138">
        <f>'Revenues 9-14'!F109</f>
        <v>168229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197158</v>
      </c>
      <c r="D5615" s="2" t="str">
        <f t="shared" si="86"/>
        <v>Error?</v>
      </c>
    </row>
    <row r="5616" spans="1:4" x14ac:dyDescent="0.2">
      <c r="A5616" s="10">
        <v>5555</v>
      </c>
      <c r="D5616" s="2" t="str">
        <f t="shared" si="86"/>
        <v>OK</v>
      </c>
    </row>
    <row r="5617" spans="1:4" x14ac:dyDescent="0.2">
      <c r="A5617" s="5">
        <v>5556</v>
      </c>
      <c r="B5617" s="138">
        <f>'Revenues 9-14'!F152</f>
        <v>55055</v>
      </c>
      <c r="D5617" s="2" t="str">
        <f t="shared" si="86"/>
        <v>Error?</v>
      </c>
    </row>
    <row r="5618" spans="1:4" x14ac:dyDescent="0.2">
      <c r="A5618" s="5">
        <v>5557</v>
      </c>
      <c r="B5618" s="138">
        <f>'Revenues 9-14'!F154</f>
        <v>252213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252213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252213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420442</v>
      </c>
      <c r="C5720" s="2" t="s">
        <v>593</v>
      </c>
      <c r="D5720" s="2" t="str">
        <f t="shared" si="88"/>
        <v>Error?</v>
      </c>
    </row>
    <row r="5721" spans="1:4" x14ac:dyDescent="0.2">
      <c r="A5721" s="5">
        <v>5660</v>
      </c>
      <c r="B5721" s="138">
        <f>'Revenues 9-14'!G5</f>
        <v>59199</v>
      </c>
      <c r="D5721" s="2" t="str">
        <f t="shared" si="88"/>
        <v>Error?</v>
      </c>
    </row>
    <row r="5722" spans="1:4" x14ac:dyDescent="0.2">
      <c r="A5722" s="5">
        <v>5661</v>
      </c>
      <c r="B5722" s="138">
        <f>'Revenues 9-14'!G7</f>
        <v>0</v>
      </c>
      <c r="D5722" s="2" t="str">
        <f t="shared" si="88"/>
        <v>Error?</v>
      </c>
    </row>
    <row r="5723" spans="1:4" x14ac:dyDescent="0.2">
      <c r="A5723" s="5">
        <v>5662</v>
      </c>
      <c r="B5723" s="138">
        <f>'Revenues 9-14'!G8</f>
        <v>82372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141571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477</v>
      </c>
      <c r="D5729" s="2" t="str">
        <f t="shared" si="88"/>
        <v>Error?</v>
      </c>
    </row>
    <row r="5730" spans="1:4" x14ac:dyDescent="0.2">
      <c r="A5730" s="5">
        <v>5669</v>
      </c>
      <c r="B5730" s="138">
        <f>'Revenues 9-14'!G18</f>
        <v>477</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142048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23168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23168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1520</v>
      </c>
      <c r="D5885" s="2" t="str">
        <f t="shared" si="90"/>
        <v>Error?</v>
      </c>
    </row>
    <row r="5886" spans="1:4" x14ac:dyDescent="0.2">
      <c r="A5886" s="5">
        <v>5825</v>
      </c>
      <c r="B5886" s="138">
        <f>'Revenues 9-14'!H108</f>
        <v>57669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80837</v>
      </c>
      <c r="C5915" s="2" t="s">
        <v>593</v>
      </c>
      <c r="D5915" s="2" t="str">
        <f t="shared" si="91"/>
        <v>Error?</v>
      </c>
    </row>
    <row r="5916" spans="1:4" x14ac:dyDescent="0.2">
      <c r="A5916" s="5">
        <v>5855</v>
      </c>
      <c r="B5916" s="138">
        <f>'Revenues 9-14'!I5</f>
        <v>35904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35904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98</v>
      </c>
      <c r="D5922" s="2" t="str">
        <f t="shared" si="91"/>
        <v>Error?</v>
      </c>
    </row>
    <row r="5923" spans="1:4" x14ac:dyDescent="0.2">
      <c r="A5923" s="5">
        <v>5862</v>
      </c>
      <c r="B5923" s="138">
        <f>'Revenues 9-14'!I18</f>
        <v>98</v>
      </c>
      <c r="C5923" s="2" t="s">
        <v>593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36002</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35904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35904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98</v>
      </c>
      <c r="D5991" s="2" t="str">
        <f t="shared" si="92"/>
        <v>Error?</v>
      </c>
    </row>
    <row r="5992" spans="1:4" x14ac:dyDescent="0.2">
      <c r="A5992" s="5">
        <v>5931</v>
      </c>
      <c r="B5992" s="138">
        <f>'Revenues 9-14'!K18</f>
        <v>98</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36002</v>
      </c>
      <c r="C6023" s="2" t="s">
        <v>593</v>
      </c>
      <c r="D6023" s="2" t="str">
        <f t="shared" si="93"/>
        <v>Error?</v>
      </c>
    </row>
    <row r="6024" spans="1:5" x14ac:dyDescent="0.2">
      <c r="A6024" s="5">
        <v>5963</v>
      </c>
      <c r="B6024" s="138">
        <f>'Revenues 9-14'!G109</f>
        <v>142048</v>
      </c>
      <c r="C6024" s="2" t="s">
        <v>593</v>
      </c>
      <c r="D6024" s="2" t="str">
        <f t="shared" si="93"/>
        <v>Error?</v>
      </c>
    </row>
    <row r="6025" spans="1:5" x14ac:dyDescent="0.2">
      <c r="A6025" s="5">
        <v>5964</v>
      </c>
      <c r="B6025" s="138">
        <f>'Revenues 9-14'!H109</f>
        <v>80837</v>
      </c>
      <c r="C6025" s="2" t="s">
        <v>593</v>
      </c>
      <c r="D6025" s="2" t="str">
        <f t="shared" si="93"/>
        <v>Error?</v>
      </c>
    </row>
    <row r="6026" spans="1:5" x14ac:dyDescent="0.2">
      <c r="A6026" s="5">
        <v>5965</v>
      </c>
      <c r="B6026" s="138">
        <f>'Revenues 9-14'!I109</f>
        <v>36002</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36002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68181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20603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437.52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7500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185225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7500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185225</v>
      </c>
      <c r="D6215" s="2" t="str">
        <f t="shared" si="96"/>
        <v>Error?</v>
      </c>
      <c r="E6215" s="2" t="s">
        <v>199</v>
      </c>
    </row>
    <row r="6216" spans="1:5" x14ac:dyDescent="0.2">
      <c r="A6216">
        <v>6155</v>
      </c>
      <c r="B6216" s="138">
        <f>'Assets-Liab 5-6'!J41</f>
        <v>185225</v>
      </c>
      <c r="D6216" s="2" t="str">
        <f t="shared" si="96"/>
        <v>Error?</v>
      </c>
      <c r="E6216" s="2" t="s">
        <v>199</v>
      </c>
    </row>
    <row r="6217" spans="1:5" x14ac:dyDescent="0.2">
      <c r="A6217">
        <v>6156</v>
      </c>
      <c r="B6217" s="138">
        <f>'Assets-Liab 5-6'!J4</f>
        <v>135225</v>
      </c>
      <c r="D6217" s="2" t="str">
        <f t="shared" si="96"/>
        <v>Error?</v>
      </c>
      <c r="E6217" s="2" t="s">
        <v>199</v>
      </c>
    </row>
    <row r="6218" spans="1:5" x14ac:dyDescent="0.2">
      <c r="A6218">
        <v>6157</v>
      </c>
      <c r="B6218" s="138">
        <f>'Assets-Liab 5-6'!J5</f>
        <v>50000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201613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201613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201613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159572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159572</v>
      </c>
      <c r="D6229" s="2" t="str">
        <f t="shared" si="96"/>
        <v>Error?</v>
      </c>
      <c r="E6229" s="2" t="s">
        <v>199</v>
      </c>
    </row>
    <row r="6230" spans="1:5" x14ac:dyDescent="0.2">
      <c r="A6230">
        <v>6169</v>
      </c>
      <c r="B6230" s="138">
        <f>'Acct Summary 7-8'!J20</f>
        <v>42041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7500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42041</v>
      </c>
      <c r="D6263" s="2" t="str">
        <f t="shared" si="96"/>
        <v>Error?</v>
      </c>
      <c r="E6263" s="2" t="s">
        <v>199</v>
      </c>
    </row>
    <row r="6264" spans="1:5" x14ac:dyDescent="0.2">
      <c r="A6264">
        <v>6203</v>
      </c>
      <c r="B6264" s="138">
        <f>'Acct Summary 7-8'!J79</f>
        <v>143184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185225</v>
      </c>
      <c r="D6266" s="2" t="str">
        <f t="shared" si="96"/>
        <v>Error?</v>
      </c>
      <c r="E6266" s="2" t="s">
        <v>199</v>
      </c>
    </row>
    <row r="6267" spans="1:5" x14ac:dyDescent="0.2">
      <c r="A6267">
        <v>6206</v>
      </c>
      <c r="B6267" s="138">
        <f>'Acct Summary 7-8'!C82</f>
        <v>402314</v>
      </c>
      <c r="D6267" s="2" t="str">
        <f t="shared" si="96"/>
        <v>Error?</v>
      </c>
      <c r="E6267" s="2" t="s">
        <v>199</v>
      </c>
    </row>
    <row r="6268" spans="1:5" x14ac:dyDescent="0.2">
      <c r="A6268">
        <v>6207</v>
      </c>
      <c r="B6268" s="138">
        <f>'Acct Summary 7-8'!D82</f>
        <v>8154</v>
      </c>
      <c r="D6268" s="2" t="str">
        <f t="shared" si="96"/>
        <v>Error?</v>
      </c>
      <c r="E6268" s="2" t="s">
        <v>199</v>
      </c>
    </row>
    <row r="6269" spans="1:5" x14ac:dyDescent="0.2">
      <c r="A6269">
        <v>6208</v>
      </c>
      <c r="B6269" s="138">
        <f>'Acct Summary 7-8'!E82</f>
        <v>416563</v>
      </c>
      <c r="D6269" s="2" t="str">
        <f t="shared" si="96"/>
        <v>Error?</v>
      </c>
      <c r="E6269" s="2" t="s">
        <v>199</v>
      </c>
    </row>
    <row r="6270" spans="1:5" x14ac:dyDescent="0.2">
      <c r="A6270">
        <v>6209</v>
      </c>
      <c r="B6270" s="138">
        <f>'Acct Summary 7-8'!F82</f>
        <v>24035</v>
      </c>
      <c r="D6270" s="2" t="str">
        <f t="shared" si="96"/>
        <v>Error?</v>
      </c>
      <c r="E6270" s="2" t="s">
        <v>199</v>
      </c>
    </row>
    <row r="6271" spans="1:5" x14ac:dyDescent="0.2">
      <c r="A6271">
        <v>6210</v>
      </c>
      <c r="B6271" s="138">
        <f>'Acct Summary 7-8'!G82</f>
        <v>34014</v>
      </c>
      <c r="D6271" s="2" t="str">
        <f t="shared" ref="D6271:D6334" si="97">IF(ISBLANK(B6271),"OK",IF(A6271-B6271=0,"OK","Error?"))</f>
        <v>Error?</v>
      </c>
      <c r="E6271" s="2" t="s">
        <v>199</v>
      </c>
    </row>
    <row r="6272" spans="1:5" x14ac:dyDescent="0.2">
      <c r="A6272">
        <v>6211</v>
      </c>
      <c r="B6272" s="138">
        <f>'Acct Summary 7-8'!H82</f>
        <v>8960244</v>
      </c>
      <c r="D6272" s="2" t="str">
        <f t="shared" si="97"/>
        <v>Error?</v>
      </c>
      <c r="E6272" s="2" t="s">
        <v>199</v>
      </c>
    </row>
    <row r="6273" spans="1:5" x14ac:dyDescent="0.2">
      <c r="A6273">
        <v>6212</v>
      </c>
      <c r="B6273" s="138">
        <f>'Acct Summary 7-8'!I82</f>
        <v>28502</v>
      </c>
      <c r="D6273" s="2" t="str">
        <f t="shared" si="97"/>
        <v>Error?</v>
      </c>
      <c r="E6273" s="2" t="s">
        <v>199</v>
      </c>
    </row>
    <row r="6274" spans="1:5" x14ac:dyDescent="0.2">
      <c r="A6274">
        <v>6213</v>
      </c>
      <c r="B6274" s="138">
        <f>'Acct Summary 7-8'!J82</f>
        <v>42041</v>
      </c>
      <c r="D6274" s="2" t="str">
        <f t="shared" si="97"/>
        <v>Error?</v>
      </c>
      <c r="E6274" s="2" t="s">
        <v>199</v>
      </c>
    </row>
    <row r="6275" spans="1:5" x14ac:dyDescent="0.2">
      <c r="A6275">
        <v>6214</v>
      </c>
      <c r="B6275" s="138">
        <f>'Acct Summary 7-8'!K82</f>
        <v>35261</v>
      </c>
      <c r="D6275" s="2" t="str">
        <f t="shared" si="97"/>
        <v>Error?</v>
      </c>
      <c r="E6275" s="2" t="s">
        <v>199</v>
      </c>
    </row>
    <row r="6276" spans="1:5" x14ac:dyDescent="0.2">
      <c r="A6276">
        <v>6215</v>
      </c>
      <c r="B6276" s="138">
        <f>'Acct Summary 7-8'!C83</f>
        <v>0.50199393086375388</v>
      </c>
      <c r="D6276" s="2" t="str">
        <f t="shared" si="97"/>
        <v>Error?</v>
      </c>
      <c r="E6276" s="2" t="s">
        <v>199</v>
      </c>
    </row>
    <row r="6277" spans="1:5" x14ac:dyDescent="0.2">
      <c r="A6277">
        <v>6216</v>
      </c>
      <c r="B6277" s="138">
        <f>'Acct Summary 7-8'!D83</f>
        <v>3.9629078820750591E-2</v>
      </c>
      <c r="D6277" s="2" t="str">
        <f t="shared" si="97"/>
        <v>Error?</v>
      </c>
      <c r="E6277" s="2" t="s">
        <v>199</v>
      </c>
    </row>
    <row r="6278" spans="1:5" x14ac:dyDescent="0.2">
      <c r="A6278">
        <v>6217</v>
      </c>
      <c r="B6278" s="138">
        <f>'Acct Summary 7-8'!E83</f>
        <v>0.77056819190813031</v>
      </c>
      <c r="D6278" s="2" t="str">
        <f t="shared" si="97"/>
        <v>Error?</v>
      </c>
      <c r="E6278" s="2" t="s">
        <v>199</v>
      </c>
    </row>
    <row r="6279" spans="1:5" x14ac:dyDescent="0.2">
      <c r="A6279">
        <v>6218</v>
      </c>
      <c r="B6279" s="138">
        <f>'Acct Summary 7-8'!F83</f>
        <v>0.21068363706489249</v>
      </c>
      <c r="D6279" s="2" t="str">
        <f t="shared" si="97"/>
        <v>Error?</v>
      </c>
      <c r="E6279" s="2" t="s">
        <v>199</v>
      </c>
    </row>
    <row r="6280" spans="1:5" x14ac:dyDescent="0.2">
      <c r="A6280">
        <v>6219</v>
      </c>
      <c r="B6280" s="138">
        <f>'Acct Summary 7-8'!G83</f>
        <v>0.19316149036577679</v>
      </c>
      <c r="D6280" s="2" t="str">
        <f t="shared" si="97"/>
        <v>Error?</v>
      </c>
      <c r="E6280" s="2" t="s">
        <v>199</v>
      </c>
    </row>
    <row r="6281" spans="1:5" x14ac:dyDescent="0.2">
      <c r="A6281">
        <v>6220</v>
      </c>
      <c r="B6281" s="138">
        <f>'Acct Summary 7-8'!H83</f>
        <v>0.99762402712038323</v>
      </c>
      <c r="D6281" s="2" t="str">
        <f t="shared" si="97"/>
        <v>Error?</v>
      </c>
      <c r="E6281" s="2" t="s">
        <v>199</v>
      </c>
    </row>
    <row r="6282" spans="1:5" x14ac:dyDescent="0.2">
      <c r="A6282">
        <v>6221</v>
      </c>
      <c r="B6282" s="138">
        <f>'Acct Summary 7-8'!I83</f>
        <v>1.8058865235195464E-2</v>
      </c>
      <c r="D6282" s="2" t="str">
        <f t="shared" si="97"/>
        <v>Error?</v>
      </c>
      <c r="E6282" s="2" t="s">
        <v>199</v>
      </c>
    </row>
    <row r="6283" spans="1:5" x14ac:dyDescent="0.2">
      <c r="A6283">
        <v>6222</v>
      </c>
      <c r="B6283" s="138">
        <f>'Acct Summary 7-8'!J83</f>
        <v>0.22697260089080848</v>
      </c>
      <c r="D6283" s="2" t="str">
        <f t="shared" si="97"/>
        <v>Error?</v>
      </c>
      <c r="E6283" s="2" t="s">
        <v>199</v>
      </c>
    </row>
    <row r="6284" spans="1:5" x14ac:dyDescent="0.2">
      <c r="A6284">
        <v>6223</v>
      </c>
      <c r="B6284" s="138">
        <f>'Acct Summary 7-8'!K83</f>
        <v>0.53699952789242034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200333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200333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584</v>
      </c>
      <c r="D6305" s="2" t="str">
        <f t="shared" si="97"/>
        <v>Error?</v>
      </c>
      <c r="E6305" s="2" t="s">
        <v>199</v>
      </c>
    </row>
    <row r="6306" spans="1:5" x14ac:dyDescent="0.2">
      <c r="A6306">
        <v>6245</v>
      </c>
      <c r="B6306" s="138">
        <f>'Revenues 9-14'!J18</f>
        <v>584</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3510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696</v>
      </c>
      <c r="D6350" s="2" t="str">
        <f t="shared" si="98"/>
        <v>Error?</v>
      </c>
      <c r="E6350" s="2" t="s">
        <v>199</v>
      </c>
    </row>
    <row r="6351" spans="1:5" x14ac:dyDescent="0.2">
      <c r="A6351">
        <v>6290</v>
      </c>
      <c r="B6351" s="138">
        <f>'Revenues 9-14'!J108</f>
        <v>696</v>
      </c>
      <c r="D6351" s="2" t="str">
        <f t="shared" si="98"/>
        <v>Error?</v>
      </c>
      <c r="E6351" s="2" t="s">
        <v>199</v>
      </c>
    </row>
    <row r="6352" spans="1:5" x14ac:dyDescent="0.2">
      <c r="A6352">
        <v>6291</v>
      </c>
      <c r="B6352" s="138">
        <f>'Revenues 9-14'!J109</f>
        <v>201613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21583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33216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16209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103894</v>
      </c>
      <c r="D6983" s="2" t="str">
        <f t="shared" si="108"/>
        <v>Error?</v>
      </c>
    </row>
    <row r="6984" spans="1:4" x14ac:dyDescent="0.2">
      <c r="A6984">
        <v>6923</v>
      </c>
      <c r="B6984" s="138">
        <f>'Expenditures 15-22'!K86</f>
        <v>103894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103894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159572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201613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308</v>
      </c>
      <c r="D7073" s="2" t="str">
        <f t="shared" si="109"/>
        <v>Error?</v>
      </c>
    </row>
    <row r="7074" spans="1:4" x14ac:dyDescent="0.2">
      <c r="A7074">
        <v>7013</v>
      </c>
      <c r="B7074" s="138">
        <f>'Expenditures 15-22'!K216</f>
        <v>308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115</v>
      </c>
      <c r="D7079" s="2" t="str">
        <f t="shared" si="109"/>
        <v>Error?</v>
      </c>
    </row>
    <row r="7080" spans="1:4" x14ac:dyDescent="0.2">
      <c r="A7080">
        <v>7019</v>
      </c>
      <c r="B7080" s="138">
        <f>'Expenditures 15-22'!K226</f>
        <v>115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2999</v>
      </c>
      <c r="D7093" s="2" t="str">
        <f t="shared" si="109"/>
        <v>Error?</v>
      </c>
    </row>
    <row r="7094" spans="1:4" x14ac:dyDescent="0.2">
      <c r="A7094">
        <v>7033</v>
      </c>
      <c r="B7094" s="138">
        <f>'Expenditures 15-22'!K254</f>
        <v>2999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13656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13656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1670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1670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52871</v>
      </c>
      <c r="D7172" s="2" t="str">
        <f t="shared" si="111"/>
        <v>Error?</v>
      </c>
    </row>
    <row r="7173" spans="1:4" x14ac:dyDescent="0.2">
      <c r="A7173">
        <v>7112</v>
      </c>
      <c r="B7173" s="138">
        <f>'Expenditures 15-22'!D325</f>
        <v>4305</v>
      </c>
      <c r="D7173" s="2" t="str">
        <f t="shared" si="111"/>
        <v>Error?</v>
      </c>
    </row>
    <row r="7174" spans="1:4" x14ac:dyDescent="0.2">
      <c r="A7174">
        <v>7113</v>
      </c>
      <c r="B7174" s="138">
        <f>'Expenditures 15-22'!E325</f>
        <v>34661</v>
      </c>
      <c r="D7174" s="2" t="str">
        <f t="shared" si="111"/>
        <v>Error?</v>
      </c>
    </row>
    <row r="7175" spans="1:4" x14ac:dyDescent="0.2">
      <c r="A7175">
        <v>7114</v>
      </c>
      <c r="B7175" s="138">
        <f>'Expenditures 15-22'!F325</f>
        <v>2288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94125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21107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21107</v>
      </c>
      <c r="D7198" s="2" t="str">
        <f t="shared" si="111"/>
        <v>Error?</v>
      </c>
    </row>
    <row r="7199" spans="1:4" x14ac:dyDescent="0.2">
      <c r="A7199">
        <v>7138</v>
      </c>
      <c r="B7199" s="138">
        <f>'Expenditures 15-22'!C330</f>
        <v>52871</v>
      </c>
      <c r="D7199" s="2" t="str">
        <f t="shared" si="111"/>
        <v>Error?</v>
      </c>
    </row>
    <row r="7200" spans="1:4" x14ac:dyDescent="0.2">
      <c r="A7200">
        <v>7139</v>
      </c>
      <c r="B7200" s="138">
        <f>'Expenditures 15-22'!D330</f>
        <v>4305</v>
      </c>
      <c r="D7200" s="2" t="str">
        <f t="shared" si="111"/>
        <v>Error?</v>
      </c>
    </row>
    <row r="7201" spans="1:4" x14ac:dyDescent="0.2">
      <c r="A7201">
        <v>7140</v>
      </c>
      <c r="B7201" s="138">
        <f>'Expenditures 15-22'!E330</f>
        <v>100108</v>
      </c>
      <c r="D7201" s="2" t="str">
        <f t="shared" si="111"/>
        <v>Error?</v>
      </c>
    </row>
    <row r="7202" spans="1:4" x14ac:dyDescent="0.2">
      <c r="A7202">
        <v>7141</v>
      </c>
      <c r="B7202" s="138">
        <f>'Expenditures 15-22'!F330</f>
        <v>2288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159572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52871</v>
      </c>
      <c r="D7216" s="2" t="str">
        <f t="shared" si="111"/>
        <v>Error?</v>
      </c>
    </row>
    <row r="7217" spans="1:4" x14ac:dyDescent="0.2">
      <c r="A7217">
        <v>7156</v>
      </c>
      <c r="B7217" s="138">
        <f>'Expenditures 15-22'!D342</f>
        <v>4305</v>
      </c>
      <c r="D7217" s="2" t="str">
        <f t="shared" si="111"/>
        <v>Error?</v>
      </c>
    </row>
    <row r="7218" spans="1:4" x14ac:dyDescent="0.2">
      <c r="A7218">
        <v>7157</v>
      </c>
      <c r="B7218" s="138">
        <f>'Expenditures 15-22'!E342</f>
        <v>100108</v>
      </c>
      <c r="D7218" s="2" t="str">
        <f t="shared" si="111"/>
        <v>Error?</v>
      </c>
    </row>
    <row r="7219" spans="1:4" x14ac:dyDescent="0.2">
      <c r="A7219">
        <v>7158</v>
      </c>
      <c r="B7219" s="138">
        <f>'Expenditures 15-22'!F342</f>
        <v>2288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159572</v>
      </c>
      <c r="D7224" s="2" t="str">
        <f t="shared" si="111"/>
        <v>Error?</v>
      </c>
    </row>
    <row r="7225" spans="1:4" x14ac:dyDescent="0.2">
      <c r="A7225">
        <v>7164</v>
      </c>
      <c r="B7225" s="138">
        <f>'Expenditures 15-22'!K343</f>
        <v>42041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8699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2934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7941</v>
      </c>
      <c r="D7263" s="2" t="str">
        <f t="shared" si="112"/>
        <v>Error?</v>
      </c>
    </row>
    <row r="7264" spans="1:4" x14ac:dyDescent="0.2">
      <c r="A7264">
        <f t="shared" si="113"/>
        <v>7203</v>
      </c>
      <c r="B7264" s="138">
        <f>'Expenditures 15-22'!D17</f>
        <v>2893</v>
      </c>
      <c r="D7264" s="2" t="str">
        <f t="shared" si="112"/>
        <v>Error?</v>
      </c>
    </row>
    <row r="7265" spans="1:5" x14ac:dyDescent="0.2">
      <c r="A7265">
        <f t="shared" si="113"/>
        <v>7204</v>
      </c>
      <c r="B7265" s="138">
        <f>'Expenditures 15-22'!E17</f>
        <v>4491</v>
      </c>
      <c r="D7265" s="2" t="str">
        <f t="shared" si="112"/>
        <v>Error?</v>
      </c>
    </row>
    <row r="7266" spans="1:5" x14ac:dyDescent="0.2">
      <c r="A7266">
        <f t="shared" si="113"/>
        <v>7205</v>
      </c>
      <c r="B7266" s="138">
        <f>'Expenditures 15-22'!F17</f>
        <v>874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244461</v>
      </c>
      <c r="D7615" s="2" t="str">
        <f t="shared" ref="D7615:D7678" si="124">IF(ISBLANK(B7615),"OK",IF(A7615-B7615=0,"OK","Error?"))</f>
        <v>Error?</v>
      </c>
      <c r="E7615" s="2" t="s">
        <v>19</v>
      </c>
    </row>
    <row r="7616" spans="1:5" x14ac:dyDescent="0.2">
      <c r="A7616">
        <f t="shared" si="123"/>
        <v>7555</v>
      </c>
      <c r="B7616" s="138">
        <f>'Cap Outlay Deprec 26'!D14</f>
        <v>850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245311</v>
      </c>
      <c r="D7618" s="2" t="str">
        <f t="shared" si="124"/>
        <v>Error?</v>
      </c>
      <c r="E7618" s="2" t="s">
        <v>19</v>
      </c>
    </row>
    <row r="7619" spans="1:5" x14ac:dyDescent="0.2">
      <c r="A7619">
        <f t="shared" si="123"/>
        <v>7558</v>
      </c>
      <c r="B7619" s="138">
        <f>'Cap Outlay Deprec 26'!H14</f>
        <v>181798</v>
      </c>
      <c r="D7619" s="2" t="str">
        <f t="shared" si="124"/>
        <v>Error?</v>
      </c>
      <c r="E7619" s="2" t="s">
        <v>19</v>
      </c>
    </row>
    <row r="7620" spans="1:5" x14ac:dyDescent="0.2">
      <c r="A7620">
        <f t="shared" si="123"/>
        <v>7559</v>
      </c>
      <c r="B7620" s="138">
        <f>'Cap Outlay Deprec 26'!I14</f>
        <v>25334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207132</v>
      </c>
      <c r="D7622" s="2" t="str">
        <f t="shared" si="124"/>
        <v>Error?</v>
      </c>
      <c r="E7622" s="2" t="s">
        <v>19</v>
      </c>
    </row>
    <row r="7623" spans="1:5" x14ac:dyDescent="0.2">
      <c r="A7623">
        <f t="shared" si="123"/>
        <v>7562</v>
      </c>
      <c r="B7623" s="138">
        <f>'Cap Outlay Deprec 26'!L14</f>
        <v>38179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248617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29014</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29014</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29348</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3510</v>
      </c>
      <c r="D7712" s="2" t="str">
        <f t="shared" si="126"/>
        <v>Error?</v>
      </c>
      <c r="E7712" s="2" t="s">
        <v>880</v>
      </c>
    </row>
    <row r="7713" spans="1:6" x14ac:dyDescent="0.2">
      <c r="A7713">
        <v>7652</v>
      </c>
      <c r="B7713" s="138">
        <f>'Rest Tax Levies-Tort Im 25'!J8</f>
        <v>163095</v>
      </c>
      <c r="D7713" s="2" t="str">
        <f t="shared" si="126"/>
        <v>Error?</v>
      </c>
      <c r="E7713" s="2" t="s">
        <v>880</v>
      </c>
    </row>
    <row r="7714" spans="1:6" x14ac:dyDescent="0.2">
      <c r="A7714">
        <v>7653</v>
      </c>
      <c r="B7714" s="138">
        <f>'Rest Tax Levies-Tort Im 25'!K9</f>
        <v>7533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163095</v>
      </c>
      <c r="D7718" s="2" t="str">
        <f t="shared" si="126"/>
        <v>Error?</v>
      </c>
      <c r="E7718" s="2" t="s">
        <v>880</v>
      </c>
    </row>
    <row r="7719" spans="1:6" x14ac:dyDescent="0.2">
      <c r="A7719">
        <v>7658</v>
      </c>
      <c r="B7719" s="138">
        <f>'Rest Tax Levies-Tort Im 25'!K12</f>
        <v>11043</v>
      </c>
      <c r="D7719" s="2" t="str">
        <f t="shared" si="126"/>
        <v>Error?</v>
      </c>
      <c r="E7719" s="2" t="s">
        <v>880</v>
      </c>
    </row>
    <row r="7720" spans="1:6" x14ac:dyDescent="0.2">
      <c r="A7720">
        <v>7659</v>
      </c>
      <c r="B7720" s="138">
        <f>'Rest Tax Levies-Tort Im 25'!H14</f>
        <v>28724</v>
      </c>
      <c r="D7720" s="2" t="str">
        <f t="shared" si="126"/>
        <v>Error?</v>
      </c>
      <c r="E7720" s="2" t="s">
        <v>880</v>
      </c>
    </row>
    <row r="7721" spans="1:6" x14ac:dyDescent="0.2">
      <c r="A7721">
        <v>7660</v>
      </c>
      <c r="B7721" s="138">
        <f>'Rest Tax Levies-Tort Im 25'!K14</f>
        <v>11043</v>
      </c>
      <c r="D7721" s="2" t="str">
        <f t="shared" si="126"/>
        <v>Error?</v>
      </c>
      <c r="E7721" s="2" t="s">
        <v>880</v>
      </c>
    </row>
    <row r="7722" spans="1:6" x14ac:dyDescent="0.2">
      <c r="A7722">
        <v>7661</v>
      </c>
      <c r="B7722" s="138">
        <f>'Rest Tax Levies-Tort Im 25'!J15</f>
        <v>85497</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16626</v>
      </c>
      <c r="D7724" s="2" t="str">
        <f t="shared" si="126"/>
        <v>Error?</v>
      </c>
      <c r="E7724" s="2" t="s">
        <v>880</v>
      </c>
      <c r="F7724" s="2"/>
    </row>
    <row r="7725" spans="1:6" x14ac:dyDescent="0.2">
      <c r="A7725">
        <v>7664</v>
      </c>
      <c r="B7725" s="138">
        <f>'Rest Tax Levies-Tort Im 25'!J19</f>
        <v>90320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106946</v>
      </c>
      <c r="D7727" s="2" t="str">
        <f t="shared" si="126"/>
        <v>Error?</v>
      </c>
      <c r="E7727" s="2" t="s">
        <v>880</v>
      </c>
    </row>
    <row r="7728" spans="1:6" x14ac:dyDescent="0.2">
      <c r="A7728">
        <v>7667</v>
      </c>
      <c r="B7728" s="138">
        <f>'Revenues 9-14'!E103</f>
        <v>106946</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192443</v>
      </c>
      <c r="D7730" s="2" t="str">
        <f t="shared" si="126"/>
        <v>Error?</v>
      </c>
      <c r="E7730" s="2" t="s">
        <v>880</v>
      </c>
    </row>
    <row r="7731" spans="1:6" x14ac:dyDescent="0.2">
      <c r="A7731">
        <v>7670</v>
      </c>
      <c r="B7731" s="138">
        <f>'Revenues 9-14'!H103</f>
        <v>56149</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632055</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49" sqref="K49"/>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1252</v>
      </c>
      <c r="B2" s="2399"/>
      <c r="C2" s="2399"/>
      <c r="D2" s="2399"/>
      <c r="E2" s="2399"/>
      <c r="F2" s="2399"/>
      <c r="G2" s="2399"/>
      <c r="H2" s="2399"/>
      <c r="I2" s="2399"/>
      <c r="J2" s="2399"/>
      <c r="K2" s="2399"/>
      <c r="L2" s="2399"/>
    </row>
    <row r="3" spans="1:29" ht="13.5" customHeight="1" x14ac:dyDescent="0.2">
      <c r="A3" s="2430" t="s">
        <v>1251</v>
      </c>
      <c r="B3" s="2430"/>
      <c r="C3" s="2430"/>
      <c r="D3" s="2430"/>
      <c r="E3" s="2430"/>
      <c r="F3" s="2430"/>
      <c r="G3" s="2430"/>
      <c r="H3" s="2430"/>
      <c r="I3" s="2430"/>
      <c r="J3" s="2430"/>
      <c r="K3" s="2430"/>
      <c r="L3" s="2430"/>
    </row>
    <row r="4" spans="1:29" ht="13.5" customHeight="1" x14ac:dyDescent="0.2">
      <c r="A4" s="2399" t="s">
        <v>1798</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1" t="str">
        <f>COVER!A17</f>
        <v>Cerro Gordo CUSD 100</v>
      </c>
      <c r="B7" s="2422"/>
      <c r="C7" s="2422"/>
      <c r="D7" s="2423"/>
      <c r="E7" s="2424" t="str">
        <f>COVER!A13</f>
        <v>39-074-1000-26</v>
      </c>
      <c r="F7" s="2425"/>
      <c r="G7" s="2431">
        <f>COVER!T23</f>
        <v>66.004384999999999</v>
      </c>
      <c r="H7" s="2432"/>
      <c r="I7" s="2432"/>
      <c r="J7" s="2432"/>
      <c r="K7" s="2432"/>
      <c r="L7" s="243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4"/>
      <c r="B9" s="2435"/>
      <c r="C9" s="2435"/>
      <c r="D9" s="2435"/>
      <c r="E9" s="2435"/>
      <c r="F9" s="2436"/>
      <c r="G9" s="2405" t="str">
        <f>COVER!T13</f>
        <v>FLOYD &amp; ASSOCIATES, CPAs</v>
      </c>
      <c r="H9" s="2437"/>
      <c r="I9" s="2437"/>
      <c r="J9" s="2437"/>
      <c r="K9" s="2437"/>
      <c r="L9" s="2438"/>
    </row>
    <row r="10" spans="1:29" ht="13.5" customHeight="1" x14ac:dyDescent="0.2">
      <c r="A10" s="2411" t="str">
        <f>COVER!A38</f>
        <v>MR. BRETT ROBINSON</v>
      </c>
      <c r="B10" s="2412"/>
      <c r="C10" s="2412"/>
      <c r="D10" s="2412"/>
      <c r="E10" s="2412"/>
      <c r="F10" s="2413"/>
      <c r="G10" s="2405" t="str">
        <f>COVER!T17</f>
        <v>910 STATE HIGHWAY 54 EAST</v>
      </c>
      <c r="H10" s="2406"/>
      <c r="I10" s="2406"/>
      <c r="J10" s="2406"/>
      <c r="K10" s="2406"/>
      <c r="L10" s="2407"/>
    </row>
    <row r="11" spans="1:29" ht="13.5" customHeight="1" x14ac:dyDescent="0.2">
      <c r="A11" s="1185" t="s">
        <v>1598</v>
      </c>
      <c r="B11" s="1186"/>
      <c r="C11" s="1187"/>
      <c r="D11" s="1192"/>
      <c r="E11" s="1187"/>
      <c r="F11" s="1191"/>
      <c r="G11" s="2405" t="str">
        <f>COVER!T19</f>
        <v>CLINTON</v>
      </c>
      <c r="H11" s="2406"/>
      <c r="I11" s="2406"/>
      <c r="J11" s="2406"/>
      <c r="K11" s="2406"/>
      <c r="L11" s="2407"/>
    </row>
    <row r="12" spans="1:29" ht="13.5" customHeight="1" x14ac:dyDescent="0.2">
      <c r="A12" s="2414" t="s">
        <v>1597</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1599</v>
      </c>
      <c r="H13" s="2401"/>
      <c r="I13" s="2417" t="str">
        <f>COVER!T25</f>
        <v>julie.floyd@frontier.com</v>
      </c>
      <c r="J13" s="2418"/>
      <c r="K13" s="2418"/>
      <c r="L13" s="2419"/>
    </row>
    <row r="14" spans="1:29" ht="13.5" customHeight="1" x14ac:dyDescent="0.2">
      <c r="A14" s="2405" t="str">
        <f>COVER!A19</f>
        <v>300 EAST DURFEE</v>
      </c>
      <c r="B14" s="2406"/>
      <c r="C14" s="2406"/>
      <c r="D14" s="2406"/>
      <c r="E14" s="2406"/>
      <c r="F14" s="2407"/>
      <c r="G14" s="1196" t="s">
        <v>1246</v>
      </c>
      <c r="H14" s="1194"/>
      <c r="I14" s="1194"/>
      <c r="J14" s="1194"/>
      <c r="K14" s="1194"/>
      <c r="L14" s="1195"/>
    </row>
    <row r="15" spans="1:29" ht="13.5" customHeight="1" x14ac:dyDescent="0.2">
      <c r="A15" s="2405" t="str">
        <f>COVER!A21</f>
        <v xml:space="preserve">CERRO GORDO  </v>
      </c>
      <c r="B15" s="2406"/>
      <c r="C15" s="2406"/>
      <c r="D15" s="2406"/>
      <c r="E15" s="2406"/>
      <c r="F15" s="2407"/>
      <c r="G15" s="2402" t="str">
        <f>COVER!T15</f>
        <v>JULIE M. FLOYD, CPA</v>
      </c>
      <c r="H15" s="2403"/>
      <c r="I15" s="2403"/>
      <c r="J15" s="2403"/>
      <c r="K15" s="2403"/>
      <c r="L15" s="2404"/>
    </row>
    <row r="16" spans="1:29" ht="12.4" customHeight="1" x14ac:dyDescent="0.2">
      <c r="A16" s="2427">
        <f>COVER!A25</f>
        <v>61818</v>
      </c>
      <c r="B16" s="2428"/>
      <c r="C16" s="2428"/>
      <c r="D16" s="2428"/>
      <c r="E16" s="2428"/>
      <c r="F16" s="2429"/>
      <c r="G16" s="2439"/>
      <c r="H16" s="2440"/>
      <c r="I16" s="2440"/>
      <c r="J16" s="2440"/>
      <c r="K16" s="2440"/>
      <c r="L16" s="2441"/>
    </row>
    <row r="17" spans="1:13" ht="12.4" customHeight="1" x14ac:dyDescent="0.2">
      <c r="A17" s="2442"/>
      <c r="B17" s="2428"/>
      <c r="C17" s="2428"/>
      <c r="D17" s="2428"/>
      <c r="E17" s="2428"/>
      <c r="F17" s="2429"/>
      <c r="G17" s="1196" t="s">
        <v>1245</v>
      </c>
      <c r="H17" s="1194"/>
      <c r="I17" s="1194"/>
      <c r="J17" s="1194"/>
      <c r="K17" s="1198" t="s">
        <v>1244</v>
      </c>
      <c r="L17" s="1191"/>
      <c r="M17" s="1184"/>
    </row>
    <row r="18" spans="1:13" ht="12.4" customHeight="1" x14ac:dyDescent="0.2">
      <c r="A18" s="2411"/>
      <c r="B18" s="2412"/>
      <c r="C18" s="2412"/>
      <c r="D18" s="2412"/>
      <c r="E18" s="2412"/>
      <c r="F18" s="2413"/>
      <c r="G18" s="2421" t="str">
        <f>COVER!T21</f>
        <v>217-935-8871</v>
      </c>
      <c r="H18" s="2422"/>
      <c r="I18" s="2422"/>
      <c r="J18" s="2422"/>
      <c r="K18" s="2421" t="str">
        <f>COVER!X21</f>
        <v>217-935-5711</v>
      </c>
      <c r="L18" s="2426"/>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1230</v>
      </c>
      <c r="K20" s="1177" t="s">
        <v>1230</v>
      </c>
    </row>
    <row r="21" spans="1:13" ht="12.4" customHeight="1" x14ac:dyDescent="0.2">
      <c r="A21" s="1200" t="s">
        <v>1799</v>
      </c>
    </row>
    <row r="22" spans="1:13" ht="12.4" customHeight="1" x14ac:dyDescent="0.2">
      <c r="A22" s="1201"/>
    </row>
    <row r="23" spans="1:13" ht="12.4"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4" customHeight="1" x14ac:dyDescent="0.2">
      <c r="B26" s="1202"/>
      <c r="C26" s="1203" t="s">
        <v>1800</v>
      </c>
    </row>
    <row r="27" spans="1:13" s="1199" customFormat="1" ht="9" customHeight="1" x14ac:dyDescent="0.2">
      <c r="B27" s="1204"/>
      <c r="C27" s="1203"/>
    </row>
    <row r="28" spans="1:13" s="1199" customFormat="1" ht="12.4" customHeight="1" x14ac:dyDescent="0.2">
      <c r="A28" s="1206"/>
      <c r="B28" s="1202"/>
      <c r="C28" s="1203" t="s">
        <v>1801</v>
      </c>
    </row>
    <row r="29" spans="1:13" s="1199" customFormat="1" ht="9" customHeight="1" x14ac:dyDescent="0.2">
      <c r="A29" s="1206"/>
      <c r="B29" s="1204"/>
      <c r="C29" s="1203"/>
    </row>
    <row r="30" spans="1:13" s="1199" customFormat="1" ht="12.4" customHeight="1" x14ac:dyDescent="0.2">
      <c r="B30" s="1202"/>
      <c r="C30" s="1203" t="s">
        <v>1642</v>
      </c>
      <c r="D30" s="1197"/>
      <c r="E30" s="1197"/>
    </row>
    <row r="31" spans="1:13" s="1199" customFormat="1" ht="9" customHeight="1" x14ac:dyDescent="0.2">
      <c r="B31" s="1204"/>
      <c r="C31" s="1203"/>
      <c r="D31" s="1197"/>
      <c r="E31" s="1197"/>
    </row>
    <row r="32" spans="1:13" s="1199" customFormat="1" ht="12.4"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4"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1648</v>
      </c>
      <c r="D46" s="1197"/>
      <c r="E46" s="1197"/>
      <c r="F46" s="1197"/>
      <c r="G46" s="1197"/>
      <c r="H46" s="1197"/>
    </row>
    <row r="47" spans="1:8" ht="9" customHeight="1" x14ac:dyDescent="0.2"/>
    <row r="48" spans="1:8" ht="12.4" customHeight="1" x14ac:dyDescent="0.2">
      <c r="B48" s="1211"/>
      <c r="C48" s="1212" t="s">
        <v>1649</v>
      </c>
    </row>
    <row r="49" spans="1:12" ht="9" customHeight="1" x14ac:dyDescent="0.2"/>
    <row r="50" spans="1:12" ht="6" customHeight="1" x14ac:dyDescent="0.2">
      <c r="C50" s="1212"/>
    </row>
    <row r="51" spans="1:12" ht="12.4" customHeight="1" x14ac:dyDescent="0.2">
      <c r="A51" s="1214" t="s">
        <v>1803</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K49" sqref="K4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3" t="str">
        <f>'Single Audit Cover'!A7</f>
        <v>Cerro Gordo CUSD 100</v>
      </c>
      <c r="B1" s="2420"/>
      <c r="C1" s="2420"/>
      <c r="D1" s="2420"/>
    </row>
    <row r="2" spans="1:11" s="1215" customFormat="1" ht="12.75" x14ac:dyDescent="0.2">
      <c r="A2" s="2444" t="str">
        <f>'Single Audit Cover'!E7</f>
        <v>39-074-1000-26</v>
      </c>
      <c r="B2" s="2445"/>
      <c r="C2" s="2445"/>
      <c r="D2" s="2445"/>
    </row>
    <row r="3" spans="1:11" s="1215" customFormat="1" ht="12.75" x14ac:dyDescent="0.2">
      <c r="A3" s="2443" t="s">
        <v>1592</v>
      </c>
      <c r="B3" s="2420"/>
      <c r="C3" s="2420"/>
      <c r="D3" s="2420"/>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K49" sqref="K49"/>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Cerro Gordo CUSD 100</v>
      </c>
      <c r="B1" s="2447"/>
      <c r="C1" s="2447"/>
      <c r="D1" s="2447"/>
      <c r="E1" s="2447"/>
    </row>
    <row r="2" spans="1:5" x14ac:dyDescent="0.2">
      <c r="A2" s="2448" t="str">
        <f>'Single Audit Cover'!E7</f>
        <v>39-074-1000-26</v>
      </c>
      <c r="B2" s="2448"/>
      <c r="C2" s="2448"/>
      <c r="D2" s="2448"/>
      <c r="E2" s="2448"/>
    </row>
    <row r="3" spans="1:5" ht="4.5" customHeight="1" x14ac:dyDescent="0.2"/>
    <row r="4" spans="1:5" x14ac:dyDescent="0.2">
      <c r="A4" s="2447" t="s">
        <v>1306</v>
      </c>
      <c r="B4" s="2447"/>
      <c r="C4" s="2447"/>
      <c r="D4" s="2447"/>
      <c r="E4" s="2447"/>
    </row>
    <row r="5" spans="1:5" x14ac:dyDescent="0.2">
      <c r="A5" s="2450" t="str">
        <f>'Single Audit Cover'!A4</f>
        <v>Year Ending June 30, 2018</v>
      </c>
      <c r="B5" s="2450"/>
      <c r="C5" s="2450"/>
      <c r="D5" s="2450"/>
      <c r="E5" s="2450"/>
    </row>
    <row r="6" spans="1:5" x14ac:dyDescent="0.2">
      <c r="A6" s="2447" t="s">
        <v>1305</v>
      </c>
      <c r="B6" s="2447"/>
      <c r="C6" s="2447"/>
      <c r="D6" s="2447"/>
      <c r="E6" s="2447"/>
    </row>
    <row r="8" spans="1:5" x14ac:dyDescent="0.2">
      <c r="A8" s="1260" t="s">
        <v>1304</v>
      </c>
    </row>
    <row r="10" spans="1:5" x14ac:dyDescent="0.2">
      <c r="A10" s="1261" t="s">
        <v>1303</v>
      </c>
      <c r="B10" s="1262" t="s">
        <v>1302</v>
      </c>
      <c r="C10" s="1262"/>
      <c r="D10" s="1263">
        <f>SUM('Acct Summary 7-8'!C7:K7)</f>
        <v>445519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20603</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0</v>
      </c>
    </row>
    <row r="19" spans="1:4" ht="13.5" thickBot="1" x14ac:dyDescent="0.25">
      <c r="A19" s="1265" t="s">
        <v>1296</v>
      </c>
      <c r="D19" s="1266">
        <f>SUM(D10:D17)</f>
        <v>466122</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1294</v>
      </c>
      <c r="D32" s="1263">
        <f>SUM(D19:D30)</f>
        <v>466122</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1288</v>
      </c>
      <c r="C47" s="1272"/>
      <c r="D47" s="1273">
        <f>SUM(D35:D45)</f>
        <v>0</v>
      </c>
    </row>
    <row r="49" spans="2:4" x14ac:dyDescent="0.2">
      <c r="B49" s="1272" t="s">
        <v>1287</v>
      </c>
      <c r="C49" s="1272"/>
      <c r="D49" s="1273">
        <f>D32-D47</f>
        <v>466122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K49" sqref="K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Cerro Gordo CUSD 100</v>
      </c>
      <c r="B1" s="2460"/>
      <c r="C1" s="2460"/>
      <c r="D1" s="2460"/>
      <c r="E1" s="2460"/>
      <c r="F1" s="2460"/>
    </row>
    <row r="2" spans="1:7" ht="13.5" customHeight="1" x14ac:dyDescent="0.2">
      <c r="A2" s="2461" t="str">
        <f>'Single Audit Cover'!E7</f>
        <v>39-074-1000-26</v>
      </c>
      <c r="B2" s="2461"/>
      <c r="C2" s="2461"/>
      <c r="D2" s="2461"/>
      <c r="E2" s="2461"/>
      <c r="F2" s="2461"/>
      <c r="G2" s="1275"/>
    </row>
    <row r="3" spans="1:7" ht="15.75" customHeight="1" x14ac:dyDescent="0.2">
      <c r="A3" s="2462" t="s">
        <v>1332</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1830</v>
      </c>
      <c r="C6" s="317"/>
      <c r="D6" s="317"/>
    </row>
    <row r="7" spans="1:7" ht="61.15" customHeight="1" x14ac:dyDescent="0.2">
      <c r="A7" s="2459" t="s">
        <v>1831</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9" t="s">
        <v>1833</v>
      </c>
      <c r="B13" s="2459"/>
      <c r="C13" s="2459"/>
      <c r="D13" s="2459"/>
      <c r="E13" s="2459"/>
      <c r="F13" s="2459"/>
    </row>
    <row r="14" spans="1:7" ht="9.75" customHeight="1" x14ac:dyDescent="0.2">
      <c r="C14" s="1260"/>
      <c r="D14" s="1260"/>
    </row>
    <row r="15" spans="1:7" ht="13.5" customHeight="1" x14ac:dyDescent="0.2">
      <c r="C15" s="1870" t="s">
        <v>1331</v>
      </c>
      <c r="D15" s="2457" t="s">
        <v>1330</v>
      </c>
      <c r="E15" s="2457"/>
      <c r="F15" s="2457"/>
    </row>
    <row r="16" spans="1:7" ht="13.5" customHeight="1" x14ac:dyDescent="0.2">
      <c r="A16" s="1282"/>
      <c r="B16" s="1276" t="s">
        <v>1329</v>
      </c>
      <c r="C16" s="1870" t="s">
        <v>1328</v>
      </c>
      <c r="D16" s="2458" t="s">
        <v>1669</v>
      </c>
      <c r="E16" s="2458"/>
      <c r="F16" s="2458"/>
    </row>
    <row r="17" spans="1:6" ht="20.6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3" t="s">
        <v>1834</v>
      </c>
      <c r="B32" s="2453"/>
      <c r="C32" s="2453"/>
      <c r="D32" s="2453"/>
      <c r="E32" s="2453"/>
      <c r="F32" s="2453"/>
    </row>
    <row r="33" spans="1:6" ht="13.5" customHeight="1" x14ac:dyDescent="0.2">
      <c r="A33" s="328" t="s">
        <v>1508</v>
      </c>
      <c r="B33" s="328"/>
      <c r="C33" s="1288">
        <v>0</v>
      </c>
      <c r="D33" s="1927"/>
      <c r="E33" s="1286"/>
    </row>
    <row r="34" spans="1:6" ht="13.5" customHeight="1" x14ac:dyDescent="0.2">
      <c r="A34" s="328" t="s">
        <v>1948</v>
      </c>
      <c r="B34" s="328"/>
      <c r="C34" s="1289">
        <v>0</v>
      </c>
      <c r="D34" s="1927" t="s">
        <v>1670</v>
      </c>
      <c r="E34" s="2454">
        <f>+C33+C34</f>
        <v>0</v>
      </c>
      <c r="F34" s="2455"/>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c r="D38" s="1927"/>
      <c r="E38" s="1286"/>
    </row>
    <row r="39" spans="1:6" ht="14.25" customHeight="1" x14ac:dyDescent="0.2">
      <c r="A39" s="328"/>
      <c r="B39" s="328" t="s">
        <v>1510</v>
      </c>
      <c r="C39" s="1292"/>
      <c r="D39" s="1927"/>
      <c r="E39" s="1286"/>
    </row>
    <row r="40" spans="1:6" ht="14.25" customHeight="1" x14ac:dyDescent="0.2">
      <c r="A40" s="328"/>
      <c r="B40" s="328" t="s">
        <v>1511</v>
      </c>
      <c r="C40" s="1292"/>
      <c r="D40" s="1927"/>
      <c r="E40" s="1286"/>
    </row>
    <row r="41" spans="1:6" ht="14.25" customHeight="1" x14ac:dyDescent="0.2">
      <c r="A41" s="328"/>
      <c r="B41" s="328" t="s">
        <v>1512</v>
      </c>
      <c r="C41" s="1292"/>
      <c r="D41" s="1927"/>
      <c r="E41" s="1286"/>
    </row>
    <row r="42" spans="1:6" ht="14.25" customHeight="1" x14ac:dyDescent="0.2">
      <c r="A42" s="328" t="s">
        <v>1513</v>
      </c>
      <c r="B42" s="328"/>
      <c r="C42" s="1925"/>
      <c r="D42" s="1927"/>
      <c r="E42" s="1286"/>
    </row>
    <row r="43" spans="1:6" ht="14.25" customHeight="1" x14ac:dyDescent="0.2">
      <c r="A43" s="328" t="s">
        <v>1514</v>
      </c>
      <c r="B43" s="328"/>
      <c r="C43" s="1293"/>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1671</v>
      </c>
      <c r="C49" s="2456"/>
      <c r="D49" s="2456"/>
      <c r="E49" s="1399"/>
    </row>
    <row r="50" spans="1:5" s="1300" customFormat="1" ht="3.75" customHeight="1" x14ac:dyDescent="0.2">
      <c r="A50" s="1299"/>
      <c r="B50" s="1869"/>
      <c r="C50" s="1869"/>
      <c r="D50" s="1869"/>
      <c r="E50" s="1399"/>
    </row>
    <row r="51" spans="1:5" s="1300" customFormat="1" ht="20.25" customHeight="1" x14ac:dyDescent="0.2">
      <c r="A51" s="1301">
        <v>6</v>
      </c>
      <c r="B51" s="2451" t="s">
        <v>1631</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49" sqref="K49"/>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Cerro Gordo CUSD 100</v>
      </c>
      <c r="C1" s="2464"/>
      <c r="D1" s="2464"/>
      <c r="E1" s="2464"/>
      <c r="F1" s="2464"/>
      <c r="G1" s="2464"/>
      <c r="H1" s="2464"/>
      <c r="I1" s="2464"/>
      <c r="J1" s="2464"/>
      <c r="K1" s="2464"/>
      <c r="L1" s="2464"/>
      <c r="M1" s="2464"/>
    </row>
    <row r="2" spans="2:14" ht="15" x14ac:dyDescent="0.2">
      <c r="B2" s="2461" t="str">
        <f>'Single Audit Cover'!E7</f>
        <v>39-074-1000-26</v>
      </c>
      <c r="C2" s="2461"/>
      <c r="D2" s="2461"/>
      <c r="E2" s="2461"/>
      <c r="F2" s="2461"/>
      <c r="G2" s="2461"/>
      <c r="H2" s="2461"/>
      <c r="I2" s="2461"/>
      <c r="J2" s="2461"/>
      <c r="K2" s="2461"/>
      <c r="L2" s="2461"/>
      <c r="M2" s="2461"/>
      <c r="N2" s="1302"/>
    </row>
    <row r="3" spans="2:14" ht="15" x14ac:dyDescent="0.2">
      <c r="B3" s="2465" t="s">
        <v>1280</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K49" sqref="K49"/>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2" t="s">
        <v>1229</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6" t="s">
        <v>1730</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330</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1389</v>
      </c>
      <c r="B70" s="2089"/>
      <c r="C70" s="2089"/>
      <c r="D70" s="2089"/>
      <c r="E70" s="2090"/>
      <c r="F70" s="2090"/>
      <c r="G70" s="2090"/>
      <c r="H70" s="2090"/>
      <c r="I70" s="2090"/>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1386</v>
      </c>
      <c r="B83" s="2091"/>
      <c r="C83" s="2091"/>
      <c r="D83" s="2092"/>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2080</v>
      </c>
      <c r="D114" s="208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1396</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K49" sqref="K49"/>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8" t="str">
        <f>'Single Audit Cover'!A7</f>
        <v>Cerro Gordo CUSD 100</v>
      </c>
      <c r="C1" s="2479"/>
      <c r="D1" s="2479"/>
      <c r="E1" s="2479"/>
      <c r="F1" s="2479"/>
      <c r="G1" s="2479"/>
      <c r="H1" s="2479"/>
      <c r="I1" s="2479"/>
      <c r="J1" s="1422"/>
    </row>
    <row r="2" spans="2:10" s="317" customFormat="1" ht="12.75" customHeight="1" x14ac:dyDescent="0.2">
      <c r="B2" s="2480" t="str">
        <f>'Single Audit Cover'!E7</f>
        <v>39-074-1000-26</v>
      </c>
      <c r="C2" s="2481"/>
      <c r="D2" s="2481"/>
      <c r="E2" s="2481"/>
      <c r="F2" s="2481"/>
      <c r="G2" s="2481"/>
      <c r="H2" s="2481"/>
      <c r="I2" s="2481"/>
      <c r="J2" s="1422"/>
    </row>
    <row r="3" spans="2:10" s="317" customFormat="1" ht="12.75" customHeight="1" x14ac:dyDescent="0.2">
      <c r="B3" s="2482" t="s">
        <v>1346</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4" customHeight="1" x14ac:dyDescent="0.2">
      <c r="B5" s="1424" t="s">
        <v>1230</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82" t="s">
        <v>1345</v>
      </c>
      <c r="C7" s="2483"/>
      <c r="D7" s="2483"/>
      <c r="E7" s="2483"/>
      <c r="F7" s="2483"/>
      <c r="G7" s="2483"/>
      <c r="H7" s="2483"/>
      <c r="I7" s="2483"/>
    </row>
    <row r="8" spans="2:10" s="317" customFormat="1" ht="6.4"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4"/>
      <c r="D11" s="2484"/>
      <c r="E11" s="1432"/>
      <c r="F11" s="1432"/>
      <c r="G11" s="1432"/>
    </row>
    <row r="12" spans="2:10" s="317" customFormat="1" ht="11.6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65"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65"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5"/>
      <c r="E29" s="2485"/>
      <c r="F29" s="2485"/>
      <c r="G29" s="2485"/>
      <c r="H29" s="2485"/>
      <c r="I29" s="2485"/>
    </row>
    <row r="30" spans="2:9" s="317" customFormat="1" x14ac:dyDescent="0.2">
      <c r="B30" s="1368"/>
      <c r="C30" s="322"/>
      <c r="D30" s="1433" t="s">
        <v>1850</v>
      </c>
      <c r="E30" s="1434"/>
      <c r="F30" s="1434"/>
      <c r="G30" s="1434"/>
      <c r="H30" s="1434"/>
      <c r="I30" s="1434"/>
    </row>
    <row r="31" spans="2:9" s="317" customFormat="1" ht="10.15"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1673</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1674</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10.15" customHeight="1" x14ac:dyDescent="0.2"/>
    <row r="49" spans="1:9" x14ac:dyDescent="0.2">
      <c r="B49" s="1368" t="s">
        <v>1334</v>
      </c>
      <c r="C49" s="1282"/>
      <c r="D49" s="1282"/>
      <c r="E49" s="2473"/>
      <c r="F49" s="2473"/>
      <c r="G49" s="2473"/>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1855</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1856</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49" sqref="K49"/>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8" t="str">
        <f>'Single Audit Cover'!A7</f>
        <v>Cerro Gordo CUSD 100</v>
      </c>
      <c r="C1" s="2478"/>
      <c r="D1" s="2478"/>
      <c r="E1" s="2478"/>
      <c r="F1" s="2478"/>
      <c r="G1" s="2478"/>
      <c r="H1" s="2478"/>
      <c r="I1" s="2478"/>
      <c r="J1" s="2478"/>
      <c r="K1" s="2478"/>
      <c r="L1" s="1374"/>
      <c r="M1" s="1374"/>
    </row>
    <row r="2" spans="1:13" ht="12" customHeight="1" x14ac:dyDescent="0.2">
      <c r="B2" s="2480" t="str">
        <f>'Single Audit Cover'!E7</f>
        <v>39-074-1000-26</v>
      </c>
      <c r="C2" s="2480"/>
      <c r="D2" s="2480"/>
      <c r="E2" s="2480"/>
      <c r="F2" s="2480"/>
      <c r="G2" s="2480"/>
      <c r="H2" s="2480"/>
      <c r="I2" s="2480"/>
      <c r="J2" s="2480"/>
      <c r="K2" s="2480"/>
      <c r="L2" s="1375"/>
      <c r="M2" s="1376"/>
    </row>
    <row r="3" spans="1:13" ht="10.35" customHeight="1" x14ac:dyDescent="0.2">
      <c r="B3" s="2494" t="s">
        <v>1346</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K49" sqref="K49"/>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01" t="str">
        <f>'Single Audit Cover'!A7</f>
        <v>Cerro Gordo CUSD 100</v>
      </c>
      <c r="C1" s="2501"/>
      <c r="D1" s="2501"/>
      <c r="E1" s="2501"/>
      <c r="F1" s="2501"/>
      <c r="G1" s="2501"/>
      <c r="H1" s="2501"/>
      <c r="I1" s="2501"/>
      <c r="J1" s="2501"/>
      <c r="K1" s="2501"/>
      <c r="L1" s="1465"/>
    </row>
    <row r="2" spans="1:12" ht="12.75" customHeight="1" x14ac:dyDescent="0.2">
      <c r="B2" s="2502" t="str">
        <f>'Single Audit Cover'!E7</f>
        <v>39-074-1000-26</v>
      </c>
      <c r="C2" s="2502"/>
      <c r="D2" s="2502"/>
      <c r="E2" s="2502"/>
      <c r="F2" s="2502"/>
      <c r="G2" s="2502"/>
      <c r="H2" s="2502"/>
      <c r="I2" s="2502"/>
      <c r="J2" s="2502"/>
      <c r="K2" s="2502"/>
      <c r="L2" s="1466"/>
    </row>
    <row r="3" spans="1:12" ht="12.75" customHeight="1" x14ac:dyDescent="0.2">
      <c r="B3" s="2494" t="s">
        <v>1346</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1230</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8"/>
      <c r="E14" s="2498"/>
      <c r="F14" s="2498"/>
      <c r="H14" s="1475" t="s">
        <v>1369</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9"/>
      <c r="E16" s="2499"/>
      <c r="F16" s="2499"/>
      <c r="G16" s="2499"/>
      <c r="H16" s="2499"/>
      <c r="I16" s="2499"/>
      <c r="J16" s="2499"/>
      <c r="K16" s="2499"/>
      <c r="L16" s="322"/>
    </row>
    <row r="17" spans="2:12" ht="13.5" customHeight="1" x14ac:dyDescent="0.2">
      <c r="B17" s="1387" t="s">
        <v>1367</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K49" sqref="K49"/>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8" t="str">
        <f>'Single Audit Cover'!A7</f>
        <v>Cerro Gordo CUSD 100</v>
      </c>
      <c r="C1" s="2478"/>
      <c r="D1" s="2478"/>
      <c r="E1" s="1491"/>
    </row>
    <row r="2" spans="2:5" s="1282" customFormat="1" ht="12.75" customHeight="1" x14ac:dyDescent="0.2">
      <c r="B2" s="2480" t="str">
        <f>'Single Audit Cover'!E7</f>
        <v>39-074-1000-26</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1379</v>
      </c>
      <c r="C44" s="322"/>
    </row>
    <row r="45" spans="2:5" ht="12.4" customHeight="1" x14ac:dyDescent="0.2">
      <c r="B45" s="1505" t="s">
        <v>1871</v>
      </c>
    </row>
    <row r="46" spans="2:5" ht="12.4" customHeight="1" x14ac:dyDescent="0.2">
      <c r="B46" s="1505" t="s">
        <v>1872</v>
      </c>
    </row>
    <row r="47" spans="2:5" ht="12.4" customHeight="1" x14ac:dyDescent="0.2">
      <c r="B47" s="1506" t="s">
        <v>1378</v>
      </c>
    </row>
    <row r="48" spans="2:5" ht="12.4" customHeight="1" x14ac:dyDescent="0.2">
      <c r="B48" s="1506" t="s">
        <v>1377</v>
      </c>
    </row>
    <row r="49" spans="2:5" ht="12.4" customHeight="1" x14ac:dyDescent="0.2">
      <c r="B49" s="1506" t="s">
        <v>1376</v>
      </c>
    </row>
    <row r="50" spans="2:5" ht="12.4"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K49" sqref="K49"/>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2" t="s">
        <v>403</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78355473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2.5000000000000001E-2</v>
      </c>
      <c r="E10" s="356" t="s">
        <v>1061</v>
      </c>
      <c r="F10" s="355">
        <v>5.0000000000000001E-3</v>
      </c>
      <c r="G10" s="356" t="s">
        <v>1061</v>
      </c>
      <c r="H10" s="355">
        <v>2E-3</v>
      </c>
      <c r="I10" s="356" t="s">
        <v>1062</v>
      </c>
      <c r="J10" s="1754">
        <f>ROUND(D10+F10+H10,5)</f>
        <v>3.2000000000000001E-2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4877975</v>
      </c>
      <c r="E16" s="356"/>
      <c r="F16" s="1755">
        <f>SUM('Acct Summary 7-8'!C17,'Acct Summary 7-8'!D17,'Acct Summary 7-8'!F17)</f>
        <v>4407470</v>
      </c>
      <c r="G16" s="356"/>
      <c r="H16" s="1755">
        <f>SUM(D16-F16)</f>
        <v>470505</v>
      </c>
      <c r="I16" s="222"/>
      <c r="J16" s="1755">
        <f>SUM('Acct Summary 7-8'!C81,'Acct Summary 7-8'!D81,'Acct Summary 7-8'!F81,'Acct Summary 7-8'!I81)</f>
        <v>2699554</v>
      </c>
      <c r="K16" s="222"/>
      <c r="L16" s="222"/>
      <c r="M16" s="222"/>
    </row>
    <row r="17" spans="1:13" ht="12.4" customHeight="1" x14ac:dyDescent="0.2">
      <c r="A17" s="349"/>
      <c r="B17" s="260" t="s">
        <v>8</v>
      </c>
      <c r="C17" s="237" t="s">
        <v>1462</v>
      </c>
      <c r="D17" s="222"/>
      <c r="E17" s="222"/>
      <c r="F17" s="222"/>
      <c r="G17" s="222"/>
      <c r="H17" s="222"/>
      <c r="I17" s="222"/>
      <c r="J17" s="222"/>
      <c r="K17" s="222"/>
      <c r="L17" s="222"/>
      <c r="M17" s="222"/>
    </row>
    <row r="18" spans="1:13" ht="12.4"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10813055.274</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12283500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4"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K49" sqref="K49"/>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576</v>
      </c>
      <c r="B2" s="2121"/>
      <c r="C2" s="2121"/>
      <c r="D2" s="2121"/>
      <c r="E2" s="2121"/>
      <c r="F2" s="2121"/>
      <c r="G2" s="2121"/>
      <c r="H2" s="2121"/>
      <c r="I2" s="2121"/>
      <c r="J2" s="2121"/>
      <c r="K2" s="2121"/>
      <c r="L2" s="2121"/>
      <c r="M2" s="2121"/>
      <c r="N2" s="2121"/>
      <c r="O2" s="2121"/>
      <c r="P2" s="2121"/>
      <c r="Q2" s="2121"/>
      <c r="R2" s="2121"/>
    </row>
    <row r="3" spans="1:18" ht="12.75" x14ac:dyDescent="0.2">
      <c r="A3" s="2122" t="s">
        <v>1479</v>
      </c>
      <c r="B3" s="2122"/>
      <c r="C3" s="2122"/>
      <c r="D3" s="2122"/>
      <c r="E3" s="2122"/>
      <c r="F3" s="2122"/>
      <c r="G3" s="2122"/>
      <c r="H3" s="2122"/>
      <c r="I3" s="2122"/>
      <c r="J3" s="2122"/>
      <c r="K3" s="2122"/>
      <c r="L3" s="2122"/>
      <c r="M3" s="2122"/>
      <c r="N3" s="2122"/>
      <c r="O3" s="2122"/>
      <c r="P3" s="2122"/>
      <c r="Q3" s="2122"/>
      <c r="R3" s="2122"/>
    </row>
    <row r="4" spans="1:18" x14ac:dyDescent="0.2">
      <c r="A4" s="2123" t="s">
        <v>1634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Cerro Gordo CUSD 100</v>
      </c>
      <c r="E7" s="391"/>
      <c r="G7" s="252"/>
      <c r="H7" s="387"/>
      <c r="I7" s="387"/>
      <c r="J7" s="387"/>
      <c r="K7" s="387"/>
      <c r="L7" s="329"/>
      <c r="M7" s="329"/>
      <c r="N7" s="329"/>
      <c r="O7" s="329"/>
      <c r="P7" s="329"/>
    </row>
    <row r="8" spans="1:18" ht="12.75" x14ac:dyDescent="0.2">
      <c r="A8" s="329"/>
      <c r="B8" s="329"/>
      <c r="C8" s="389" t="s">
        <v>1186</v>
      </c>
      <c r="D8" s="392" t="str">
        <f>COVER!A13</f>
        <v>39-074-1000-26</v>
      </c>
      <c r="E8" s="393"/>
      <c r="G8" s="329"/>
      <c r="H8" s="329"/>
      <c r="I8" s="329"/>
      <c r="J8" s="329"/>
      <c r="K8" s="329"/>
      <c r="L8" s="329"/>
      <c r="M8" s="329"/>
      <c r="N8" s="329"/>
      <c r="O8" s="329"/>
      <c r="P8" s="329"/>
    </row>
    <row r="9" spans="1:18" ht="12.75" x14ac:dyDescent="0.2">
      <c r="A9" s="329"/>
      <c r="B9" s="329"/>
      <c r="C9" s="389" t="s">
        <v>736</v>
      </c>
      <c r="D9" s="394" t="str">
        <f>COVER!A15</f>
        <v>PIATT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2699554</v>
      </c>
      <c r="I12" s="404"/>
      <c r="J12" s="404"/>
      <c r="K12" s="405">
        <f>TRUNC((H12/H13*100000),5)/100000</f>
        <v>0.5534169404</v>
      </c>
      <c r="L12" s="406"/>
      <c r="M12" s="360" t="s">
        <v>1205</v>
      </c>
      <c r="N12" s="360"/>
      <c r="O12" s="407">
        <v>0.35</v>
      </c>
      <c r="P12" s="218"/>
      <c r="Q12" s="218"/>
    </row>
    <row r="13" spans="1:18" s="408" customFormat="1" ht="12.75" x14ac:dyDescent="0.2">
      <c r="A13" s="218"/>
      <c r="B13" s="401"/>
      <c r="C13" s="2119" t="s">
        <v>1390</v>
      </c>
      <c r="D13" s="2120"/>
      <c r="E13" s="218"/>
      <c r="F13" s="409" t="s">
        <v>825</v>
      </c>
      <c r="G13" s="402"/>
      <c r="H13" s="403">
        <f>SUM('Acct Summary 7-8'!C8+'Acct Summary 7-8'!D8+'Acct Summary 7-8'!F8+'Acct Summary 7-8'!I8)+H14</f>
        <v>4877975</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4407470</v>
      </c>
      <c r="I17" s="404"/>
      <c r="J17" s="416"/>
      <c r="K17" s="405">
        <f>TRUNC((H17/H18*100000),5)/100000</f>
        <v>0.90354501610000004</v>
      </c>
      <c r="L17" s="406"/>
      <c r="M17" s="417" t="s">
        <v>1232</v>
      </c>
      <c r="O17" s="418" t="str">
        <f>IF(AND(O16="2", J20 &gt; 2),"1",IF(AND(O16 = "1", J20 &gt; 2),"2",IF(AND(O16="1", J20 &gt;1),"1","0")))</f>
        <v>0</v>
      </c>
      <c r="P17" s="218"/>
    </row>
    <row r="18" spans="1:18" s="408" customFormat="1" ht="11.25" x14ac:dyDescent="0.2">
      <c r="A18" s="218"/>
      <c r="B18" s="401"/>
      <c r="C18" s="2119" t="s">
        <v>1383</v>
      </c>
      <c r="D18" s="2120"/>
      <c r="E18" s="218"/>
      <c r="F18" s="419" t="s">
        <v>826</v>
      </c>
      <c r="G18" s="402"/>
      <c r="H18" s="403">
        <f>SUM('Acct Summary 7-8'!C8+'Acct Summary 7-8'!D8+'Acct Summary 7-8'!F8+'Acct Summary 7-8'!I8)+H19</f>
        <v>4877975</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65" customHeight="1" x14ac:dyDescent="0.2">
      <c r="A21" s="216"/>
      <c r="B21" s="396"/>
      <c r="C21" s="218" t="s">
        <v>495</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6" t="s">
        <v>1478</v>
      </c>
      <c r="D24" s="2116"/>
      <c r="E24" s="218"/>
      <c r="F24" s="218" t="s">
        <v>464</v>
      </c>
      <c r="G24" s="402"/>
      <c r="H24" s="403">
        <f>SUM('Assets-Liab 5-6'!C4+'Assets-Liab 5-6'!D4+'Assets-Liab 5-6'!F4+'Assets-Liab 5-6'!I4+'Assets-Liab 5-6'!C5+'Assets-Liab 5-6'!D5+'Assets-Liab 5-6'!F5+'Assets-Liab 5-6'!I5)</f>
        <v>2706099</v>
      </c>
      <c r="I24" s="422"/>
      <c r="J24" s="422"/>
      <c r="K24" s="423">
        <f>TRUNC(((H24/H25*100000)/100000),2)</f>
        <v>221.03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12242.97222</v>
      </c>
      <c r="I25" s="425"/>
      <c r="J25" s="425"/>
      <c r="K25" s="410"/>
      <c r="L25" s="218"/>
      <c r="M25" s="360" t="s">
        <v>1206</v>
      </c>
      <c r="N25" s="360"/>
      <c r="O25" s="411">
        <f>O23*O24</f>
        <v>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2131268.8656000001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12283500</v>
      </c>
      <c r="I32" s="420"/>
      <c r="J32" s="420"/>
      <c r="K32" s="423">
        <f>TRUNC(100-((((H32/H33*100))*100)/100),2)</f>
        <v>-13.59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10813055.274</v>
      </c>
      <c r="I33" s="420"/>
      <c r="J33" s="420"/>
      <c r="K33" s="403"/>
      <c r="L33" s="218"/>
      <c r="M33" s="435" t="s">
        <v>1206</v>
      </c>
      <c r="N33" s="435"/>
      <c r="O33" s="434">
        <f>(O31*O32)</f>
        <v>0.1</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K49" sqref="K49"/>
      <selection pane="bottomLeft" activeCell="E9" sqref="E9"/>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4"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6" t="s">
        <v>1029</v>
      </c>
      <c r="B3" s="2127"/>
      <c r="C3" s="1581"/>
      <c r="D3" s="1582"/>
      <c r="E3" s="1582"/>
      <c r="F3" s="1582"/>
      <c r="G3" s="1582"/>
      <c r="H3" s="1582"/>
      <c r="I3" s="1582"/>
      <c r="J3" s="1582"/>
      <c r="K3" s="1582"/>
      <c r="L3" s="1582"/>
      <c r="M3" s="1583"/>
      <c r="N3" s="1584"/>
    </row>
    <row r="4" spans="1:14" ht="13.5" customHeight="1" x14ac:dyDescent="0.2">
      <c r="A4" s="463" t="s">
        <v>1749</v>
      </c>
      <c r="B4" s="464"/>
      <c r="C4" s="465">
        <v>800477</v>
      </c>
      <c r="D4" s="466">
        <v>205758</v>
      </c>
      <c r="E4" s="466">
        <v>49892</v>
      </c>
      <c r="F4" s="466">
        <v>114081</v>
      </c>
      <c r="G4" s="466">
        <v>126091</v>
      </c>
      <c r="H4" s="466">
        <v>231686</v>
      </c>
      <c r="I4" s="466">
        <v>135478</v>
      </c>
      <c r="J4" s="467">
        <v>135225</v>
      </c>
      <c r="K4" s="466">
        <v>65663</v>
      </c>
      <c r="L4" s="466">
        <v>117034</v>
      </c>
      <c r="M4" s="468"/>
      <c r="N4" s="469"/>
    </row>
    <row r="5" spans="1:14" x14ac:dyDescent="0.2">
      <c r="A5" s="463" t="s">
        <v>1048</v>
      </c>
      <c r="B5" s="470">
        <v>120</v>
      </c>
      <c r="C5" s="465"/>
      <c r="D5" s="466"/>
      <c r="E5" s="466">
        <v>483200</v>
      </c>
      <c r="F5" s="466"/>
      <c r="G5" s="466">
        <v>50000</v>
      </c>
      <c r="H5" s="466">
        <v>8749898</v>
      </c>
      <c r="I5" s="466">
        <v>1450305</v>
      </c>
      <c r="J5" s="467">
        <v>50000</v>
      </c>
      <c r="K5" s="471"/>
      <c r="L5" s="472">
        <v>12818</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v>7500</v>
      </c>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955</v>
      </c>
      <c r="D12" s="466"/>
      <c r="E12" s="466"/>
      <c r="F12" s="466"/>
      <c r="G12" s="466"/>
      <c r="H12" s="466"/>
      <c r="I12" s="466"/>
      <c r="J12" s="467"/>
      <c r="K12" s="466"/>
      <c r="L12" s="466"/>
      <c r="M12" s="469"/>
      <c r="N12" s="469"/>
    </row>
    <row r="13" spans="1:14" ht="13.5" customHeight="1" thickBot="1" x14ac:dyDescent="0.25">
      <c r="A13" s="1758" t="s">
        <v>664</v>
      </c>
      <c r="B13" s="1731"/>
      <c r="C13" s="1759">
        <f>SUM(C4:C12)</f>
        <v>801432</v>
      </c>
      <c r="D13" s="1759">
        <f t="shared" ref="D13:L13" si="0">SUM(D4:D12)</f>
        <v>205758</v>
      </c>
      <c r="E13" s="1759">
        <f t="shared" si="0"/>
        <v>540592</v>
      </c>
      <c r="F13" s="1759">
        <f t="shared" si="0"/>
        <v>114081</v>
      </c>
      <c r="G13" s="1759">
        <f t="shared" si="0"/>
        <v>176091</v>
      </c>
      <c r="H13" s="1759">
        <f t="shared" si="0"/>
        <v>8981584</v>
      </c>
      <c r="I13" s="1759">
        <f t="shared" si="0"/>
        <v>1585783</v>
      </c>
      <c r="J13" s="1759">
        <f t="shared" si="0"/>
        <v>185225</v>
      </c>
      <c r="K13" s="1759">
        <f t="shared" si="0"/>
        <v>65663</v>
      </c>
      <c r="L13" s="1759">
        <f t="shared" si="0"/>
        <v>129852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4000</v>
      </c>
      <c r="N16" s="484"/>
    </row>
    <row r="17" spans="1:14" s="485" customFormat="1" ht="12.75" customHeight="1" x14ac:dyDescent="0.2">
      <c r="A17" s="482" t="s">
        <v>1469</v>
      </c>
      <c r="B17" s="483">
        <v>230</v>
      </c>
      <c r="C17" s="477"/>
      <c r="D17" s="477"/>
      <c r="E17" s="477"/>
      <c r="F17" s="477"/>
      <c r="G17" s="477"/>
      <c r="H17" s="477"/>
      <c r="I17" s="477"/>
      <c r="J17" s="477"/>
      <c r="K17" s="477"/>
      <c r="L17" s="477"/>
      <c r="M17" s="467">
        <v>10008106</v>
      </c>
      <c r="N17" s="484"/>
    </row>
    <row r="18" spans="1:14" s="485" customFormat="1" ht="12.75" customHeight="1" x14ac:dyDescent="0.2">
      <c r="A18" s="482" t="s">
        <v>1470</v>
      </c>
      <c r="B18" s="483">
        <v>240</v>
      </c>
      <c r="C18" s="477"/>
      <c r="D18" s="477"/>
      <c r="E18" s="477"/>
      <c r="F18" s="477"/>
      <c r="G18" s="477"/>
      <c r="H18" s="477"/>
      <c r="I18" s="477"/>
      <c r="J18" s="477"/>
      <c r="K18" s="477"/>
      <c r="L18" s="477"/>
      <c r="M18" s="467">
        <v>358328</v>
      </c>
      <c r="N18" s="484"/>
    </row>
    <row r="19" spans="1:14" s="485" customFormat="1" ht="12.75" customHeight="1" x14ac:dyDescent="0.2">
      <c r="A19" s="482" t="s">
        <v>1471</v>
      </c>
      <c r="B19" s="483">
        <v>250</v>
      </c>
      <c r="C19" s="477"/>
      <c r="D19" s="477"/>
      <c r="E19" s="477"/>
      <c r="F19" s="477"/>
      <c r="G19" s="477"/>
      <c r="H19" s="477"/>
      <c r="I19" s="477"/>
      <c r="J19" s="477"/>
      <c r="K19" s="477"/>
      <c r="L19" s="477"/>
      <c r="M19" s="467">
        <v>2005497</v>
      </c>
      <c r="N19" s="484"/>
    </row>
    <row r="20" spans="1:14" s="485" customFormat="1" ht="12.75" customHeight="1" x14ac:dyDescent="0.2">
      <c r="A20" s="482" t="s">
        <v>1472</v>
      </c>
      <c r="B20" s="483">
        <v>260</v>
      </c>
      <c r="C20" s="477"/>
      <c r="D20" s="477"/>
      <c r="E20" s="477"/>
      <c r="F20" s="477"/>
      <c r="G20" s="477"/>
      <c r="H20" s="477"/>
      <c r="I20" s="477"/>
      <c r="J20" s="477"/>
      <c r="K20" s="477"/>
      <c r="L20" s="477"/>
      <c r="M20" s="467">
        <v>1063365</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533092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11750408</v>
      </c>
    </row>
    <row r="23" spans="1:14" ht="13.5" customHeight="1" thickBot="1" x14ac:dyDescent="0.25">
      <c r="A23" s="1758" t="s">
        <v>663</v>
      </c>
      <c r="B23" s="1763"/>
      <c r="C23" s="468"/>
      <c r="D23" s="468"/>
      <c r="E23" s="468"/>
      <c r="F23" s="468"/>
      <c r="G23" s="468"/>
      <c r="H23" s="468"/>
      <c r="I23" s="468"/>
      <c r="J23" s="468"/>
      <c r="K23" s="468"/>
      <c r="L23" s="468"/>
      <c r="M23" s="1710">
        <f>SUM(M15:M22)</f>
        <v>13439296</v>
      </c>
      <c r="N23" s="1710">
        <f>SUM(N21:N22)</f>
        <v>12283500</v>
      </c>
    </row>
    <row r="24" spans="1:14" ht="18" customHeight="1" thickTop="1" x14ac:dyDescent="0.2">
      <c r="A24" s="2130" t="s">
        <v>618</v>
      </c>
      <c r="B24" s="2131"/>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v>7500</v>
      </c>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129852</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7500</v>
      </c>
      <c r="J34" s="1762">
        <f t="shared" si="1"/>
        <v>0</v>
      </c>
      <c r="K34" s="1762">
        <f t="shared" si="1"/>
        <v>0</v>
      </c>
      <c r="L34" s="1743">
        <f>SUM(L33)</f>
        <v>129852</v>
      </c>
      <c r="M34" s="468"/>
      <c r="N34" s="480"/>
    </row>
    <row r="35" spans="1:14" ht="18" customHeight="1" thickTop="1" x14ac:dyDescent="0.2">
      <c r="A35" s="2132" t="s">
        <v>549</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12283500</v>
      </c>
    </row>
    <row r="37" spans="1:14" ht="13.5" thickBot="1" x14ac:dyDescent="0.25">
      <c r="A37" s="1758" t="s">
        <v>673</v>
      </c>
      <c r="B37" s="1763"/>
      <c r="C37" s="477"/>
      <c r="D37" s="477"/>
      <c r="E37" s="477"/>
      <c r="F37" s="477"/>
      <c r="G37" s="477"/>
      <c r="H37" s="477"/>
      <c r="I37" s="477"/>
      <c r="J37" s="477"/>
      <c r="K37" s="477"/>
      <c r="L37" s="480"/>
      <c r="M37" s="468"/>
      <c r="N37" s="1710">
        <f>SUM(N36:N36)</f>
        <v>12283500</v>
      </c>
    </row>
    <row r="38" spans="1:14" s="329" customFormat="1" ht="13.5" customHeight="1" thickTop="1" x14ac:dyDescent="0.2">
      <c r="A38" s="496" t="s">
        <v>439</v>
      </c>
      <c r="B38" s="483">
        <v>714</v>
      </c>
      <c r="C38" s="466"/>
      <c r="D38" s="466">
        <v>27787</v>
      </c>
      <c r="E38" s="466"/>
      <c r="F38" s="466"/>
      <c r="G38" s="466"/>
      <c r="H38" s="466"/>
      <c r="I38" s="466"/>
      <c r="J38" s="467"/>
      <c r="K38" s="466"/>
      <c r="L38" s="481"/>
      <c r="M38" s="497"/>
      <c r="N38" s="497"/>
    </row>
    <row r="39" spans="1:14" s="329" customFormat="1" ht="13.5" customHeight="1" x14ac:dyDescent="0.2">
      <c r="A39" s="496" t="s">
        <v>359</v>
      </c>
      <c r="B39" s="483">
        <v>730</v>
      </c>
      <c r="C39" s="466">
        <v>801432</v>
      </c>
      <c r="D39" s="466">
        <v>177971</v>
      </c>
      <c r="E39" s="466">
        <v>540592</v>
      </c>
      <c r="F39" s="466">
        <v>114081</v>
      </c>
      <c r="G39" s="466">
        <v>176091</v>
      </c>
      <c r="H39" s="466">
        <v>8981584</v>
      </c>
      <c r="I39" s="466">
        <v>1578283</v>
      </c>
      <c r="J39" s="467">
        <v>185225</v>
      </c>
      <c r="K39" s="466">
        <v>65663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13439296</v>
      </c>
      <c r="N40" s="497"/>
    </row>
    <row r="41" spans="1:14" ht="13.5" customHeight="1" thickBot="1" x14ac:dyDescent="0.25">
      <c r="A41" s="1758" t="s">
        <v>675</v>
      </c>
      <c r="B41" s="1728"/>
      <c r="C41" s="1710">
        <f>(SUM(C34,C37,C38,C39))</f>
        <v>801432</v>
      </c>
      <c r="D41" s="1710">
        <f t="shared" ref="D41:L41" si="2">SUM(D34,D37,D38:D39)</f>
        <v>205758</v>
      </c>
      <c r="E41" s="1710">
        <f t="shared" si="2"/>
        <v>540592</v>
      </c>
      <c r="F41" s="1710">
        <f t="shared" si="2"/>
        <v>114081</v>
      </c>
      <c r="G41" s="1710">
        <f t="shared" si="2"/>
        <v>176091</v>
      </c>
      <c r="H41" s="1710">
        <f t="shared" si="2"/>
        <v>8981584</v>
      </c>
      <c r="I41" s="1710">
        <f t="shared" si="2"/>
        <v>1585783</v>
      </c>
      <c r="J41" s="1710">
        <f t="shared" si="2"/>
        <v>185225</v>
      </c>
      <c r="K41" s="1710">
        <f t="shared" si="2"/>
        <v>65663</v>
      </c>
      <c r="L41" s="1710">
        <f t="shared" si="2"/>
        <v>129852</v>
      </c>
      <c r="M41" s="1710">
        <f>SUM(M40)</f>
        <v>13439296</v>
      </c>
      <c r="N41" s="1710">
        <f>SUM(N37)</f>
        <v>12283500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K49" sqref="K49"/>
      <selection pane="bottomLeft" activeCell="K49" sqref="K49"/>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899999999999999" customHeight="1" x14ac:dyDescent="0.2">
      <c r="A3" s="2154" t="s">
        <v>1236</v>
      </c>
      <c r="B3" s="2155"/>
      <c r="C3" s="1595"/>
      <c r="D3" s="1596"/>
      <c r="E3" s="1596"/>
      <c r="F3" s="1596"/>
      <c r="G3" s="1596"/>
      <c r="H3" s="1596"/>
      <c r="I3" s="1596"/>
      <c r="J3" s="1596"/>
      <c r="K3" s="1597"/>
      <c r="L3" s="506"/>
    </row>
    <row r="4" spans="1:13" ht="15.75" customHeight="1" x14ac:dyDescent="0.2">
      <c r="A4" s="1953" t="s">
        <v>1578</v>
      </c>
      <c r="B4" s="1954">
        <v>1000</v>
      </c>
      <c r="C4" s="1764">
        <f>'Revenues 9-14'!C109</f>
        <v>2180092</v>
      </c>
      <c r="D4" s="1764">
        <f>'Revenues 9-14'!D109</f>
        <v>398841</v>
      </c>
      <c r="E4" s="1764">
        <f>'Revenues 9-14'!E109</f>
        <v>484089</v>
      </c>
      <c r="F4" s="1764">
        <f>'Revenues 9-14'!F109</f>
        <v>168229</v>
      </c>
      <c r="G4" s="1764">
        <f>'Revenues 9-14'!G109</f>
        <v>142048</v>
      </c>
      <c r="H4" s="1764">
        <f>'Revenues 9-14'!H109</f>
        <v>80837</v>
      </c>
      <c r="I4" s="1764">
        <f>'Revenues 9-14'!I109</f>
        <v>36002</v>
      </c>
      <c r="J4" s="1764">
        <f>'Revenues 9-14'!J109</f>
        <v>201613</v>
      </c>
      <c r="K4" s="1764">
        <f>'Revenues 9-14'!K109</f>
        <v>36002</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1367079</v>
      </c>
      <c r="D6" s="1765">
        <f>'Revenues 9-14'!D173</f>
        <v>30000</v>
      </c>
      <c r="E6" s="1765">
        <f>'Revenues 9-14'!E173</f>
        <v>0</v>
      </c>
      <c r="F6" s="1765">
        <f>'Revenues 9-14'!F173</f>
        <v>252213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445519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3992690</v>
      </c>
      <c r="D8" s="1710">
        <f t="shared" ref="D8:K8" si="0">SUM(D4:D7)</f>
        <v>428841</v>
      </c>
      <c r="E8" s="1710">
        <f t="shared" si="0"/>
        <v>484089</v>
      </c>
      <c r="F8" s="1710">
        <f t="shared" si="0"/>
        <v>420442</v>
      </c>
      <c r="G8" s="1710">
        <f t="shared" si="0"/>
        <v>142048</v>
      </c>
      <c r="H8" s="1710">
        <f t="shared" si="0"/>
        <v>80837</v>
      </c>
      <c r="I8" s="1710">
        <f t="shared" si="0"/>
        <v>36002</v>
      </c>
      <c r="J8" s="1710">
        <f t="shared" si="0"/>
        <v>201613</v>
      </c>
      <c r="K8" s="1710">
        <f t="shared" si="0"/>
        <v>36002</v>
      </c>
      <c r="L8" s="347"/>
    </row>
    <row r="9" spans="1:13" ht="15.75" thickTop="1" x14ac:dyDescent="0.2">
      <c r="A9" s="514" t="s">
        <v>1751</v>
      </c>
      <c r="B9" s="515">
        <v>3998</v>
      </c>
      <c r="C9" s="481">
        <v>1721224</v>
      </c>
      <c r="D9" s="516"/>
      <c r="E9" s="481"/>
      <c r="F9" s="481"/>
      <c r="G9" s="517"/>
      <c r="H9" s="481"/>
      <c r="I9" s="509" t="s">
        <v>1230</v>
      </c>
      <c r="J9" s="478"/>
      <c r="K9" s="481"/>
      <c r="L9" s="347"/>
    </row>
    <row r="10" spans="1:13" s="519" customFormat="1" ht="13.5" thickBot="1" x14ac:dyDescent="0.25">
      <c r="A10" s="1758" t="s">
        <v>1234</v>
      </c>
      <c r="B10" s="1731"/>
      <c r="C10" s="1710">
        <f>SUM(C8:C9)</f>
        <v>5713914</v>
      </c>
      <c r="D10" s="1710">
        <f t="shared" ref="D10:K10" si="1">SUM(D8:D9)</f>
        <v>428841</v>
      </c>
      <c r="E10" s="1710">
        <f t="shared" si="1"/>
        <v>484089</v>
      </c>
      <c r="F10" s="1710">
        <f t="shared" si="1"/>
        <v>420442</v>
      </c>
      <c r="G10" s="1710">
        <f t="shared" si="1"/>
        <v>142048</v>
      </c>
      <c r="H10" s="1710">
        <f t="shared" si="1"/>
        <v>80837</v>
      </c>
      <c r="I10" s="1710">
        <f t="shared" si="1"/>
        <v>36002</v>
      </c>
      <c r="J10" s="1710">
        <f t="shared" si="1"/>
        <v>201613</v>
      </c>
      <c r="K10" s="1710">
        <f t="shared" si="1"/>
        <v>36002</v>
      </c>
      <c r="L10" s="518"/>
    </row>
    <row r="11" spans="1:13" s="519" customFormat="1" ht="16.899999999999999" customHeight="1" thickTop="1" x14ac:dyDescent="0.2">
      <c r="A11" s="2128" t="s">
        <v>1237</v>
      </c>
      <c r="B11" s="2129"/>
      <c r="C11" s="1592"/>
      <c r="D11" s="1593"/>
      <c r="E11" s="1593"/>
      <c r="F11" s="1593"/>
      <c r="G11" s="1593"/>
      <c r="H11" s="1593"/>
      <c r="I11" s="1593"/>
      <c r="J11" s="1593"/>
      <c r="K11" s="1594"/>
      <c r="L11" s="518"/>
    </row>
    <row r="12" spans="1:13" ht="15.75" customHeight="1" x14ac:dyDescent="0.2">
      <c r="A12" s="1598" t="s">
        <v>475</v>
      </c>
      <c r="B12" s="1600">
        <v>1000</v>
      </c>
      <c r="C12" s="1764">
        <f>'Expenditures 15-22'!K33</f>
        <v>2445923</v>
      </c>
      <c r="D12" s="520" t="s">
        <v>1230</v>
      </c>
      <c r="E12" s="468" t="s">
        <v>1230</v>
      </c>
      <c r="F12" s="468" t="s">
        <v>1230</v>
      </c>
      <c r="G12" s="1764">
        <f>'Expenditures 15-22'!K229</f>
        <v>32352</v>
      </c>
      <c r="H12" s="521"/>
      <c r="I12" s="468" t="s">
        <v>1230</v>
      </c>
      <c r="J12" s="468" t="s">
        <v>1230</v>
      </c>
      <c r="K12" s="521" t="s">
        <v>1230</v>
      </c>
      <c r="L12" s="347"/>
    </row>
    <row r="13" spans="1:13" ht="15.75" customHeight="1" x14ac:dyDescent="0.2">
      <c r="A13" s="1598" t="s">
        <v>476</v>
      </c>
      <c r="B13" s="1600">
        <v>2000</v>
      </c>
      <c r="C13" s="1765">
        <f>'Expenditures 15-22'!K74</f>
        <v>1006991</v>
      </c>
      <c r="D13" s="1765">
        <f>'Expenditures 15-22'!K129</f>
        <v>420687</v>
      </c>
      <c r="E13" s="469" t="s">
        <v>1230</v>
      </c>
      <c r="F13" s="1765">
        <f>'Expenditures 15-22'!K184</f>
        <v>396407</v>
      </c>
      <c r="G13" s="1765">
        <f>'Expenditures 15-22'!K279</f>
        <v>75682</v>
      </c>
      <c r="H13" s="1765">
        <f>'Expenditures 15-22'!K303</f>
        <v>1191542</v>
      </c>
      <c r="I13" s="468" t="s">
        <v>1230</v>
      </c>
      <c r="J13" s="1765">
        <f>'Expenditures 15-22'!K330</f>
        <v>159572</v>
      </c>
      <c r="K13" s="1769">
        <f>'Expenditures 15-22'!K352</f>
        <v>741</v>
      </c>
      <c r="L13" s="347"/>
    </row>
    <row r="14" spans="1:13" ht="15.75" customHeight="1" x14ac:dyDescent="0.2">
      <c r="A14" s="1598" t="s">
        <v>468</v>
      </c>
      <c r="B14" s="1600">
        <v>3000</v>
      </c>
      <c r="C14" s="1765">
        <f>'Expenditures 15-22'!K75</f>
        <v>6568</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130894</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450726</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3590376</v>
      </c>
      <c r="D17" s="1710">
        <f t="shared" si="2"/>
        <v>420687</v>
      </c>
      <c r="E17" s="1710">
        <f t="shared" si="2"/>
        <v>450726</v>
      </c>
      <c r="F17" s="1710">
        <f t="shared" si="2"/>
        <v>396407</v>
      </c>
      <c r="G17" s="1710">
        <f t="shared" si="2"/>
        <v>108034</v>
      </c>
      <c r="H17" s="1710">
        <f t="shared" si="2"/>
        <v>1191542</v>
      </c>
      <c r="I17" s="468"/>
      <c r="J17" s="1710">
        <f>SUM(J12:J16)</f>
        <v>159572</v>
      </c>
      <c r="K17" s="1710">
        <f>SUM(K12:K16)</f>
        <v>741</v>
      </c>
      <c r="L17" s="347"/>
    </row>
    <row r="18" spans="1:12" ht="15" customHeight="1" thickTop="1" x14ac:dyDescent="0.2">
      <c r="A18" s="1766" t="s">
        <v>1752</v>
      </c>
      <c r="B18" s="1767">
        <v>4180</v>
      </c>
      <c r="C18" s="1764">
        <f t="shared" ref="C18:H18" si="3">C9</f>
        <v>1721224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5311600</v>
      </c>
      <c r="D19" s="1710">
        <f t="shared" si="4"/>
        <v>420687</v>
      </c>
      <c r="E19" s="1710">
        <f t="shared" si="4"/>
        <v>450726</v>
      </c>
      <c r="F19" s="1710">
        <f t="shared" si="4"/>
        <v>396407</v>
      </c>
      <c r="G19" s="1710">
        <f t="shared" si="4"/>
        <v>108034</v>
      </c>
      <c r="H19" s="1710">
        <f t="shared" si="4"/>
        <v>1191542</v>
      </c>
      <c r="I19" s="468"/>
      <c r="J19" s="1710">
        <f>SUM(J17:J18)</f>
        <v>159572</v>
      </c>
      <c r="K19" s="1710">
        <f>SUM(K17:K18)</f>
        <v>741</v>
      </c>
      <c r="L19" s="347"/>
    </row>
    <row r="20" spans="1:12" ht="16.5" thickTop="1" thickBot="1" x14ac:dyDescent="0.25">
      <c r="A20" s="2144" t="s">
        <v>1753</v>
      </c>
      <c r="B20" s="2145"/>
      <c r="C20" s="1768">
        <f>C8-C17</f>
        <v>402314</v>
      </c>
      <c r="D20" s="1768">
        <f t="shared" ref="D20:K20" si="5">D8-D17</f>
        <v>8154</v>
      </c>
      <c r="E20" s="1768">
        <f t="shared" si="5"/>
        <v>33363</v>
      </c>
      <c r="F20" s="1768">
        <f t="shared" si="5"/>
        <v>24035</v>
      </c>
      <c r="G20" s="1768">
        <f t="shared" si="5"/>
        <v>34014</v>
      </c>
      <c r="H20" s="1768">
        <f t="shared" si="5"/>
        <v>-1110705</v>
      </c>
      <c r="I20" s="1768">
        <f t="shared" si="5"/>
        <v>36002</v>
      </c>
      <c r="J20" s="1768">
        <f t="shared" si="5"/>
        <v>42041</v>
      </c>
      <c r="K20" s="1768">
        <f t="shared" si="5"/>
        <v>35261</v>
      </c>
      <c r="L20" s="347"/>
    </row>
    <row r="21" spans="1:12" ht="16.899999999999999" customHeight="1" thickTop="1" x14ac:dyDescent="0.2">
      <c r="A21" s="2156" t="s">
        <v>615</v>
      </c>
      <c r="B21" s="2157"/>
      <c r="C21" s="1592"/>
      <c r="D21" s="1593"/>
      <c r="E21" s="1593"/>
      <c r="F21" s="1593"/>
      <c r="G21" s="1593"/>
      <c r="H21" s="1593"/>
      <c r="I21" s="1593"/>
      <c r="J21" s="1593"/>
      <c r="K21" s="1594"/>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511" t="s">
        <v>431</v>
      </c>
      <c r="B33" s="525">
        <v>7210</v>
      </c>
      <c r="C33" s="467"/>
      <c r="D33" s="467"/>
      <c r="E33" s="467">
        <v>383200</v>
      </c>
      <c r="F33" s="467"/>
      <c r="G33" s="477"/>
      <c r="H33" s="467">
        <v>10000000</v>
      </c>
      <c r="I33" s="467"/>
      <c r="J33" s="467"/>
      <c r="K33" s="467"/>
      <c r="L33" s="524"/>
    </row>
    <row r="34" spans="1:12" s="485" customFormat="1" x14ac:dyDescent="0.2">
      <c r="A34" s="1511" t="s">
        <v>1057</v>
      </c>
      <c r="B34" s="525">
        <v>7220</v>
      </c>
      <c r="C34" s="467"/>
      <c r="D34" s="467"/>
      <c r="E34" s="467"/>
      <c r="F34" s="467"/>
      <c r="G34" s="477"/>
      <c r="H34" s="478">
        <v>307193</v>
      </c>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8" t="s">
        <v>391</v>
      </c>
      <c r="B44" s="2159"/>
      <c r="C44" s="1725">
        <f>SUM(C24:C43)</f>
        <v>0</v>
      </c>
      <c r="D44" s="1725">
        <f t="shared" ref="D44:K44" si="6">SUM(D24:D43)</f>
        <v>0</v>
      </c>
      <c r="E44" s="1725">
        <f t="shared" si="6"/>
        <v>383200</v>
      </c>
      <c r="F44" s="1725">
        <f t="shared" si="6"/>
        <v>0</v>
      </c>
      <c r="G44" s="1725">
        <f t="shared" si="6"/>
        <v>0</v>
      </c>
      <c r="H44" s="1725">
        <f t="shared" si="6"/>
        <v>10307193</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v>236244</v>
      </c>
      <c r="I75" s="530">
        <v>7500</v>
      </c>
      <c r="J75" s="530"/>
      <c r="K75" s="532"/>
      <c r="L75" s="524"/>
    </row>
    <row r="76" spans="1:12" s="485" customFormat="1" ht="14.25" thickTop="1" thickBot="1" x14ac:dyDescent="0.25">
      <c r="A76" s="2134" t="s">
        <v>459</v>
      </c>
      <c r="B76" s="2135"/>
      <c r="C76" s="1725">
        <f t="shared" ref="C76:K76" si="7">SUM(C47:C75)</f>
        <v>0</v>
      </c>
      <c r="D76" s="1725">
        <f t="shared" si="7"/>
        <v>0</v>
      </c>
      <c r="E76" s="1725">
        <f t="shared" si="7"/>
        <v>0</v>
      </c>
      <c r="F76" s="1725">
        <f t="shared" si="7"/>
        <v>0</v>
      </c>
      <c r="G76" s="1725">
        <f t="shared" si="7"/>
        <v>0</v>
      </c>
      <c r="H76" s="1725">
        <f t="shared" si="7"/>
        <v>236244</v>
      </c>
      <c r="I76" s="1725">
        <f t="shared" si="7"/>
        <v>7500</v>
      </c>
      <c r="J76" s="1725">
        <f t="shared" si="7"/>
        <v>0</v>
      </c>
      <c r="K76" s="1725">
        <f t="shared" si="7"/>
        <v>0</v>
      </c>
      <c r="L76" s="524"/>
    </row>
    <row r="77" spans="1:12" ht="14.25" thickTop="1" thickBot="1" x14ac:dyDescent="0.25">
      <c r="A77" s="2136" t="s">
        <v>1238</v>
      </c>
      <c r="B77" s="2137"/>
      <c r="C77" s="1725">
        <f t="shared" ref="C77:K77" si="8">C44-C76</f>
        <v>0</v>
      </c>
      <c r="D77" s="1725">
        <f t="shared" si="8"/>
        <v>0</v>
      </c>
      <c r="E77" s="1725">
        <f t="shared" si="8"/>
        <v>383200</v>
      </c>
      <c r="F77" s="1725">
        <f t="shared" si="8"/>
        <v>0</v>
      </c>
      <c r="G77" s="1725">
        <f t="shared" si="8"/>
        <v>0</v>
      </c>
      <c r="H77" s="1725">
        <f t="shared" si="8"/>
        <v>10070949</v>
      </c>
      <c r="I77" s="1725">
        <f t="shared" si="8"/>
        <v>-7500</v>
      </c>
      <c r="J77" s="1725">
        <f t="shared" si="8"/>
        <v>0</v>
      </c>
      <c r="K77" s="1725">
        <f t="shared" si="8"/>
        <v>0</v>
      </c>
      <c r="L77" s="347"/>
    </row>
    <row r="78" spans="1:12" ht="21.75" customHeight="1" thickTop="1" thickBot="1" x14ac:dyDescent="0.25">
      <c r="A78" s="2140" t="s">
        <v>617</v>
      </c>
      <c r="B78" s="2141"/>
      <c r="C78" s="1724">
        <f t="shared" ref="C78:K78" si="9">C20+C77</f>
        <v>402314</v>
      </c>
      <c r="D78" s="1724">
        <f t="shared" si="9"/>
        <v>8154</v>
      </c>
      <c r="E78" s="1724">
        <f t="shared" si="9"/>
        <v>416563</v>
      </c>
      <c r="F78" s="1724">
        <f t="shared" si="9"/>
        <v>24035</v>
      </c>
      <c r="G78" s="1724">
        <f t="shared" si="9"/>
        <v>34014</v>
      </c>
      <c r="H78" s="1724">
        <f t="shared" si="9"/>
        <v>8960244</v>
      </c>
      <c r="I78" s="1724">
        <f t="shared" si="9"/>
        <v>28502</v>
      </c>
      <c r="J78" s="1724">
        <f t="shared" si="9"/>
        <v>42041</v>
      </c>
      <c r="K78" s="1724">
        <f t="shared" si="9"/>
        <v>35261</v>
      </c>
      <c r="L78" s="533"/>
    </row>
    <row r="79" spans="1:12" ht="13.5" thickTop="1" x14ac:dyDescent="0.2">
      <c r="A79" s="1516" t="s">
        <v>2072</v>
      </c>
      <c r="B79" s="534"/>
      <c r="C79" s="478">
        <v>399118</v>
      </c>
      <c r="D79" s="535">
        <v>197604</v>
      </c>
      <c r="E79" s="535">
        <v>124029</v>
      </c>
      <c r="F79" s="535">
        <v>90046</v>
      </c>
      <c r="G79" s="535">
        <v>142077</v>
      </c>
      <c r="H79" s="535">
        <v>21340</v>
      </c>
      <c r="I79" s="535">
        <v>1549781</v>
      </c>
      <c r="J79" s="535">
        <v>143184</v>
      </c>
      <c r="K79" s="535">
        <v>30402</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801432</v>
      </c>
      <c r="D81" s="1710">
        <f>SUM(D78:D80)</f>
        <v>205758</v>
      </c>
      <c r="E81" s="1710">
        <f t="shared" ref="E81:K81" si="10">SUM(E78:E80)</f>
        <v>540592</v>
      </c>
      <c r="F81" s="1710">
        <f t="shared" si="10"/>
        <v>114081</v>
      </c>
      <c r="G81" s="1710">
        <f t="shared" si="10"/>
        <v>176091</v>
      </c>
      <c r="H81" s="1710">
        <f t="shared" si="10"/>
        <v>8981584</v>
      </c>
      <c r="I81" s="1710">
        <f t="shared" si="10"/>
        <v>1578283</v>
      </c>
      <c r="J81" s="1710">
        <f t="shared" si="10"/>
        <v>185225</v>
      </c>
      <c r="K81" s="1710">
        <f t="shared" si="10"/>
        <v>65663</v>
      </c>
      <c r="L81" s="347"/>
    </row>
    <row r="82" spans="1:12" ht="0.75" customHeight="1" thickTop="1" thickBot="1" x14ac:dyDescent="0.25">
      <c r="A82" s="536" t="s">
        <v>360</v>
      </c>
      <c r="B82" s="537"/>
      <c r="C82" s="538">
        <f>(C81-C79)</f>
        <v>402314</v>
      </c>
      <c r="D82" s="538">
        <f t="shared" ref="D82:K82" si="11">(D81-D79)</f>
        <v>8154</v>
      </c>
      <c r="E82" s="538">
        <f t="shared" si="11"/>
        <v>416563</v>
      </c>
      <c r="F82" s="538">
        <f t="shared" si="11"/>
        <v>24035</v>
      </c>
      <c r="G82" s="538">
        <f t="shared" si="11"/>
        <v>34014</v>
      </c>
      <c r="H82" s="538">
        <f t="shared" si="11"/>
        <v>8960244</v>
      </c>
      <c r="I82" s="538">
        <f t="shared" si="11"/>
        <v>28502</v>
      </c>
      <c r="J82" s="538">
        <f t="shared" si="11"/>
        <v>42041</v>
      </c>
      <c r="K82" s="538">
        <f t="shared" si="11"/>
        <v>35261</v>
      </c>
    </row>
    <row r="83" spans="1:12" ht="14.25" hidden="1" thickTop="1" thickBot="1" x14ac:dyDescent="0.25">
      <c r="A83" s="539" t="s">
        <v>361</v>
      </c>
      <c r="B83" s="464"/>
      <c r="C83" s="540">
        <f>C82/C81</f>
        <v>0.50199393086375388</v>
      </c>
      <c r="D83" s="540">
        <f t="shared" ref="D83:K83" si="12">D82/D81</f>
        <v>3.9629078820750591E-2</v>
      </c>
      <c r="E83" s="540">
        <f t="shared" si="12"/>
        <v>0.77056819190813031</v>
      </c>
      <c r="F83" s="540">
        <f t="shared" si="12"/>
        <v>0.21068363706489249</v>
      </c>
      <c r="G83" s="540">
        <f t="shared" si="12"/>
        <v>0.19316149036577679</v>
      </c>
      <c r="H83" s="540">
        <f t="shared" si="12"/>
        <v>0.99762402712038323</v>
      </c>
      <c r="I83" s="540">
        <f t="shared" si="12"/>
        <v>1.8058865235195464E-2</v>
      </c>
      <c r="J83" s="540">
        <f t="shared" si="12"/>
        <v>0.22697260089080848</v>
      </c>
      <c r="K83" s="540">
        <f t="shared" si="12"/>
        <v>0.53699952789242034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0" activePane="bottomLeft" state="frozen"/>
      <selection activeCell="K49" sqref="K49"/>
      <selection pane="bottomLeft" activeCell="K49" sqref="K49"/>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2" t="s">
        <v>1904</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1795324</v>
      </c>
      <c r="D5" s="481">
        <v>359044</v>
      </c>
      <c r="E5" s="466">
        <v>376103</v>
      </c>
      <c r="F5" s="548">
        <v>143617</v>
      </c>
      <c r="G5" s="466">
        <v>59199</v>
      </c>
      <c r="H5" s="466"/>
      <c r="I5" s="466">
        <v>35904</v>
      </c>
      <c r="J5" s="467">
        <v>200333</v>
      </c>
      <c r="K5" s="466">
        <v>35904</v>
      </c>
    </row>
    <row r="6" spans="1:12" ht="15" x14ac:dyDescent="0.2">
      <c r="A6" s="463" t="s">
        <v>1760</v>
      </c>
      <c r="B6" s="470">
        <v>1130</v>
      </c>
      <c r="C6" s="466"/>
      <c r="D6" s="466">
        <v>35904</v>
      </c>
      <c r="E6" s="475"/>
      <c r="F6" s="475"/>
      <c r="G6" s="468"/>
      <c r="H6" s="468"/>
      <c r="I6" s="468"/>
      <c r="J6" s="468"/>
      <c r="K6" s="468"/>
    </row>
    <row r="7" spans="1:12" x14ac:dyDescent="0.2">
      <c r="A7" s="463" t="s">
        <v>112</v>
      </c>
      <c r="B7" s="549">
        <v>1140</v>
      </c>
      <c r="C7" s="466">
        <v>28724</v>
      </c>
      <c r="D7" s="466"/>
      <c r="E7" s="468"/>
      <c r="F7" s="467"/>
      <c r="G7" s="467"/>
      <c r="H7" s="467"/>
      <c r="I7" s="468"/>
      <c r="J7" s="468"/>
      <c r="K7" s="468"/>
    </row>
    <row r="8" spans="1:12" x14ac:dyDescent="0.2">
      <c r="A8" s="463" t="s">
        <v>432</v>
      </c>
      <c r="B8" s="470">
        <v>1150</v>
      </c>
      <c r="C8" s="475"/>
      <c r="D8" s="475"/>
      <c r="E8" s="477"/>
      <c r="F8" s="477"/>
      <c r="G8" s="481">
        <v>82372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1824048</v>
      </c>
      <c r="D12" s="1729">
        <f t="shared" si="0"/>
        <v>394948</v>
      </c>
      <c r="E12" s="1729">
        <f t="shared" si="0"/>
        <v>376103</v>
      </c>
      <c r="F12" s="1729">
        <f t="shared" si="0"/>
        <v>143617</v>
      </c>
      <c r="G12" s="1729">
        <f t="shared" si="0"/>
        <v>141571</v>
      </c>
      <c r="H12" s="1729">
        <f t="shared" si="0"/>
        <v>0</v>
      </c>
      <c r="I12" s="1729">
        <f t="shared" si="0"/>
        <v>35904</v>
      </c>
      <c r="J12" s="1729">
        <f t="shared" si="0"/>
        <v>200333</v>
      </c>
      <c r="K12" s="1710">
        <f t="shared" si="0"/>
        <v>35904</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492</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73500</v>
      </c>
      <c r="D16" s="466"/>
      <c r="E16" s="466"/>
      <c r="F16" s="466"/>
      <c r="G16" s="466"/>
      <c r="H16" s="466"/>
      <c r="I16" s="466"/>
      <c r="J16" s="467"/>
      <c r="K16" s="466"/>
    </row>
    <row r="17" spans="1:11" ht="12.75" customHeight="1" x14ac:dyDescent="0.2">
      <c r="A17" s="463" t="s">
        <v>839</v>
      </c>
      <c r="B17" s="470">
        <v>1290</v>
      </c>
      <c r="C17" s="551">
        <v>5003</v>
      </c>
      <c r="D17" s="466">
        <v>1083</v>
      </c>
      <c r="E17" s="466">
        <v>1040</v>
      </c>
      <c r="F17" s="466">
        <v>394</v>
      </c>
      <c r="G17" s="466">
        <v>477</v>
      </c>
      <c r="H17" s="466"/>
      <c r="I17" s="466">
        <v>98</v>
      </c>
      <c r="J17" s="467">
        <v>584</v>
      </c>
      <c r="K17" s="466">
        <v>98</v>
      </c>
    </row>
    <row r="18" spans="1:11" ht="12.75" customHeight="1" thickBot="1" x14ac:dyDescent="0.25">
      <c r="A18" s="1730" t="s">
        <v>557</v>
      </c>
      <c r="B18" s="1731"/>
      <c r="C18" s="1732">
        <f>SUM(C14:C17)</f>
        <v>78995</v>
      </c>
      <c r="D18" s="1732">
        <f t="shared" ref="D18:K18" si="1">SUM(D14:D17)</f>
        <v>1083</v>
      </c>
      <c r="E18" s="1732">
        <f t="shared" si="1"/>
        <v>1040</v>
      </c>
      <c r="F18" s="1732">
        <f t="shared" si="1"/>
        <v>394</v>
      </c>
      <c r="G18" s="1732">
        <f t="shared" si="1"/>
        <v>477</v>
      </c>
      <c r="H18" s="1732">
        <f t="shared" si="1"/>
        <v>0</v>
      </c>
      <c r="I18" s="1732">
        <f t="shared" si="1"/>
        <v>98</v>
      </c>
      <c r="J18" s="1732">
        <f t="shared" si="1"/>
        <v>584</v>
      </c>
      <c r="K18" s="1733">
        <f t="shared" si="1"/>
        <v>98</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442</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442</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2274</v>
      </c>
      <c r="D65" s="466"/>
      <c r="E65" s="466"/>
      <c r="F65" s="467"/>
      <c r="G65" s="466"/>
      <c r="H65" s="466">
        <v>23168</v>
      </c>
      <c r="I65" s="466"/>
      <c r="J65" s="467"/>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2274</v>
      </c>
      <c r="D67" s="1710">
        <f t="shared" ref="D67:K67" si="2">SUM(D65:D66)</f>
        <v>0</v>
      </c>
      <c r="E67" s="1710">
        <f t="shared" si="2"/>
        <v>0</v>
      </c>
      <c r="F67" s="1710">
        <f t="shared" si="2"/>
        <v>0</v>
      </c>
      <c r="G67" s="1710">
        <f t="shared" si="2"/>
        <v>0</v>
      </c>
      <c r="H67" s="1710">
        <f t="shared" si="2"/>
        <v>23168</v>
      </c>
      <c r="I67" s="1710">
        <f t="shared" si="2"/>
        <v>0</v>
      </c>
      <c r="J67" s="1710">
        <f t="shared" si="2"/>
        <v>0</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68181</v>
      </c>
      <c r="D69" s="468"/>
      <c r="E69" s="468"/>
      <c r="F69" s="468"/>
      <c r="G69" s="468"/>
      <c r="H69" s="468"/>
      <c r="I69" s="468"/>
      <c r="J69" s="468"/>
      <c r="K69" s="468"/>
    </row>
    <row r="70" spans="1:11" ht="12.75" customHeight="1" x14ac:dyDescent="0.2">
      <c r="A70" s="463" t="s">
        <v>1053</v>
      </c>
      <c r="B70" s="470">
        <v>1612</v>
      </c>
      <c r="C70" s="551">
        <v>3967</v>
      </c>
      <c r="D70" s="468"/>
      <c r="E70" s="468"/>
      <c r="F70" s="468"/>
      <c r="G70" s="468"/>
      <c r="H70" s="468"/>
      <c r="I70" s="468"/>
      <c r="J70" s="468"/>
      <c r="K70" s="468"/>
    </row>
    <row r="71" spans="1:11" ht="12.75" customHeight="1" x14ac:dyDescent="0.2">
      <c r="A71" s="463" t="s">
        <v>290</v>
      </c>
      <c r="B71" s="470">
        <v>1613</v>
      </c>
      <c r="C71" s="551">
        <v>24274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1466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97888</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17693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22858</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40551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24771</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24771</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1340</v>
      </c>
      <c r="E95" s="521"/>
      <c r="F95" s="521"/>
      <c r="G95" s="521"/>
      <c r="H95" s="521"/>
      <c r="I95" s="521"/>
      <c r="J95" s="521"/>
      <c r="K95" s="521"/>
    </row>
    <row r="96" spans="1:11" ht="12.75" customHeight="1" x14ac:dyDescent="0.2">
      <c r="A96" s="463" t="s">
        <v>408</v>
      </c>
      <c r="B96" s="470">
        <v>1920</v>
      </c>
      <c r="C96" s="551">
        <v>33623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50517</v>
      </c>
      <c r="D98" s="466"/>
      <c r="E98" s="512"/>
      <c r="F98" s="466"/>
      <c r="G98" s="512"/>
      <c r="H98" s="512"/>
      <c r="I98" s="510"/>
      <c r="J98" s="512"/>
      <c r="K98" s="512"/>
    </row>
    <row r="99" spans="1:12" ht="12.75" customHeight="1" x14ac:dyDescent="0.2">
      <c r="A99" s="463" t="s">
        <v>874</v>
      </c>
      <c r="B99" s="470">
        <v>1950</v>
      </c>
      <c r="C99" s="489"/>
      <c r="D99" s="466">
        <v>1470</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3510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v>106946</v>
      </c>
      <c r="F103" s="468"/>
      <c r="G103" s="468"/>
      <c r="H103" s="489">
        <v>56149</v>
      </c>
      <c r="I103" s="468"/>
      <c r="J103" s="510"/>
      <c r="K103" s="510"/>
    </row>
    <row r="104" spans="1:12" ht="12.75" customHeight="1" x14ac:dyDescent="0.2">
      <c r="A104" s="463" t="s">
        <v>884</v>
      </c>
      <c r="B104" s="470">
        <v>1991</v>
      </c>
      <c r="C104" s="489">
        <v>1015</v>
      </c>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22900</v>
      </c>
      <c r="D107" s="466"/>
      <c r="E107" s="466"/>
      <c r="F107" s="466">
        <v>23776</v>
      </c>
      <c r="G107" s="466"/>
      <c r="H107" s="466">
        <v>1520</v>
      </c>
      <c r="I107" s="466"/>
      <c r="J107" s="467">
        <v>696</v>
      </c>
      <c r="K107" s="466"/>
    </row>
    <row r="108" spans="1:12" ht="12.75" customHeight="1" thickBot="1" x14ac:dyDescent="0.25">
      <c r="A108" s="1730" t="s">
        <v>507</v>
      </c>
      <c r="B108" s="1734"/>
      <c r="C108" s="1729">
        <f>SUM(C95:C107)</f>
        <v>111565</v>
      </c>
      <c r="D108" s="1729">
        <f t="shared" ref="D108:K108" si="3">SUM(D95:D107)</f>
        <v>2810</v>
      </c>
      <c r="E108" s="1729">
        <f t="shared" si="3"/>
        <v>106946</v>
      </c>
      <c r="F108" s="1729">
        <f t="shared" si="3"/>
        <v>23776</v>
      </c>
      <c r="G108" s="1729">
        <f t="shared" si="3"/>
        <v>0</v>
      </c>
      <c r="H108" s="1729">
        <f t="shared" si="3"/>
        <v>57669</v>
      </c>
      <c r="I108" s="1729">
        <f t="shared" si="3"/>
        <v>0</v>
      </c>
      <c r="J108" s="1729">
        <f t="shared" si="3"/>
        <v>696</v>
      </c>
      <c r="K108" s="1710">
        <f t="shared" si="3"/>
        <v>0</v>
      </c>
    </row>
    <row r="109" spans="1:12" ht="14.25" thickTop="1" thickBot="1" x14ac:dyDescent="0.25">
      <c r="A109" s="1735" t="s">
        <v>266</v>
      </c>
      <c r="B109" s="1736" t="s">
        <v>590</v>
      </c>
      <c r="C109" s="1737">
        <f t="shared" ref="C109:K109" si="4">SUM(C12,C18,C40,C63,C67,C75,C82,C93,C108,)</f>
        <v>2180092</v>
      </c>
      <c r="D109" s="1737">
        <f t="shared" si="4"/>
        <v>398841</v>
      </c>
      <c r="E109" s="1737">
        <f t="shared" si="4"/>
        <v>484089</v>
      </c>
      <c r="F109" s="1737">
        <f t="shared" si="4"/>
        <v>168229</v>
      </c>
      <c r="G109" s="1737">
        <f t="shared" si="4"/>
        <v>142048</v>
      </c>
      <c r="H109" s="1737">
        <f t="shared" si="4"/>
        <v>80837</v>
      </c>
      <c r="I109" s="1737">
        <f t="shared" si="4"/>
        <v>36002</v>
      </c>
      <c r="J109" s="1737">
        <f t="shared" si="4"/>
        <v>201613</v>
      </c>
      <c r="K109" s="1724">
        <f t="shared" si="4"/>
        <v>36002</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899999999999999"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1303953</v>
      </c>
      <c r="D117" s="481">
        <v>30000</v>
      </c>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1303953</v>
      </c>
      <c r="D121" s="1729">
        <f t="shared" si="5"/>
        <v>30000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35199</v>
      </c>
      <c r="D125" s="561"/>
      <c r="E125" s="468"/>
      <c r="F125" s="466"/>
      <c r="G125" s="468"/>
      <c r="H125" s="468"/>
      <c r="I125" s="468"/>
      <c r="J125" s="468"/>
      <c r="K125" s="468"/>
    </row>
    <row r="126" spans="1:11" ht="12.75" customHeight="1" x14ac:dyDescent="0.2">
      <c r="A126" s="463" t="s">
        <v>921</v>
      </c>
      <c r="B126" s="562">
        <v>3110</v>
      </c>
      <c r="C126" s="551">
        <v>8598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43797</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3074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3074</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1480</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7533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197158</v>
      </c>
      <c r="G151" s="467"/>
      <c r="H151" s="468"/>
      <c r="I151" s="468"/>
      <c r="J151" s="468"/>
      <c r="K151" s="468"/>
    </row>
    <row r="152" spans="1:11" ht="12.75" customHeight="1" x14ac:dyDescent="0.2">
      <c r="A152" s="463" t="s">
        <v>1116</v>
      </c>
      <c r="B152" s="562">
        <v>3510</v>
      </c>
      <c r="C152" s="551"/>
      <c r="D152" s="466"/>
      <c r="E152" s="561"/>
      <c r="F152" s="466">
        <v>55055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252213</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7242</v>
      </c>
      <c r="D171" s="580"/>
      <c r="E171" s="580"/>
      <c r="F171" s="580"/>
      <c r="G171" s="581"/>
      <c r="H171" s="582"/>
      <c r="I171" s="581"/>
      <c r="J171" s="581"/>
      <c r="K171" s="582"/>
    </row>
    <row r="172" spans="1:11" ht="12.75" customHeight="1" thickTop="1" thickBot="1" x14ac:dyDescent="0.25">
      <c r="A172" s="2162" t="s">
        <v>417</v>
      </c>
      <c r="B172" s="2163"/>
      <c r="C172" s="1744">
        <f t="shared" ref="C172:K172" si="6">SUM(C131,C140,C144,C145:C149,C154,C155:C170,C171)</f>
        <v>63126</v>
      </c>
      <c r="D172" s="1744">
        <f t="shared" si="6"/>
        <v>0</v>
      </c>
      <c r="E172" s="1744">
        <f t="shared" si="6"/>
        <v>0</v>
      </c>
      <c r="F172" s="1744">
        <f t="shared" si="6"/>
        <v>252213</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1367079</v>
      </c>
      <c r="D173" s="1737">
        <f>SUM(D121,D172)</f>
        <v>30000</v>
      </c>
      <c r="E173" s="1737">
        <f>SUM(E121,E172)</f>
        <v>0</v>
      </c>
      <c r="F173" s="1737">
        <f t="shared" ref="F173:K173" si="7">SUM(F121,F172)</f>
        <v>252213</v>
      </c>
      <c r="G173" s="1737">
        <f t="shared" si="7"/>
        <v>0</v>
      </c>
      <c r="H173" s="1737">
        <f t="shared" si="7"/>
        <v>0</v>
      </c>
      <c r="I173" s="1737">
        <f t="shared" si="7"/>
        <v>0</v>
      </c>
      <c r="J173" s="1737">
        <f t="shared" si="7"/>
        <v>0</v>
      </c>
      <c r="K173" s="1724">
        <f t="shared" si="7"/>
        <v>0</v>
      </c>
    </row>
    <row r="174" spans="1:11" ht="16.899999999999999" customHeight="1" thickTop="1" x14ac:dyDescent="0.2">
      <c r="A174" s="1611" t="s">
        <v>836</v>
      </c>
      <c r="B174" s="1589"/>
      <c r="C174" s="1592"/>
      <c r="D174" s="1593"/>
      <c r="E174" s="1593"/>
      <c r="F174" s="1593"/>
      <c r="G174" s="1593"/>
      <c r="H174" s="1593"/>
      <c r="I174" s="1593"/>
      <c r="J174" s="1593"/>
      <c r="K174" s="1594"/>
    </row>
    <row r="175" spans="1:11" ht="15.75" customHeight="1" x14ac:dyDescent="0.2">
      <c r="A175" s="2164" t="s">
        <v>1571</v>
      </c>
      <c r="B175" s="2165"/>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8" t="s">
        <v>1763</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1762</v>
      </c>
      <c r="B179" s="2173"/>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0" t="s">
        <v>817</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83710</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21677</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105387</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119698</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119698</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10000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10000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118948</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118948</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14596</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5460</v>
      </c>
      <c r="D270" s="576"/>
      <c r="E270" s="468"/>
      <c r="F270" s="576"/>
      <c r="G270" s="576"/>
      <c r="H270" s="468"/>
      <c r="I270" s="468"/>
      <c r="J270" s="468"/>
      <c r="K270" s="468"/>
    </row>
    <row r="271" spans="1:11" ht="12.75" customHeight="1" thickTop="1" thickBot="1" x14ac:dyDescent="0.25">
      <c r="A271" s="463" t="s">
        <v>394</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71430</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445519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445519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3992690</v>
      </c>
      <c r="D275" s="1737">
        <f t="shared" si="12"/>
        <v>428841</v>
      </c>
      <c r="E275" s="1737">
        <f t="shared" si="12"/>
        <v>484089</v>
      </c>
      <c r="F275" s="1737">
        <f t="shared" si="12"/>
        <v>420442</v>
      </c>
      <c r="G275" s="1737">
        <f t="shared" si="12"/>
        <v>142048</v>
      </c>
      <c r="H275" s="1737">
        <f t="shared" si="12"/>
        <v>80837</v>
      </c>
      <c r="I275" s="1737">
        <f t="shared" si="12"/>
        <v>36002</v>
      </c>
      <c r="J275" s="1737">
        <f t="shared" si="12"/>
        <v>201613</v>
      </c>
      <c r="K275" s="1724">
        <f t="shared" si="12"/>
        <v>36002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activeCell="K49" sqref="K49"/>
      <selection pane="bottomLeft" activeCell="K49" sqref="K49"/>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2"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899999999999999" customHeight="1" x14ac:dyDescent="0.2">
      <c r="A3" s="2180" t="s">
        <v>314</v>
      </c>
      <c r="B3" s="2181"/>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1399365</v>
      </c>
      <c r="D5" s="466">
        <v>350185</v>
      </c>
      <c r="E5" s="466">
        <v>1173</v>
      </c>
      <c r="F5" s="466">
        <v>44800</v>
      </c>
      <c r="G5" s="466"/>
      <c r="H5" s="466">
        <v>12409</v>
      </c>
      <c r="I5" s="467"/>
      <c r="J5" s="467"/>
      <c r="K5" s="1693">
        <f>SUM(C5:J5)</f>
        <v>1807932</v>
      </c>
      <c r="L5" s="466">
        <v>1839360</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21583</v>
      </c>
      <c r="D7" s="467">
        <v>8699</v>
      </c>
      <c r="E7" s="467"/>
      <c r="F7" s="467">
        <v>2934</v>
      </c>
      <c r="G7" s="467"/>
      <c r="H7" s="467"/>
      <c r="I7" s="467"/>
      <c r="J7" s="467"/>
      <c r="K7" s="1693">
        <f t="shared" ref="K7:K32" si="0">SUM(C7:J7)</f>
        <v>33216</v>
      </c>
      <c r="L7" s="466">
        <v>25780</v>
      </c>
    </row>
    <row r="8" spans="1:14" x14ac:dyDescent="0.2">
      <c r="A8" s="1526" t="s">
        <v>166</v>
      </c>
      <c r="B8" s="615">
        <v>1200</v>
      </c>
      <c r="C8" s="466">
        <v>120540</v>
      </c>
      <c r="D8" s="466">
        <v>14703</v>
      </c>
      <c r="E8" s="466">
        <v>30353</v>
      </c>
      <c r="F8" s="466"/>
      <c r="G8" s="466"/>
      <c r="H8" s="466"/>
      <c r="I8" s="467"/>
      <c r="J8" s="467"/>
      <c r="K8" s="1693">
        <f t="shared" si="0"/>
        <v>165596</v>
      </c>
      <c r="L8" s="466">
        <v>247800</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68662</v>
      </c>
      <c r="D10" s="466">
        <v>25594</v>
      </c>
      <c r="E10" s="466">
        <v>4648</v>
      </c>
      <c r="F10" s="466">
        <v>82</v>
      </c>
      <c r="G10" s="466"/>
      <c r="H10" s="466"/>
      <c r="I10" s="467"/>
      <c r="J10" s="467"/>
      <c r="K10" s="1693">
        <f t="shared" si="0"/>
        <v>98986</v>
      </c>
      <c r="L10" s="466">
        <v>194200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140630</v>
      </c>
      <c r="D13" s="466">
        <v>33109</v>
      </c>
      <c r="E13" s="466">
        <v>545</v>
      </c>
      <c r="F13" s="466">
        <v>15354</v>
      </c>
      <c r="G13" s="466">
        <v>1583</v>
      </c>
      <c r="H13" s="466"/>
      <c r="I13" s="467"/>
      <c r="J13" s="467"/>
      <c r="K13" s="1693">
        <f t="shared" si="0"/>
        <v>191221</v>
      </c>
      <c r="L13" s="466">
        <v>224730</v>
      </c>
    </row>
    <row r="14" spans="1:14" x14ac:dyDescent="0.2">
      <c r="A14" s="1526" t="s">
        <v>1019</v>
      </c>
      <c r="B14" s="615">
        <v>1500</v>
      </c>
      <c r="C14" s="466">
        <v>93425</v>
      </c>
      <c r="D14" s="466">
        <v>1027</v>
      </c>
      <c r="E14" s="466">
        <v>22949</v>
      </c>
      <c r="F14" s="466">
        <v>12816</v>
      </c>
      <c r="G14" s="466"/>
      <c r="H14" s="466">
        <v>2546</v>
      </c>
      <c r="I14" s="467"/>
      <c r="J14" s="467"/>
      <c r="K14" s="1693">
        <f t="shared" si="0"/>
        <v>132763</v>
      </c>
      <c r="L14" s="466">
        <v>150790</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7941</v>
      </c>
      <c r="D17" s="467">
        <v>2893</v>
      </c>
      <c r="E17" s="467">
        <v>4491</v>
      </c>
      <c r="F17" s="467">
        <v>874</v>
      </c>
      <c r="G17" s="467"/>
      <c r="H17" s="467">
        <v>10</v>
      </c>
      <c r="I17" s="467"/>
      <c r="J17" s="467"/>
      <c r="K17" s="1693">
        <f t="shared" si="0"/>
        <v>16209</v>
      </c>
      <c r="L17" s="466">
        <v>16850</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1852146</v>
      </c>
      <c r="D33" s="1692">
        <f t="shared" ref="D33:L33" si="1">SUM(D5:D32)</f>
        <v>436210</v>
      </c>
      <c r="E33" s="1692">
        <f t="shared" si="1"/>
        <v>64159</v>
      </c>
      <c r="F33" s="1692">
        <f t="shared" si="1"/>
        <v>76860</v>
      </c>
      <c r="G33" s="1692">
        <f t="shared" si="1"/>
        <v>1583</v>
      </c>
      <c r="H33" s="1692">
        <f t="shared" si="1"/>
        <v>14965</v>
      </c>
      <c r="I33" s="1692">
        <f t="shared" si="1"/>
        <v>0</v>
      </c>
      <c r="J33" s="1692">
        <f t="shared" si="1"/>
        <v>0</v>
      </c>
      <c r="K33" s="1692">
        <f t="shared" si="1"/>
        <v>2445923</v>
      </c>
      <c r="L33" s="1692">
        <f t="shared" si="1"/>
        <v>2699510</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51080</v>
      </c>
      <c r="D36" s="481">
        <v>9451</v>
      </c>
      <c r="E36" s="481">
        <v>235</v>
      </c>
      <c r="F36" s="481">
        <v>1354</v>
      </c>
      <c r="G36" s="481"/>
      <c r="H36" s="481"/>
      <c r="I36" s="467"/>
      <c r="J36" s="467"/>
      <c r="K36" s="1693">
        <f t="shared" ref="K36:K41" si="2">SUM(C36:J36)</f>
        <v>62120</v>
      </c>
      <c r="L36" s="466">
        <v>64830</v>
      </c>
    </row>
    <row r="37" spans="1:14" x14ac:dyDescent="0.2">
      <c r="A37" s="1526" t="s">
        <v>1150</v>
      </c>
      <c r="B37" s="615">
        <v>2120</v>
      </c>
      <c r="C37" s="466">
        <v>42895</v>
      </c>
      <c r="D37" s="466">
        <v>12200</v>
      </c>
      <c r="E37" s="466"/>
      <c r="F37" s="466"/>
      <c r="G37" s="466"/>
      <c r="H37" s="466"/>
      <c r="I37" s="467"/>
      <c r="J37" s="467"/>
      <c r="K37" s="1693">
        <f t="shared" si="2"/>
        <v>55095</v>
      </c>
      <c r="L37" s="466">
        <v>55900</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19697</v>
      </c>
      <c r="D40" s="466">
        <v>2470</v>
      </c>
      <c r="E40" s="466">
        <v>112</v>
      </c>
      <c r="F40" s="466"/>
      <c r="G40" s="466"/>
      <c r="H40" s="466">
        <v>260</v>
      </c>
      <c r="I40" s="467"/>
      <c r="J40" s="467"/>
      <c r="K40" s="1693">
        <f t="shared" si="2"/>
        <v>22539</v>
      </c>
      <c r="L40" s="466">
        <v>22170</v>
      </c>
    </row>
    <row r="41" spans="1:14" x14ac:dyDescent="0.2">
      <c r="A41" s="1526" t="s">
        <v>1767</v>
      </c>
      <c r="B41" s="615">
        <v>2190</v>
      </c>
      <c r="C41" s="466"/>
      <c r="D41" s="466"/>
      <c r="E41" s="466"/>
      <c r="F41" s="466">
        <v>3828</v>
      </c>
      <c r="G41" s="466"/>
      <c r="H41" s="466"/>
      <c r="I41" s="467"/>
      <c r="J41" s="467"/>
      <c r="K41" s="1693">
        <f t="shared" si="2"/>
        <v>3828</v>
      </c>
      <c r="L41" s="466">
        <v>1200</v>
      </c>
    </row>
    <row r="42" spans="1:14" ht="12.75" customHeight="1" thickBot="1" x14ac:dyDescent="0.25">
      <c r="A42" s="1690" t="s">
        <v>580</v>
      </c>
      <c r="B42" s="1691" t="s">
        <v>739</v>
      </c>
      <c r="C42" s="1692">
        <f>SUM(C36:C41)</f>
        <v>113672</v>
      </c>
      <c r="D42" s="1692">
        <f t="shared" ref="D42:L42" si="3">SUM(D36:D41)</f>
        <v>24121</v>
      </c>
      <c r="E42" s="1692">
        <f t="shared" si="3"/>
        <v>347</v>
      </c>
      <c r="F42" s="1692">
        <f t="shared" si="3"/>
        <v>5182</v>
      </c>
      <c r="G42" s="1692">
        <f t="shared" si="3"/>
        <v>0</v>
      </c>
      <c r="H42" s="1692">
        <f t="shared" si="3"/>
        <v>260</v>
      </c>
      <c r="I42" s="1692">
        <f t="shared" si="3"/>
        <v>0</v>
      </c>
      <c r="J42" s="1692">
        <f t="shared" si="3"/>
        <v>0</v>
      </c>
      <c r="K42" s="1692">
        <f t="shared" si="3"/>
        <v>143582</v>
      </c>
      <c r="L42" s="1692">
        <f t="shared" si="3"/>
        <v>144100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270</v>
      </c>
      <c r="D44" s="481">
        <v>4</v>
      </c>
      <c r="E44" s="481">
        <v>5452</v>
      </c>
      <c r="F44" s="481"/>
      <c r="G44" s="481"/>
      <c r="H44" s="481"/>
      <c r="I44" s="467"/>
      <c r="J44" s="467"/>
      <c r="K44" s="1694">
        <f>SUM(C44:J44)</f>
        <v>5726</v>
      </c>
      <c r="L44" s="481">
        <v>7870</v>
      </c>
    </row>
    <row r="45" spans="1:14" x14ac:dyDescent="0.2">
      <c r="A45" s="1526" t="s">
        <v>868</v>
      </c>
      <c r="B45" s="615">
        <v>2220</v>
      </c>
      <c r="C45" s="466">
        <v>36043</v>
      </c>
      <c r="D45" s="466">
        <v>11882</v>
      </c>
      <c r="E45" s="466">
        <v>34047</v>
      </c>
      <c r="F45" s="466">
        <v>40595</v>
      </c>
      <c r="G45" s="466">
        <v>651</v>
      </c>
      <c r="H45" s="466">
        <v>10080</v>
      </c>
      <c r="I45" s="467"/>
      <c r="J45" s="467"/>
      <c r="K45" s="1694">
        <f>SUM(C45:J45)</f>
        <v>133298</v>
      </c>
      <c r="L45" s="466">
        <v>165630</v>
      </c>
    </row>
    <row r="46" spans="1:14" x14ac:dyDescent="0.2">
      <c r="A46" s="1526" t="s">
        <v>869</v>
      </c>
      <c r="B46" s="615">
        <v>2230</v>
      </c>
      <c r="C46" s="466"/>
      <c r="D46" s="466"/>
      <c r="E46" s="466">
        <v>8481</v>
      </c>
      <c r="F46" s="466">
        <v>1212</v>
      </c>
      <c r="G46" s="466"/>
      <c r="H46" s="466"/>
      <c r="I46" s="467"/>
      <c r="J46" s="467"/>
      <c r="K46" s="1694">
        <f>SUM(C46:J46)</f>
        <v>9693</v>
      </c>
      <c r="L46" s="466">
        <v>10000</v>
      </c>
    </row>
    <row r="47" spans="1:14" ht="12.75" customHeight="1" thickBot="1" x14ac:dyDescent="0.25">
      <c r="A47" s="1690" t="s">
        <v>581</v>
      </c>
      <c r="B47" s="1691" t="s">
        <v>32</v>
      </c>
      <c r="C47" s="1692">
        <f>SUM(C44:C46)</f>
        <v>36313</v>
      </c>
      <c r="D47" s="1692">
        <f t="shared" ref="D47:K47" si="4">SUM(D44:D46)</f>
        <v>11886</v>
      </c>
      <c r="E47" s="1692">
        <f t="shared" si="4"/>
        <v>47980</v>
      </c>
      <c r="F47" s="1692">
        <f t="shared" si="4"/>
        <v>41807</v>
      </c>
      <c r="G47" s="1692">
        <f t="shared" si="4"/>
        <v>651</v>
      </c>
      <c r="H47" s="1692">
        <f t="shared" si="4"/>
        <v>10080</v>
      </c>
      <c r="I47" s="1692">
        <f t="shared" si="4"/>
        <v>0</v>
      </c>
      <c r="J47" s="1692">
        <f t="shared" si="4"/>
        <v>0</v>
      </c>
      <c r="K47" s="1692">
        <f t="shared" si="4"/>
        <v>148717</v>
      </c>
      <c r="L47" s="1692">
        <f>SUM(L44:L46)</f>
        <v>183500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14570</v>
      </c>
      <c r="F49" s="481">
        <v>717</v>
      </c>
      <c r="G49" s="481"/>
      <c r="H49" s="481">
        <v>8380</v>
      </c>
      <c r="I49" s="467"/>
      <c r="J49" s="467"/>
      <c r="K49" s="1694">
        <f>SUM(C49:J49)</f>
        <v>23667</v>
      </c>
      <c r="L49" s="481">
        <v>28500</v>
      </c>
    </row>
    <row r="50" spans="1:14" x14ac:dyDescent="0.2">
      <c r="A50" s="1526" t="s">
        <v>871</v>
      </c>
      <c r="B50" s="615">
        <v>2320</v>
      </c>
      <c r="C50" s="466">
        <v>133044</v>
      </c>
      <c r="D50" s="466">
        <v>21764</v>
      </c>
      <c r="E50" s="466">
        <v>459</v>
      </c>
      <c r="F50" s="466"/>
      <c r="G50" s="466"/>
      <c r="H50" s="466">
        <v>1213</v>
      </c>
      <c r="I50" s="467"/>
      <c r="J50" s="467"/>
      <c r="K50" s="1694">
        <f>SUM(C50:J50)</f>
        <v>156480</v>
      </c>
      <c r="L50" s="466">
        <v>155350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133044</v>
      </c>
      <c r="D53" s="1692">
        <f t="shared" ref="D53:L53" si="5">SUM(D49:D52)</f>
        <v>21764</v>
      </c>
      <c r="E53" s="1692">
        <f t="shared" si="5"/>
        <v>15029</v>
      </c>
      <c r="F53" s="1692">
        <f t="shared" si="5"/>
        <v>717</v>
      </c>
      <c r="G53" s="1692">
        <f t="shared" si="5"/>
        <v>0</v>
      </c>
      <c r="H53" s="1692">
        <f t="shared" si="5"/>
        <v>9593</v>
      </c>
      <c r="I53" s="1692">
        <f t="shared" si="5"/>
        <v>0</v>
      </c>
      <c r="J53" s="1692">
        <f t="shared" si="5"/>
        <v>0</v>
      </c>
      <c r="K53" s="1692">
        <f t="shared" si="5"/>
        <v>180147</v>
      </c>
      <c r="L53" s="1692">
        <f t="shared" si="5"/>
        <v>183850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237719</v>
      </c>
      <c r="D55" s="481">
        <v>51942</v>
      </c>
      <c r="E55" s="481">
        <v>2789</v>
      </c>
      <c r="F55" s="481">
        <v>5156</v>
      </c>
      <c r="G55" s="481">
        <v>850</v>
      </c>
      <c r="H55" s="481">
        <v>1020</v>
      </c>
      <c r="I55" s="467"/>
      <c r="J55" s="467"/>
      <c r="K55" s="1694">
        <f>SUM(C55:J55)</f>
        <v>299476</v>
      </c>
      <c r="L55" s="481">
        <v>329200</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237719</v>
      </c>
      <c r="D57" s="1696">
        <f t="shared" ref="D57:K57" si="6">SUM(D55:D56)</f>
        <v>51942</v>
      </c>
      <c r="E57" s="1696">
        <f t="shared" si="6"/>
        <v>2789</v>
      </c>
      <c r="F57" s="1696">
        <f t="shared" si="6"/>
        <v>5156</v>
      </c>
      <c r="G57" s="1696">
        <f t="shared" si="6"/>
        <v>850</v>
      </c>
      <c r="H57" s="1696">
        <f t="shared" si="6"/>
        <v>1020</v>
      </c>
      <c r="I57" s="1696">
        <f t="shared" si="6"/>
        <v>0</v>
      </c>
      <c r="J57" s="1696">
        <f t="shared" si="6"/>
        <v>0</v>
      </c>
      <c r="K57" s="1696">
        <f t="shared" si="6"/>
        <v>299476</v>
      </c>
      <c r="L57" s="1692">
        <f>SUM(L55:L56)</f>
        <v>329200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28075</v>
      </c>
      <c r="D60" s="466">
        <v>7360</v>
      </c>
      <c r="E60" s="466">
        <v>15</v>
      </c>
      <c r="F60" s="466">
        <v>1983</v>
      </c>
      <c r="G60" s="466"/>
      <c r="H60" s="466"/>
      <c r="I60" s="467"/>
      <c r="J60" s="467"/>
      <c r="K60" s="1694">
        <f t="shared" si="7"/>
        <v>37433</v>
      </c>
      <c r="L60" s="466">
        <v>43320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83781</v>
      </c>
      <c r="D63" s="466">
        <v>7360</v>
      </c>
      <c r="E63" s="466">
        <v>2481</v>
      </c>
      <c r="F63" s="466">
        <v>102564</v>
      </c>
      <c r="G63" s="466">
        <v>1450</v>
      </c>
      <c r="H63" s="466"/>
      <c r="I63" s="467"/>
      <c r="J63" s="467"/>
      <c r="K63" s="1694">
        <f t="shared" si="7"/>
        <v>197636</v>
      </c>
      <c r="L63" s="466">
        <v>187510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111856</v>
      </c>
      <c r="D65" s="1692">
        <f t="shared" ref="D65:L65" si="8">SUM(D59:D64)</f>
        <v>14720</v>
      </c>
      <c r="E65" s="1692">
        <f t="shared" si="8"/>
        <v>2496</v>
      </c>
      <c r="F65" s="1692">
        <f t="shared" si="8"/>
        <v>104547</v>
      </c>
      <c r="G65" s="1692">
        <f t="shared" si="8"/>
        <v>1450</v>
      </c>
      <c r="H65" s="1692">
        <f t="shared" si="8"/>
        <v>0</v>
      </c>
      <c r="I65" s="1692">
        <f t="shared" si="8"/>
        <v>0</v>
      </c>
      <c r="J65" s="1692">
        <f t="shared" si="8"/>
        <v>0</v>
      </c>
      <c r="K65" s="1692">
        <f t="shared" si="8"/>
        <v>235069</v>
      </c>
      <c r="L65" s="1692">
        <f t="shared" si="8"/>
        <v>230830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v>100</v>
      </c>
      <c r="M73" s="610"/>
      <c r="N73" s="610"/>
    </row>
    <row r="74" spans="1:14" ht="12.75" customHeight="1" thickTop="1" thickBot="1" x14ac:dyDescent="0.25">
      <c r="A74" s="1690" t="s">
        <v>864</v>
      </c>
      <c r="B74" s="1698">
        <v>2000</v>
      </c>
      <c r="C74" s="1699">
        <f>SUM(C42,C47,C53,C57,C65,C72,C73)</f>
        <v>632604</v>
      </c>
      <c r="D74" s="1699">
        <f t="shared" ref="D74:K74" si="10">SUM(D42,D47,D53,D57,D65,D72,D73)</f>
        <v>124433</v>
      </c>
      <c r="E74" s="1699">
        <f t="shared" si="10"/>
        <v>68641</v>
      </c>
      <c r="F74" s="1699">
        <f t="shared" si="10"/>
        <v>157409</v>
      </c>
      <c r="G74" s="1699">
        <f t="shared" si="10"/>
        <v>2951</v>
      </c>
      <c r="H74" s="1699">
        <f t="shared" si="10"/>
        <v>20953</v>
      </c>
      <c r="I74" s="1699">
        <f t="shared" si="10"/>
        <v>0</v>
      </c>
      <c r="J74" s="1699">
        <f t="shared" si="10"/>
        <v>0</v>
      </c>
      <c r="K74" s="1699">
        <f t="shared" si="10"/>
        <v>1006991</v>
      </c>
      <c r="L74" s="1699">
        <f>SUM(L42,L47,L53,L57,L65,L72,L73)</f>
        <v>1071580</v>
      </c>
    </row>
    <row r="75" spans="1:14" s="259" customFormat="1" ht="15.75" customHeight="1" thickTop="1" thickBot="1" x14ac:dyDescent="0.25">
      <c r="A75" s="1632" t="s">
        <v>49</v>
      </c>
      <c r="B75" s="1633" t="s">
        <v>595</v>
      </c>
      <c r="C75" s="573">
        <v>6432</v>
      </c>
      <c r="D75" s="573"/>
      <c r="E75" s="573"/>
      <c r="F75" s="573">
        <v>136</v>
      </c>
      <c r="G75" s="573"/>
      <c r="H75" s="573"/>
      <c r="I75" s="531"/>
      <c r="J75" s="531"/>
      <c r="K75" s="1692">
        <f>SUM(C75:J75)</f>
        <v>6568</v>
      </c>
      <c r="L75" s="576">
        <v>7610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v>27000</v>
      </c>
      <c r="I81" s="477"/>
      <c r="J81" s="477"/>
      <c r="K81" s="1693">
        <f t="shared" si="11"/>
        <v>27000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v>2000</v>
      </c>
    </row>
    <row r="84" spans="1:12" ht="13.5" thickBot="1" x14ac:dyDescent="0.25">
      <c r="A84" s="1690" t="s">
        <v>1564</v>
      </c>
      <c r="B84" s="1700">
        <v>4100</v>
      </c>
      <c r="C84" s="617"/>
      <c r="D84" s="617"/>
      <c r="E84" s="1692">
        <f>SUM(E78:E83)</f>
        <v>0</v>
      </c>
      <c r="F84" s="617"/>
      <c r="G84" s="617"/>
      <c r="H84" s="1692">
        <f>SUM(H78:H83)</f>
        <v>27000</v>
      </c>
      <c r="I84" s="477"/>
      <c r="J84" s="477"/>
      <c r="K84" s="1692">
        <f>SUM(K78:K83)</f>
        <v>27000</v>
      </c>
      <c r="L84" s="1692">
        <f>SUM(L78:L83)</f>
        <v>2000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103894</v>
      </c>
      <c r="I86" s="477"/>
      <c r="J86" s="477"/>
      <c r="K86" s="1699">
        <f t="shared" ref="K86:K98" si="12">H86</f>
        <v>103894</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103894</v>
      </c>
      <c r="I92" s="477"/>
      <c r="J92" s="477"/>
      <c r="K92" s="1699">
        <f t="shared" si="12"/>
        <v>103894</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130894</v>
      </c>
      <c r="I102" s="477"/>
      <c r="J102" s="477"/>
      <c r="K102" s="1699">
        <f>SUM(K84,K92,K100,K101)</f>
        <v>130894</v>
      </c>
      <c r="L102" s="1699">
        <f>SUM(L84,L92,L100,L101)</f>
        <v>2000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2491182</v>
      </c>
      <c r="D114" s="1692">
        <f t="shared" ref="D114:K114" si="13">SUM(D33,D74,D75,D102,D112,D113)</f>
        <v>560643</v>
      </c>
      <c r="E114" s="1692">
        <f t="shared" si="13"/>
        <v>132800</v>
      </c>
      <c r="F114" s="1692">
        <f t="shared" si="13"/>
        <v>234405</v>
      </c>
      <c r="G114" s="1692">
        <f t="shared" si="13"/>
        <v>4534</v>
      </c>
      <c r="H114" s="1692">
        <f>SUM(H33,H74,H75,H102,H112,H113)</f>
        <v>166812</v>
      </c>
      <c r="I114" s="1692">
        <f t="shared" si="13"/>
        <v>0</v>
      </c>
      <c r="J114" s="1692">
        <f t="shared" si="13"/>
        <v>0</v>
      </c>
      <c r="K114" s="1692">
        <f t="shared" si="13"/>
        <v>3590376</v>
      </c>
      <c r="L114" s="1692">
        <f>SUM(L33,L74,L75,L102,L112,L113)</f>
        <v>3780700</v>
      </c>
    </row>
    <row r="115" spans="1:14" ht="13.5" thickTop="1" x14ac:dyDescent="0.2">
      <c r="A115" s="2199" t="s">
        <v>1052</v>
      </c>
      <c r="B115" s="2200"/>
      <c r="C115" s="619"/>
      <c r="D115" s="619"/>
      <c r="E115" s="619"/>
      <c r="F115" s="619"/>
      <c r="G115" s="619"/>
      <c r="H115" s="619"/>
      <c r="I115" s="619"/>
      <c r="J115" s="619"/>
      <c r="K115" s="1706">
        <f>'Revenues 9-14'!C275-'Expenditures 15-22'!K114</f>
        <v>402314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77" t="s">
        <v>313</v>
      </c>
      <c r="B117" s="2178"/>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203928</v>
      </c>
      <c r="D124" s="466">
        <v>29343</v>
      </c>
      <c r="E124" s="466">
        <v>53451</v>
      </c>
      <c r="F124" s="466">
        <v>131531</v>
      </c>
      <c r="G124" s="466">
        <v>2434</v>
      </c>
      <c r="H124" s="466"/>
      <c r="I124" s="467"/>
      <c r="J124" s="467"/>
      <c r="K124" s="1692">
        <f>SUM(C124:J124)</f>
        <v>420687</v>
      </c>
      <c r="L124" s="466">
        <v>391470</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203928</v>
      </c>
      <c r="D127" s="1692">
        <f t="shared" ref="D127:L127" si="14">SUM(D122:D126)</f>
        <v>29343</v>
      </c>
      <c r="E127" s="1692">
        <f t="shared" si="14"/>
        <v>53451</v>
      </c>
      <c r="F127" s="1692">
        <f t="shared" si="14"/>
        <v>131531</v>
      </c>
      <c r="G127" s="1692">
        <f t="shared" si="14"/>
        <v>2434</v>
      </c>
      <c r="H127" s="1692">
        <f t="shared" si="14"/>
        <v>0</v>
      </c>
      <c r="I127" s="1692">
        <f t="shared" si="14"/>
        <v>0</v>
      </c>
      <c r="J127" s="1692">
        <f t="shared" si="14"/>
        <v>0</v>
      </c>
      <c r="K127" s="1692">
        <f t="shared" si="14"/>
        <v>420687</v>
      </c>
      <c r="L127" s="1692">
        <f t="shared" si="14"/>
        <v>391470</v>
      </c>
    </row>
    <row r="128" spans="1:14" ht="12.75" customHeight="1" thickTop="1" x14ac:dyDescent="0.2">
      <c r="A128" s="1533" t="s">
        <v>1036</v>
      </c>
      <c r="B128" s="656" t="s">
        <v>594</v>
      </c>
      <c r="C128" s="657"/>
      <c r="D128" s="657"/>
      <c r="E128" s="657"/>
      <c r="F128" s="657"/>
      <c r="G128" s="657"/>
      <c r="H128" s="657"/>
      <c r="I128" s="535"/>
      <c r="J128" s="535"/>
      <c r="K128" s="1707">
        <f>SUM(C128:J128)</f>
        <v>0</v>
      </c>
      <c r="L128" s="657">
        <v>25300</v>
      </c>
    </row>
    <row r="129" spans="1:14" ht="12.75" customHeight="1" thickBot="1" x14ac:dyDescent="0.25">
      <c r="A129" s="1708" t="s">
        <v>864</v>
      </c>
      <c r="B129" s="1709" t="s">
        <v>589</v>
      </c>
      <c r="C129" s="1699">
        <f>SUM(C120,C127,C128)</f>
        <v>203928</v>
      </c>
      <c r="D129" s="1699">
        <f t="shared" ref="D129:L129" si="15">SUM(D120,D127,D128)</f>
        <v>29343</v>
      </c>
      <c r="E129" s="1699">
        <f t="shared" si="15"/>
        <v>53451</v>
      </c>
      <c r="F129" s="1699">
        <f t="shared" si="15"/>
        <v>131531</v>
      </c>
      <c r="G129" s="1699">
        <f t="shared" si="15"/>
        <v>2434</v>
      </c>
      <c r="H129" s="1699">
        <f t="shared" si="15"/>
        <v>0</v>
      </c>
      <c r="I129" s="1699">
        <f t="shared" si="15"/>
        <v>0</v>
      </c>
      <c r="J129" s="1699">
        <f t="shared" si="15"/>
        <v>0</v>
      </c>
      <c r="K129" s="1699">
        <f t="shared" si="15"/>
        <v>420687</v>
      </c>
      <c r="L129" s="1699">
        <f t="shared" si="15"/>
        <v>416770</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9" t="s">
        <v>640</v>
      </c>
      <c r="B151" s="2171"/>
      <c r="C151" s="1692">
        <f>SUM(C129,C130,C139,C149,C150)</f>
        <v>203928</v>
      </c>
      <c r="D151" s="1692">
        <f t="shared" ref="D151:K151" si="16">SUM(D129,D130,D139,D149,D150)</f>
        <v>29343</v>
      </c>
      <c r="E151" s="1692">
        <f t="shared" si="16"/>
        <v>53451</v>
      </c>
      <c r="F151" s="1692">
        <f t="shared" si="16"/>
        <v>131531</v>
      </c>
      <c r="G151" s="1692">
        <f t="shared" si="16"/>
        <v>2434</v>
      </c>
      <c r="H151" s="1692">
        <f t="shared" si="16"/>
        <v>0</v>
      </c>
      <c r="I151" s="1692">
        <f t="shared" si="16"/>
        <v>0</v>
      </c>
      <c r="J151" s="1692">
        <f t="shared" si="16"/>
        <v>0</v>
      </c>
      <c r="K151" s="1692">
        <f t="shared" si="16"/>
        <v>420687</v>
      </c>
      <c r="L151" s="1692">
        <f>SUM(L129,L130,L139,L149,L150)</f>
        <v>416770</v>
      </c>
    </row>
    <row r="152" spans="1:14" ht="12.75" customHeight="1" thickTop="1" x14ac:dyDescent="0.2">
      <c r="A152" s="2192" t="s">
        <v>1239</v>
      </c>
      <c r="B152" s="2193"/>
      <c r="C152" s="619"/>
      <c r="D152" s="619"/>
      <c r="E152" s="619"/>
      <c r="F152" s="619"/>
      <c r="G152" s="619"/>
      <c r="H152" s="619"/>
      <c r="I152" s="619"/>
      <c r="J152" s="617"/>
      <c r="K152" s="1706">
        <f>'Revenues 9-14'!D275-'Expenditures 15-22'!K151</f>
        <v>8154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77" t="s">
        <v>641</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16626</v>
      </c>
      <c r="I169" s="617"/>
      <c r="J169" s="617"/>
      <c r="K169" s="1693">
        <f>SUM(C169:H169)</f>
        <v>16626</v>
      </c>
      <c r="L169" s="657">
        <v>16630</v>
      </c>
    </row>
    <row r="170" spans="1:14" ht="33.75" customHeight="1" x14ac:dyDescent="0.2">
      <c r="A170" s="670" t="s">
        <v>1768</v>
      </c>
      <c r="B170" s="672" t="s">
        <v>31</v>
      </c>
      <c r="C170" s="617"/>
      <c r="D170" s="617"/>
      <c r="E170" s="617"/>
      <c r="F170" s="617"/>
      <c r="G170" s="617"/>
      <c r="H170" s="569">
        <v>433600</v>
      </c>
      <c r="I170" s="617"/>
      <c r="J170" s="617"/>
      <c r="K170" s="1693">
        <f>SUM(C170:J170)</f>
        <v>433600</v>
      </c>
      <c r="L170" s="569">
        <v>433600</v>
      </c>
    </row>
    <row r="171" spans="1:14" ht="15.75" customHeight="1" x14ac:dyDescent="0.2">
      <c r="A171" s="622" t="s">
        <v>789</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658</v>
      </c>
      <c r="B172" s="1691" t="s">
        <v>512</v>
      </c>
      <c r="C172" s="617"/>
      <c r="D172" s="617"/>
      <c r="E172" s="1699">
        <f>SUM(E168,E169,E170,E171)</f>
        <v>0</v>
      </c>
      <c r="F172" s="617"/>
      <c r="G172" s="617"/>
      <c r="H172" s="1699">
        <f>SUM(H168,H169,H170,H171)</f>
        <v>450726</v>
      </c>
      <c r="I172" s="639"/>
      <c r="J172" s="617"/>
      <c r="K172" s="1699">
        <f>SUM(K168,K169,K170,K171)</f>
        <v>450726</v>
      </c>
      <c r="L172" s="1699">
        <f>SUM(L168,L169,L170,L171)</f>
        <v>450730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450726</v>
      </c>
      <c r="I174" s="639"/>
      <c r="J174" s="617"/>
      <c r="K174" s="1699">
        <f>SUM(K160,K172,K173)</f>
        <v>450726</v>
      </c>
      <c r="L174" s="1699">
        <f>SUM(L160,L172,L173)</f>
        <v>450730</v>
      </c>
    </row>
    <row r="175" spans="1:14" ht="13.5" thickTop="1" x14ac:dyDescent="0.2">
      <c r="A175" s="2199" t="s">
        <v>1052</v>
      </c>
      <c r="B175" s="2200"/>
      <c r="C175" s="617"/>
      <c r="D175" s="617"/>
      <c r="E175" s="617"/>
      <c r="F175" s="617"/>
      <c r="G175" s="617"/>
      <c r="H175" s="619"/>
      <c r="I175" s="617"/>
      <c r="J175" s="617"/>
      <c r="K175" s="1706">
        <f>'Revenues 9-14'!E275-'Expenditures 15-22'!K174</f>
        <v>33363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11429</v>
      </c>
      <c r="D182" s="466">
        <v>1397</v>
      </c>
      <c r="E182" s="466">
        <v>349471</v>
      </c>
      <c r="F182" s="466">
        <v>34110</v>
      </c>
      <c r="G182" s="466"/>
      <c r="H182" s="466"/>
      <c r="I182" s="467"/>
      <c r="J182" s="467"/>
      <c r="K182" s="1693">
        <f>SUM(C182:J182)</f>
        <v>396407</v>
      </c>
      <c r="L182" s="466">
        <v>398380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11429</v>
      </c>
      <c r="D184" s="1699">
        <f t="shared" ref="D184:J184" si="17">SUM(D180,D182,D183)</f>
        <v>1397</v>
      </c>
      <c r="E184" s="1699">
        <f t="shared" si="17"/>
        <v>349471</v>
      </c>
      <c r="F184" s="1699">
        <f t="shared" si="17"/>
        <v>34110</v>
      </c>
      <c r="G184" s="1699">
        <f t="shared" si="17"/>
        <v>0</v>
      </c>
      <c r="H184" s="1699">
        <f t="shared" si="17"/>
        <v>0</v>
      </c>
      <c r="I184" s="1699">
        <f t="shared" si="17"/>
        <v>0</v>
      </c>
      <c r="J184" s="1699">
        <f t="shared" si="17"/>
        <v>0</v>
      </c>
      <c r="K184" s="1699">
        <f>SUM(K180,K182,K183)</f>
        <v>396407</v>
      </c>
      <c r="L184" s="1699">
        <f>SUM(L180, L182:L183)</f>
        <v>398380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11429</v>
      </c>
      <c r="D210" s="1692">
        <f>SUM(D184,D185)</f>
        <v>1397</v>
      </c>
      <c r="E210" s="1692">
        <f>SUM(E184,E185,E196)</f>
        <v>349471</v>
      </c>
      <c r="F210" s="1692">
        <f>SUM(F184,F185)</f>
        <v>34110</v>
      </c>
      <c r="G210" s="1692">
        <f>SUM(G184,G185)</f>
        <v>0</v>
      </c>
      <c r="H210" s="1692">
        <f>SUM(H184,H185,H196,H208,H209)</f>
        <v>0</v>
      </c>
      <c r="I210" s="1692">
        <f>SUM(I184,I185)</f>
        <v>0</v>
      </c>
      <c r="J210" s="1692">
        <f>SUM(J184,J185)</f>
        <v>0</v>
      </c>
      <c r="K210" s="1693">
        <f>SUM(K184,K185,K196,K208,K209)</f>
        <v>396407</v>
      </c>
      <c r="L210" s="1692">
        <f>SUM(L184,L185,L196,L208,L209)</f>
        <v>398380</v>
      </c>
    </row>
    <row r="211" spans="1:14" ht="13.5" thickTop="1" x14ac:dyDescent="0.2">
      <c r="A211" s="2199" t="s">
        <v>1052</v>
      </c>
      <c r="B211" s="2200"/>
      <c r="C211" s="619"/>
      <c r="D211" s="619"/>
      <c r="E211" s="619"/>
      <c r="F211" s="619"/>
      <c r="G211" s="619"/>
      <c r="H211" s="619"/>
      <c r="I211" s="617"/>
      <c r="J211" s="617"/>
      <c r="K211" s="1706">
        <f>'Revenues 9-14'!F275-'Expenditures 15-22'!K210</f>
        <v>24035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4" t="s">
        <v>1021</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19961</v>
      </c>
      <c r="E215" s="617"/>
      <c r="F215" s="617"/>
      <c r="G215" s="617"/>
      <c r="H215" s="617"/>
      <c r="I215" s="617"/>
      <c r="J215" s="617"/>
      <c r="K215" s="1693">
        <f>D215</f>
        <v>19961</v>
      </c>
      <c r="L215" s="466">
        <v>19890</v>
      </c>
    </row>
    <row r="216" spans="1:14" x14ac:dyDescent="0.2">
      <c r="A216" s="1526" t="s">
        <v>165</v>
      </c>
      <c r="B216" s="615" t="s">
        <v>1023</v>
      </c>
      <c r="C216" s="617"/>
      <c r="D216" s="467">
        <v>308</v>
      </c>
      <c r="E216" s="617"/>
      <c r="F216" s="617"/>
      <c r="G216" s="617"/>
      <c r="H216" s="617"/>
      <c r="I216" s="617"/>
      <c r="J216" s="617"/>
      <c r="K216" s="1693">
        <f t="shared" ref="K216:K228" si="19">D216</f>
        <v>308</v>
      </c>
      <c r="L216" s="466">
        <v>240</v>
      </c>
    </row>
    <row r="217" spans="1:14" x14ac:dyDescent="0.2">
      <c r="A217" s="1526" t="s">
        <v>166</v>
      </c>
      <c r="B217" s="615">
        <v>1200</v>
      </c>
      <c r="C217" s="617"/>
      <c r="D217" s="466">
        <v>7267</v>
      </c>
      <c r="E217" s="617"/>
      <c r="F217" s="617"/>
      <c r="G217" s="617"/>
      <c r="H217" s="617"/>
      <c r="I217" s="617"/>
      <c r="J217" s="617"/>
      <c r="K217" s="1693">
        <f t="shared" si="19"/>
        <v>7267</v>
      </c>
      <c r="L217" s="466">
        <v>4980</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v>1639</v>
      </c>
      <c r="E219" s="617"/>
      <c r="F219" s="617"/>
      <c r="G219" s="617"/>
      <c r="H219" s="617"/>
      <c r="I219" s="617"/>
      <c r="J219" s="617"/>
      <c r="K219" s="1693">
        <f t="shared" si="19"/>
        <v>1639</v>
      </c>
      <c r="L219" s="466">
        <v>3600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2030</v>
      </c>
      <c r="E222" s="617"/>
      <c r="F222" s="617"/>
      <c r="G222" s="617"/>
      <c r="H222" s="617"/>
      <c r="I222" s="617"/>
      <c r="J222" s="617"/>
      <c r="K222" s="1693">
        <f t="shared" si="19"/>
        <v>2030</v>
      </c>
      <c r="L222" s="466">
        <v>1980</v>
      </c>
    </row>
    <row r="223" spans="1:14" x14ac:dyDescent="0.2">
      <c r="A223" s="1526" t="s">
        <v>1019</v>
      </c>
      <c r="B223" s="615">
        <v>1500</v>
      </c>
      <c r="C223" s="617"/>
      <c r="D223" s="466">
        <v>1032</v>
      </c>
      <c r="E223" s="617"/>
      <c r="F223" s="617"/>
      <c r="G223" s="617"/>
      <c r="H223" s="617"/>
      <c r="I223" s="617"/>
      <c r="J223" s="617"/>
      <c r="K223" s="1693">
        <f t="shared" si="19"/>
        <v>1032</v>
      </c>
      <c r="L223" s="466">
        <v>1210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115</v>
      </c>
      <c r="E226" s="617"/>
      <c r="F226" s="617"/>
      <c r="G226" s="617"/>
      <c r="H226" s="617"/>
      <c r="I226" s="617"/>
      <c r="J226" s="617"/>
      <c r="K226" s="1693">
        <f t="shared" si="19"/>
        <v>115</v>
      </c>
      <c r="L226" s="466">
        <v>160</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32352</v>
      </c>
      <c r="E229" s="617"/>
      <c r="F229" s="617"/>
      <c r="G229" s="617"/>
      <c r="H229" s="617"/>
      <c r="I229" s="617"/>
      <c r="J229" s="617"/>
      <c r="K229" s="1692">
        <f>SUM(K215:K228)</f>
        <v>32352</v>
      </c>
      <c r="L229" s="1692">
        <f>SUM(L215:L228)</f>
        <v>32060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741</v>
      </c>
      <c r="E232" s="617"/>
      <c r="F232" s="617"/>
      <c r="G232" s="617"/>
      <c r="H232" s="617"/>
      <c r="I232" s="617"/>
      <c r="J232" s="617"/>
      <c r="K232" s="1693">
        <f t="shared" ref="K232:K237" si="20">D232</f>
        <v>741</v>
      </c>
      <c r="L232" s="466">
        <v>740</v>
      </c>
    </row>
    <row r="233" spans="1:12" x14ac:dyDescent="0.2">
      <c r="A233" s="1526" t="s">
        <v>1150</v>
      </c>
      <c r="B233" s="615">
        <v>2120</v>
      </c>
      <c r="C233" s="617"/>
      <c r="D233" s="466">
        <v>617</v>
      </c>
      <c r="E233" s="617"/>
      <c r="F233" s="617"/>
      <c r="G233" s="617"/>
      <c r="H233" s="617"/>
      <c r="I233" s="617"/>
      <c r="J233" s="617"/>
      <c r="K233" s="1693">
        <f t="shared" si="20"/>
        <v>617</v>
      </c>
      <c r="L233" s="466">
        <v>630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285</v>
      </c>
      <c r="E236" s="617"/>
      <c r="F236" s="617"/>
      <c r="G236" s="617"/>
      <c r="H236" s="617"/>
      <c r="I236" s="617"/>
      <c r="J236" s="617"/>
      <c r="K236" s="1693">
        <f t="shared" si="20"/>
        <v>285</v>
      </c>
      <c r="L236" s="466">
        <v>290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580</v>
      </c>
      <c r="B238" s="1697" t="s">
        <v>739</v>
      </c>
      <c r="C238" s="617"/>
      <c r="D238" s="1692">
        <f>SUM(D232:D237)</f>
        <v>1643</v>
      </c>
      <c r="E238" s="617"/>
      <c r="F238" s="617"/>
      <c r="G238" s="617"/>
      <c r="H238" s="617"/>
      <c r="I238" s="617"/>
      <c r="J238" s="617"/>
      <c r="K238" s="1692">
        <f>SUM(K232:K237)</f>
        <v>1643</v>
      </c>
      <c r="L238" s="1692">
        <f>SUM(L232:L237)</f>
        <v>1660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4</v>
      </c>
      <c r="E240" s="617"/>
      <c r="F240" s="617"/>
      <c r="G240" s="617"/>
      <c r="H240" s="617"/>
      <c r="I240" s="617"/>
      <c r="J240" s="617"/>
      <c r="K240" s="1694">
        <f>D240</f>
        <v>4</v>
      </c>
      <c r="L240" s="481">
        <v>40</v>
      </c>
    </row>
    <row r="241" spans="1:12" x14ac:dyDescent="0.2">
      <c r="A241" s="1526" t="s">
        <v>868</v>
      </c>
      <c r="B241" s="615">
        <v>2220</v>
      </c>
      <c r="C241" s="617"/>
      <c r="D241" s="466">
        <v>522</v>
      </c>
      <c r="E241" s="617"/>
      <c r="F241" s="617"/>
      <c r="G241" s="617"/>
      <c r="H241" s="617"/>
      <c r="I241" s="617"/>
      <c r="J241" s="617"/>
      <c r="K241" s="1694">
        <f>D241</f>
        <v>522</v>
      </c>
      <c r="L241" s="466">
        <v>530</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526</v>
      </c>
      <c r="E243" s="617"/>
      <c r="F243" s="617"/>
      <c r="G243" s="617"/>
      <c r="H243" s="617"/>
      <c r="I243" s="617"/>
      <c r="J243" s="617"/>
      <c r="K243" s="1692">
        <f>SUM(K240:K242)</f>
        <v>526</v>
      </c>
      <c r="L243" s="1692">
        <f>SUM(L240:L242)</f>
        <v>570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4507</v>
      </c>
      <c r="E246" s="617"/>
      <c r="F246" s="617"/>
      <c r="G246" s="617"/>
      <c r="H246" s="617"/>
      <c r="I246" s="617"/>
      <c r="J246" s="617"/>
      <c r="K246" s="1694">
        <f t="shared" ref="K246:K256" si="21">D246</f>
        <v>4507</v>
      </c>
      <c r="L246" s="466">
        <v>3770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v>2999</v>
      </c>
      <c r="E254" s="617"/>
      <c r="F254" s="617"/>
      <c r="G254" s="617"/>
      <c r="H254" s="617"/>
      <c r="I254" s="617"/>
      <c r="J254" s="617"/>
      <c r="K254" s="1694">
        <f t="shared" si="21"/>
        <v>2999</v>
      </c>
      <c r="L254" s="466">
        <v>2830</v>
      </c>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7506</v>
      </c>
      <c r="E257" s="617"/>
      <c r="F257" s="617"/>
      <c r="G257" s="617"/>
      <c r="H257" s="617"/>
      <c r="I257" s="617"/>
      <c r="J257" s="617"/>
      <c r="K257" s="1692">
        <f>SUM(K245:K256)</f>
        <v>7506</v>
      </c>
      <c r="L257" s="1692">
        <f>SUM(L245:L256)</f>
        <v>6600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11025</v>
      </c>
      <c r="E259" s="617"/>
      <c r="F259" s="617"/>
      <c r="G259" s="617"/>
      <c r="H259" s="617"/>
      <c r="I259" s="617"/>
      <c r="J259" s="617"/>
      <c r="K259" s="1694">
        <f>D259</f>
        <v>11025</v>
      </c>
      <c r="L259" s="481">
        <v>11340</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11025</v>
      </c>
      <c r="E261" s="617"/>
      <c r="F261" s="617"/>
      <c r="G261" s="617"/>
      <c r="H261" s="617"/>
      <c r="I261" s="617"/>
      <c r="J261" s="617"/>
      <c r="K261" s="1692">
        <f>SUM(K259:K260)</f>
        <v>11025</v>
      </c>
      <c r="L261" s="1692">
        <f>SUM(L259:L260)</f>
        <v>11340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5179</v>
      </c>
      <c r="E264" s="617"/>
      <c r="F264" s="617"/>
      <c r="G264" s="617"/>
      <c r="H264" s="617"/>
      <c r="I264" s="617"/>
      <c r="J264" s="617"/>
      <c r="K264" s="1694">
        <f t="shared" ref="K264:K269" si="22">D264</f>
        <v>5179</v>
      </c>
      <c r="L264" s="466">
        <v>6070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35869</v>
      </c>
      <c r="E266" s="617"/>
      <c r="F266" s="617"/>
      <c r="G266" s="617"/>
      <c r="H266" s="617"/>
      <c r="I266" s="617"/>
      <c r="J266" s="617"/>
      <c r="K266" s="1694">
        <f t="shared" si="22"/>
        <v>35869</v>
      </c>
      <c r="L266" s="466">
        <v>35740</v>
      </c>
    </row>
    <row r="267" spans="1:14" x14ac:dyDescent="0.2">
      <c r="A267" s="1526" t="s">
        <v>1009</v>
      </c>
      <c r="B267" s="615">
        <v>2550</v>
      </c>
      <c r="C267" s="617"/>
      <c r="D267" s="466">
        <v>166</v>
      </c>
      <c r="E267" s="617"/>
      <c r="F267" s="617"/>
      <c r="G267" s="617"/>
      <c r="H267" s="617"/>
      <c r="I267" s="617"/>
      <c r="J267" s="617"/>
      <c r="K267" s="1694">
        <f t="shared" si="22"/>
        <v>166</v>
      </c>
      <c r="L267" s="466">
        <v>170</v>
      </c>
    </row>
    <row r="268" spans="1:14" x14ac:dyDescent="0.2">
      <c r="A268" s="1526" t="s">
        <v>102</v>
      </c>
      <c r="B268" s="615">
        <v>2560</v>
      </c>
      <c r="C268" s="617"/>
      <c r="D268" s="466">
        <v>13768</v>
      </c>
      <c r="E268" s="617"/>
      <c r="F268" s="617"/>
      <c r="G268" s="617"/>
      <c r="H268" s="617"/>
      <c r="I268" s="617"/>
      <c r="J268" s="617"/>
      <c r="K268" s="1694">
        <f t="shared" si="22"/>
        <v>13768</v>
      </c>
      <c r="L268" s="466">
        <v>12500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54982</v>
      </c>
      <c r="E270" s="617"/>
      <c r="F270" s="617"/>
      <c r="G270" s="617"/>
      <c r="H270" s="617"/>
      <c r="I270" s="617"/>
      <c r="J270" s="617"/>
      <c r="K270" s="1692">
        <f>SUM(K263:K269)</f>
        <v>54982</v>
      </c>
      <c r="L270" s="1692">
        <f>SUM(L263:L269)</f>
        <v>54480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75682</v>
      </c>
      <c r="E279" s="617"/>
      <c r="F279" s="617"/>
      <c r="G279" s="617"/>
      <c r="H279" s="617"/>
      <c r="I279" s="617"/>
      <c r="J279" s="617"/>
      <c r="K279" s="1699">
        <f>SUM(K238,K243,K257,K261,K270,K277,K278)</f>
        <v>75682</v>
      </c>
      <c r="L279" s="1699">
        <f>SUM(L238,L243,L257,L261,L270,L277,L278)</f>
        <v>74650</v>
      </c>
    </row>
    <row r="280" spans="1:12" ht="15.75" customHeight="1" thickTop="1" thickBot="1" x14ac:dyDescent="0.25">
      <c r="A280" s="1646" t="s">
        <v>929</v>
      </c>
      <c r="B280" s="1635">
        <v>3000</v>
      </c>
      <c r="C280" s="617"/>
      <c r="D280" s="576"/>
      <c r="E280" s="617"/>
      <c r="F280" s="617"/>
      <c r="G280" s="617"/>
      <c r="H280" s="617"/>
      <c r="I280" s="617"/>
      <c r="J280" s="617"/>
      <c r="K280" s="1701">
        <f>D280</f>
        <v>0</v>
      </c>
      <c r="L280" s="576">
        <v>510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0" t="s">
        <v>525</v>
      </c>
      <c r="B295" s="2191"/>
      <c r="C295" s="617"/>
      <c r="D295" s="1692">
        <f>SUM(D229,D279,D280,D285)</f>
        <v>108034</v>
      </c>
      <c r="E295" s="617"/>
      <c r="F295" s="617"/>
      <c r="G295" s="617"/>
      <c r="H295" s="1692">
        <f>H293</f>
        <v>0</v>
      </c>
      <c r="I295" s="617"/>
      <c r="J295" s="617"/>
      <c r="K295" s="1692">
        <f>SUM(K229,K279,K280,K285,K293,K294)</f>
        <v>108034</v>
      </c>
      <c r="L295" s="1692">
        <f>SUM(L229,L279,L280,L285,L293,L294)</f>
        <v>107220</v>
      </c>
    </row>
    <row r="296" spans="1:14" ht="13.5" thickTop="1" x14ac:dyDescent="0.2">
      <c r="A296" s="2199" t="s">
        <v>1052</v>
      </c>
      <c r="B296" s="2200"/>
      <c r="C296" s="617"/>
      <c r="D296" s="619"/>
      <c r="E296" s="617"/>
      <c r="F296" s="617"/>
      <c r="G296" s="617"/>
      <c r="H296" s="688"/>
      <c r="I296" s="617"/>
      <c r="J296" s="617"/>
      <c r="K296" s="1706">
        <f>'Revenues 9-14'!G275-'Expenditures 15-22'!K295</f>
        <v>34014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112005</v>
      </c>
      <c r="F301" s="466"/>
      <c r="G301" s="466">
        <v>1079537</v>
      </c>
      <c r="H301" s="466"/>
      <c r="I301" s="467"/>
      <c r="J301" s="467"/>
      <c r="K301" s="1693">
        <f>SUM(C301:J301)</f>
        <v>1191542</v>
      </c>
      <c r="L301" s="467">
        <v>583370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112005</v>
      </c>
      <c r="F303" s="1699">
        <f t="shared" si="23"/>
        <v>0</v>
      </c>
      <c r="G303" s="1699">
        <f t="shared" si="23"/>
        <v>1079537</v>
      </c>
      <c r="H303" s="1699">
        <f t="shared" si="23"/>
        <v>0</v>
      </c>
      <c r="I303" s="1699">
        <f t="shared" si="23"/>
        <v>0</v>
      </c>
      <c r="J303" s="1699">
        <f t="shared" si="23"/>
        <v>0</v>
      </c>
      <c r="K303" s="1699">
        <f t="shared" si="23"/>
        <v>1191542</v>
      </c>
      <c r="L303" s="1699">
        <f t="shared" si="23"/>
        <v>583370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7" t="s">
        <v>294</v>
      </c>
      <c r="B312" s="2188"/>
      <c r="C312" s="1692">
        <f>SUM(C303)</f>
        <v>0</v>
      </c>
      <c r="D312" s="1692">
        <f>SUM(D303)</f>
        <v>0</v>
      </c>
      <c r="E312" s="1692">
        <f>SUM(E303,E310)</f>
        <v>112005</v>
      </c>
      <c r="F312" s="1692">
        <f>SUM(F303)</f>
        <v>0</v>
      </c>
      <c r="G312" s="1692">
        <f>SUM(G303)</f>
        <v>1079537</v>
      </c>
      <c r="H312" s="1692">
        <f>SUM(H303,H310)</f>
        <v>0</v>
      </c>
      <c r="I312" s="1692">
        <f>SUM(I303)</f>
        <v>0</v>
      </c>
      <c r="J312" s="1692">
        <f>SUM(J303)</f>
        <v>0</v>
      </c>
      <c r="K312" s="1692">
        <f>SUM(K303,K310,K311)</f>
        <v>1191542</v>
      </c>
      <c r="L312" s="1692">
        <f>SUM(L303,L310,L311)</f>
        <v>583370</v>
      </c>
      <c r="M312" s="666"/>
      <c r="N312" s="666"/>
    </row>
    <row r="313" spans="1:14" ht="13.5" thickTop="1" x14ac:dyDescent="0.2">
      <c r="A313" s="2183" t="s">
        <v>1052</v>
      </c>
      <c r="B313" s="2184"/>
      <c r="C313" s="627"/>
      <c r="D313" s="627"/>
      <c r="E313" s="627"/>
      <c r="F313" s="627"/>
      <c r="G313" s="627"/>
      <c r="H313" s="627"/>
      <c r="I313" s="627"/>
      <c r="J313" s="627"/>
      <c r="K313" s="1707">
        <f>'Revenues 9-14'!H275-'Expenditures 15-22'!K312</f>
        <v>-1110705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198" t="s">
        <v>953</v>
      </c>
      <c r="B317" s="2197"/>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v>13656</v>
      </c>
      <c r="F320" s="467"/>
      <c r="G320" s="467"/>
      <c r="H320" s="467"/>
      <c r="I320" s="467"/>
      <c r="J320" s="467"/>
      <c r="K320" s="1693">
        <f t="shared" ref="K320:K327" si="24">SUM(C320:J320)</f>
        <v>13656</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v>42520</v>
      </c>
      <c r="M322" s="666"/>
      <c r="N322" s="666"/>
    </row>
    <row r="323" spans="1:14" s="675" customFormat="1" x14ac:dyDescent="0.2">
      <c r="A323" s="1541" t="s">
        <v>725</v>
      </c>
      <c r="B323" s="698" t="s">
        <v>302</v>
      </c>
      <c r="C323" s="467"/>
      <c r="D323" s="467"/>
      <c r="E323" s="467">
        <v>1670</v>
      </c>
      <c r="F323" s="467"/>
      <c r="G323" s="467"/>
      <c r="H323" s="467"/>
      <c r="I323" s="467"/>
      <c r="J323" s="467"/>
      <c r="K323" s="1693">
        <f t="shared" si="24"/>
        <v>1670</v>
      </c>
      <c r="L323" s="467">
        <v>2090</v>
      </c>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52871</v>
      </c>
      <c r="D325" s="467">
        <v>4305</v>
      </c>
      <c r="E325" s="467">
        <v>34661</v>
      </c>
      <c r="F325" s="467">
        <v>2288</v>
      </c>
      <c r="G325" s="467"/>
      <c r="H325" s="467"/>
      <c r="I325" s="467"/>
      <c r="J325" s="467"/>
      <c r="K325" s="1693">
        <f t="shared" si="24"/>
        <v>94125</v>
      </c>
      <c r="L325" s="467">
        <v>89540</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21107</v>
      </c>
      <c r="F327" s="467"/>
      <c r="G327" s="467"/>
      <c r="H327" s="467"/>
      <c r="I327" s="467"/>
      <c r="J327" s="467"/>
      <c r="K327" s="1693">
        <f t="shared" si="24"/>
        <v>21107</v>
      </c>
      <c r="L327" s="467">
        <v>10600</v>
      </c>
      <c r="M327" s="666"/>
      <c r="N327" s="666"/>
    </row>
    <row r="328" spans="1:14" s="675" customFormat="1" x14ac:dyDescent="0.2">
      <c r="A328" s="1542" t="s">
        <v>491</v>
      </c>
      <c r="B328" s="691" t="s">
        <v>1193</v>
      </c>
      <c r="C328" s="474"/>
      <c r="D328" s="474"/>
      <c r="E328" s="474">
        <v>29014</v>
      </c>
      <c r="F328" s="474"/>
      <c r="G328" s="474"/>
      <c r="H328" s="474"/>
      <c r="I328" s="474"/>
      <c r="J328" s="474"/>
      <c r="K328" s="1721">
        <f>SUM(C328:J328)</f>
        <v>29014</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52871</v>
      </c>
      <c r="D330" s="1692">
        <f t="shared" ref="D330:J330" si="25">SUM(D319:D329)</f>
        <v>4305</v>
      </c>
      <c r="E330" s="1692">
        <f t="shared" si="25"/>
        <v>100108</v>
      </c>
      <c r="F330" s="1692">
        <f t="shared" si="25"/>
        <v>2288</v>
      </c>
      <c r="G330" s="1692">
        <f t="shared" si="25"/>
        <v>0</v>
      </c>
      <c r="H330" s="1692">
        <f t="shared" si="25"/>
        <v>0</v>
      </c>
      <c r="I330" s="1692">
        <f t="shared" si="25"/>
        <v>0</v>
      </c>
      <c r="J330" s="1692">
        <f t="shared" si="25"/>
        <v>0</v>
      </c>
      <c r="K330" s="1692">
        <f>SUM(K319:K329)</f>
        <v>159572</v>
      </c>
      <c r="L330" s="1692">
        <f>SUM(L319:L329)</f>
        <v>144750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52871</v>
      </c>
      <c r="D342" s="1692">
        <f>SUM(D330)</f>
        <v>4305</v>
      </c>
      <c r="E342" s="1692">
        <f>SUM(E330)</f>
        <v>100108</v>
      </c>
      <c r="F342" s="1692">
        <f>SUM(F330)</f>
        <v>2288</v>
      </c>
      <c r="G342" s="1692">
        <f>SUM(G330)</f>
        <v>0</v>
      </c>
      <c r="H342" s="1692">
        <f>SUM(H330,H334,H340)</f>
        <v>0</v>
      </c>
      <c r="I342" s="1692">
        <f>SUM(I330)</f>
        <v>0</v>
      </c>
      <c r="J342" s="1692">
        <f>SUM(J330)</f>
        <v>0</v>
      </c>
      <c r="K342" s="1692">
        <f>SUM(K330,K334,K340)</f>
        <v>159572</v>
      </c>
      <c r="L342" s="1699">
        <f>SUM(L330,L340,L341)</f>
        <v>144750</v>
      </c>
    </row>
    <row r="343" spans="1:14" ht="12.75" customHeight="1" thickTop="1" x14ac:dyDescent="0.2">
      <c r="A343" s="2185" t="s">
        <v>1052</v>
      </c>
      <c r="B343" s="2186"/>
      <c r="C343" s="617"/>
      <c r="D343" s="617"/>
      <c r="E343" s="617"/>
      <c r="F343" s="617"/>
      <c r="G343" s="617"/>
      <c r="H343" s="617"/>
      <c r="I343" s="617"/>
      <c r="J343" s="617"/>
      <c r="K343" s="1706">
        <f>'Revenues 9-14'!J275-'Expenditures 15-22'!K342</f>
        <v>42041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5" t="s">
        <v>1022</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741</v>
      </c>
      <c r="F348" s="466"/>
      <c r="G348" s="466"/>
      <c r="H348" s="466"/>
      <c r="I348" s="467"/>
      <c r="J348" s="467"/>
      <c r="K348" s="1693">
        <f>SUM(C348:J348)</f>
        <v>741</v>
      </c>
      <c r="L348" s="466"/>
    </row>
    <row r="349" spans="1:14" x14ac:dyDescent="0.2">
      <c r="A349" s="1526" t="s">
        <v>206</v>
      </c>
      <c r="B349" s="615">
        <v>2540</v>
      </c>
      <c r="C349" s="466"/>
      <c r="D349" s="466"/>
      <c r="E349" s="466"/>
      <c r="F349" s="466"/>
      <c r="G349" s="466"/>
      <c r="H349" s="466"/>
      <c r="I349" s="467"/>
      <c r="J349" s="467"/>
      <c r="K349" s="1693">
        <f>SUM(C349:J349)</f>
        <v>0</v>
      </c>
      <c r="L349" s="466">
        <v>30350</v>
      </c>
    </row>
    <row r="350" spans="1:14" ht="12.75" customHeight="1" thickBot="1" x14ac:dyDescent="0.25">
      <c r="A350" s="1690" t="s">
        <v>742</v>
      </c>
      <c r="B350" s="1691" t="s">
        <v>35</v>
      </c>
      <c r="C350" s="1692">
        <f>SUM(C348:C349)</f>
        <v>0</v>
      </c>
      <c r="D350" s="1692">
        <f t="shared" ref="D350:L350" si="26">SUM(D348:D349)</f>
        <v>0</v>
      </c>
      <c r="E350" s="1692">
        <f t="shared" si="26"/>
        <v>741</v>
      </c>
      <c r="F350" s="1692">
        <f t="shared" si="26"/>
        <v>0</v>
      </c>
      <c r="G350" s="1692">
        <f t="shared" si="26"/>
        <v>0</v>
      </c>
      <c r="H350" s="1692">
        <f t="shared" si="26"/>
        <v>0</v>
      </c>
      <c r="I350" s="1692">
        <f t="shared" si="26"/>
        <v>0</v>
      </c>
      <c r="J350" s="1692">
        <f t="shared" si="26"/>
        <v>0</v>
      </c>
      <c r="K350" s="1692">
        <f t="shared" si="26"/>
        <v>741</v>
      </c>
      <c r="L350" s="1692">
        <f t="shared" si="26"/>
        <v>30350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741</v>
      </c>
      <c r="F352" s="1692">
        <f t="shared" si="27"/>
        <v>0</v>
      </c>
      <c r="G352" s="1692">
        <f t="shared" si="27"/>
        <v>0</v>
      </c>
      <c r="H352" s="1692">
        <f t="shared" si="27"/>
        <v>0</v>
      </c>
      <c r="I352" s="1692">
        <f t="shared" si="27"/>
        <v>0</v>
      </c>
      <c r="J352" s="1692">
        <f t="shared" si="27"/>
        <v>0</v>
      </c>
      <c r="K352" s="1692">
        <f t="shared" si="27"/>
        <v>741</v>
      </c>
      <c r="L352" s="1692">
        <f t="shared" si="27"/>
        <v>30350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741</v>
      </c>
      <c r="F367" s="1692">
        <f t="shared" si="28"/>
        <v>0</v>
      </c>
      <c r="G367" s="1692">
        <f t="shared" si="28"/>
        <v>0</v>
      </c>
      <c r="H367" s="1692">
        <f t="shared" si="28"/>
        <v>0</v>
      </c>
      <c r="I367" s="1692">
        <f t="shared" si="28"/>
        <v>0</v>
      </c>
      <c r="J367" s="1692">
        <f t="shared" si="28"/>
        <v>0</v>
      </c>
      <c r="K367" s="1692">
        <f t="shared" si="28"/>
        <v>741</v>
      </c>
      <c r="L367" s="1692">
        <f t="shared" si="28"/>
        <v>30350</v>
      </c>
    </row>
    <row r="368" spans="1:14" ht="13.5" thickTop="1" x14ac:dyDescent="0.2">
      <c r="A368" s="2199" t="s">
        <v>1052</v>
      </c>
      <c r="B368" s="2200"/>
      <c r="C368" s="655"/>
      <c r="D368" s="655"/>
      <c r="E368" s="627"/>
      <c r="F368" s="627"/>
      <c r="G368" s="627"/>
      <c r="H368" s="627"/>
      <c r="I368" s="627"/>
      <c r="J368" s="624"/>
      <c r="K368" s="1693">
        <f>'Revenues 9-14'!K275-'Expenditures 15-22'!K367</f>
        <v>35261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14F8B6-F742-48D8-9F13-1076A7DC5E6F}">
  <ds:schemaRefs>
    <ds:schemaRef ds:uri="6ce3111e-7420-4802-b50a-75d4e9a0b980"/>
    <ds:schemaRef ds:uri="http://www.w3.org/XML/1998/namespace"/>
    <ds:schemaRef ds:uri="http://schemas.microsoft.com/office/2006/documentManagement/types"/>
    <ds:schemaRef ds:uri="http://schemas.microsoft.com/office/infopath/2007/PartnerControls"/>
    <ds:schemaRef ds:uri="http://purl.org/dc/terms/"/>
    <ds:schemaRef ds:uri="http://purl.org/dc/elements/1.1/"/>
    <ds:schemaRef ds:uri="http://schemas.microsoft.com/sharepoint/v3"/>
    <ds:schemaRef ds:uri="http://schemas.microsoft.com/office/2006/metadata/properties"/>
    <ds:schemaRef ds:uri="http://purl.org/dc/dcmitype/"/>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2018-09-27T14:35:26Z</cp:lastPrinted>
  <dcterms:created xsi:type="dcterms:W3CDTF">2003-10-29T19:06:34Z</dcterms:created>
  <dcterms:modified xsi:type="dcterms:W3CDTF">2018-10-12T16:31:58Z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