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0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8" sheetId="106" state="hidden" r:id="rId23"/>
    <sheet name="AUDITCHECK" sheetId="36"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B7727" i="106" s="1"/>
  <c r="D7727" i="106" s="1"/>
  <c r="B7729" i="106"/>
  <c r="D7729" i="106" s="1"/>
  <c r="B7734" i="106"/>
  <c r="B7726" i="106"/>
  <c r="D76" i="36"/>
  <c r="F162" i="34"/>
  <c r="B30" i="36"/>
  <c r="B33" i="36" s="1"/>
  <c r="B43" i="36" s="1"/>
  <c r="B56" i="36" s="1"/>
  <c r="B66" i="36" s="1"/>
  <c r="B70" i="36" s="1"/>
  <c r="B74" i="36" s="1"/>
  <c r="D73" i="36"/>
  <c r="C191" i="5"/>
  <c r="C201" i="5"/>
  <c r="C211" i="5"/>
  <c r="C216" i="5"/>
  <c r="C224" i="5"/>
  <c r="C228" i="5"/>
  <c r="C259" i="5"/>
  <c r="B7761" i="106"/>
  <c r="D7761" i="106" s="1"/>
  <c r="L127" i="29"/>
  <c r="L129" i="29" s="1"/>
  <c r="L139" i="29"/>
  <c r="L149" i="29"/>
  <c r="I7" i="145"/>
  <c r="I6" i="145"/>
  <c r="D78" i="36"/>
  <c r="K75" i="29"/>
  <c r="K130" i="29"/>
  <c r="F56" i="34" s="1"/>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K93" i="29"/>
  <c r="K94" i="29"/>
  <c r="K95" i="29"/>
  <c r="K96" i="29"/>
  <c r="B7003" i="106" s="1"/>
  <c r="D7003" i="106" s="1"/>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B7088" i="106" s="1"/>
  <c r="D7088" i="106" s="1"/>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s="1"/>
  <c r="B6320" i="106"/>
  <c r="D6320" i="106" s="1"/>
  <c r="B6321" i="106"/>
  <c r="D6321" i="106" s="1"/>
  <c r="B6322" i="106"/>
  <c r="D6322" i="106" s="1"/>
  <c r="B6323" i="106"/>
  <c r="D6323" i="106" s="1"/>
  <c r="B6324" i="106"/>
  <c r="D6324" i="106"/>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c r="B6636" i="106"/>
  <c r="D6636" i="106" s="1"/>
  <c r="B6637" i="106"/>
  <c r="D6637" i="106" s="1"/>
  <c r="B6638" i="106"/>
  <c r="D6638" i="106" s="1"/>
  <c r="B6639" i="106"/>
  <c r="D6639" i="106" s="1"/>
  <c r="B6640" i="106"/>
  <c r="D6640" i="106" s="1"/>
  <c r="B6641" i="106"/>
  <c r="D6641" i="106" s="1"/>
  <c r="B6642" i="106"/>
  <c r="D6642" i="106" s="1"/>
  <c r="B6643" i="106"/>
  <c r="D6643" i="106"/>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c r="B6658" i="106"/>
  <c r="D6658" i="106" s="1"/>
  <c r="B6659" i="106"/>
  <c r="D6659" i="106" s="1"/>
  <c r="B6660" i="106"/>
  <c r="D6660" i="106"/>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c r="B6685" i="106"/>
  <c r="D6685" i="106" s="1"/>
  <c r="B6686" i="106"/>
  <c r="D6686" i="106" s="1"/>
  <c r="B6687" i="106"/>
  <c r="D6687" i="106" s="1"/>
  <c r="B6688" i="106"/>
  <c r="D6688" i="106" s="1"/>
  <c r="B6689" i="106"/>
  <c r="D6689" i="106" s="1"/>
  <c r="B6690" i="106"/>
  <c r="D6690" i="106" s="1"/>
  <c r="B6691" i="106"/>
  <c r="D6691" i="106" s="1"/>
  <c r="B6692" i="106"/>
  <c r="D6692" i="106"/>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c r="B6717" i="106"/>
  <c r="D6717" i="106" s="1"/>
  <c r="B6718" i="106"/>
  <c r="D6718" i="106" s="1"/>
  <c r="B6719" i="106"/>
  <c r="D6719" i="106" s="1"/>
  <c r="B6720" i="106"/>
  <c r="D6720" i="106" s="1"/>
  <c r="B6721" i="106"/>
  <c r="D6721" i="106" s="1"/>
  <c r="B6722" i="106"/>
  <c r="D6722" i="106" s="1"/>
  <c r="B6723" i="106"/>
  <c r="D6723" i="106" s="1"/>
  <c r="B6724" i="106"/>
  <c r="D6724" i="106"/>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s="1"/>
  <c r="B6753" i="106"/>
  <c r="D6753" i="106" s="1"/>
  <c r="B6754" i="106"/>
  <c r="D6754" i="106" s="1"/>
  <c r="B6755" i="106"/>
  <c r="D6755" i="106" s="1"/>
  <c r="B6756" i="106"/>
  <c r="D6756" i="106"/>
  <c r="B6757" i="106"/>
  <c r="D6757" i="106" s="1"/>
  <c r="B6758" i="106"/>
  <c r="D6758" i="106" s="1"/>
  <c r="B6759" i="106"/>
  <c r="D6759" i="106" s="1"/>
  <c r="B6760" i="106"/>
  <c r="D6760" i="106" s="1"/>
  <c r="B6761" i="106"/>
  <c r="D6761" i="106" s="1"/>
  <c r="B6762" i="106"/>
  <c r="D6762" i="106" s="1"/>
  <c r="B6763" i="106"/>
  <c r="D6763" i="106" s="1"/>
  <c r="B6764" i="106"/>
  <c r="D6764" i="106"/>
  <c r="B6765" i="106"/>
  <c r="D6765" i="106" s="1"/>
  <c r="B6766" i="106"/>
  <c r="D6766" i="106"/>
  <c r="B6767" i="106"/>
  <c r="D6767" i="106" s="1"/>
  <c r="B6768" i="106"/>
  <c r="D6768" i="106" s="1"/>
  <c r="B6769" i="106"/>
  <c r="D6769" i="106" s="1"/>
  <c r="B6770" i="106"/>
  <c r="D6770" i="106" s="1"/>
  <c r="B6771" i="106"/>
  <c r="D6771" i="106" s="1"/>
  <c r="B6772" i="106"/>
  <c r="D6772" i="106"/>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c r="B6783" i="106"/>
  <c r="D6783" i="106" s="1"/>
  <c r="B6784" i="106"/>
  <c r="D6784" i="106" s="1"/>
  <c r="B6785" i="106"/>
  <c r="D6785" i="106" s="1"/>
  <c r="B6786" i="106"/>
  <c r="D6786" i="106" s="1"/>
  <c r="B6787" i="106"/>
  <c r="D6787" i="106" s="1"/>
  <c r="B6788" i="106"/>
  <c r="D6788" i="106"/>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c r="B6813" i="106"/>
  <c r="D6813" i="106" s="1"/>
  <c r="B6814" i="106"/>
  <c r="D6814" i="106" s="1"/>
  <c r="B6815" i="106"/>
  <c r="D6815" i="106" s="1"/>
  <c r="B6816" i="106"/>
  <c r="D6816" i="106" s="1"/>
  <c r="B6817" i="106"/>
  <c r="D6817" i="106" s="1"/>
  <c r="B6818" i="106"/>
  <c r="D6818" i="106" s="1"/>
  <c r="B6819" i="106"/>
  <c r="D6819" i="106" s="1"/>
  <c r="B6820" i="106"/>
  <c r="D6820" i="106"/>
  <c r="B6821" i="106"/>
  <c r="D6821" i="106" s="1"/>
  <c r="B6822" i="106"/>
  <c r="D6822" i="106" s="1"/>
  <c r="B6823" i="106"/>
  <c r="D6823" i="106" s="1"/>
  <c r="B6824" i="106"/>
  <c r="D6824" i="106" s="1"/>
  <c r="B6825" i="106"/>
  <c r="D6825" i="106" s="1"/>
  <c r="B6826" i="106"/>
  <c r="D6826" i="106" s="1"/>
  <c r="B6827" i="106"/>
  <c r="D6827" i="106" s="1"/>
  <c r="B6828" i="106"/>
  <c r="D6828" i="106"/>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95" i="127"/>
  <c r="B96" i="127"/>
  <c r="D26" i="108"/>
  <c r="F26" i="108"/>
  <c r="D27" i="108"/>
  <c r="E27" i="108"/>
  <c r="F27" i="108"/>
  <c r="G27" i="108"/>
  <c r="F31" i="108"/>
  <c r="F37" i="108"/>
  <c r="G28" i="108"/>
  <c r="D31" i="108"/>
  <c r="D37" i="108"/>
  <c r="E31" i="108"/>
  <c r="G31" i="108"/>
  <c r="E33" i="108"/>
  <c r="G33"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29" i="34" s="1"/>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G5" i="4"/>
  <c r="B3409" i="106" s="1"/>
  <c r="D3409" i="106" s="1"/>
  <c r="C14" i="4"/>
  <c r="B2558" i="106" s="1"/>
  <c r="D2558" i="106" s="1"/>
  <c r="F14" i="4"/>
  <c r="B2597" i="106" s="1"/>
  <c r="D2597" i="106" s="1"/>
  <c r="B2633" i="106"/>
  <c r="D2633" i="106" s="1"/>
  <c r="D7" i="118"/>
  <c r="D8" i="118"/>
  <c r="D9" i="118"/>
  <c r="H14" i="118"/>
  <c r="H19" i="118"/>
  <c r="H24" i="118"/>
  <c r="H33" i="118"/>
  <c r="D22" i="37"/>
  <c r="J22" i="37"/>
  <c r="L22" i="37"/>
  <c r="D24" i="37"/>
  <c r="B4270" i="106" s="1"/>
  <c r="D4270" i="106" s="1"/>
  <c r="L5" i="11"/>
  <c r="B2056" i="106" s="1"/>
  <c r="D2056" i="106" s="1"/>
  <c r="D4" i="7"/>
  <c r="B1760" i="106" s="1"/>
  <c r="D1760" i="106" s="1"/>
  <c r="D5" i="7"/>
  <c r="B1761" i="106" s="1"/>
  <c r="D1761" i="106" s="1"/>
  <c r="D13" i="7"/>
  <c r="B3726" i="106" s="1"/>
  <c r="D3726" i="106" s="1"/>
  <c r="F127" i="34"/>
  <c r="B5847" i="106"/>
  <c r="D5847" i="106" s="1"/>
  <c r="B5599" i="106"/>
  <c r="D5599" i="106" s="1"/>
  <c r="K274" i="5"/>
  <c r="F106" i="34"/>
  <c r="D7" i="7"/>
  <c r="B1763" i="106" s="1"/>
  <c r="D1763" i="106" s="1"/>
  <c r="D17" i="7"/>
  <c r="B4104" i="106" s="1"/>
  <c r="D4104" i="106" s="1"/>
  <c r="H28" i="118" l="1"/>
  <c r="H342" i="29"/>
  <c r="F136" i="34"/>
  <c r="G210" i="29"/>
  <c r="E174" i="29"/>
  <c r="B1309" i="106" s="1"/>
  <c r="D1309" i="106" s="1"/>
  <c r="J77" i="4"/>
  <c r="B6262" i="106" s="1"/>
  <c r="D6262" i="106" s="1"/>
  <c r="B1995" i="106"/>
  <c r="D1995" i="106" s="1"/>
  <c r="F21" i="8"/>
  <c r="N22" i="3"/>
  <c r="B283" i="106" s="1"/>
  <c r="D283" i="106" s="1"/>
  <c r="I26" i="12"/>
  <c r="B7741" i="106" s="1"/>
  <c r="D7741" i="106" s="1"/>
  <c r="B1996" i="106"/>
  <c r="D1996" i="106" s="1"/>
  <c r="G14" i="4"/>
  <c r="B2609" i="106" s="1"/>
  <c r="D2609" i="106" s="1"/>
  <c r="G172" i="5"/>
  <c r="F46" i="34"/>
  <c r="F36" i="108"/>
  <c r="G26" i="108"/>
  <c r="J23" i="12"/>
  <c r="J24" i="12" s="1"/>
  <c r="D9" i="7"/>
  <c r="B1767" i="106" s="1"/>
  <c r="D1767" i="106" s="1"/>
  <c r="B1274" i="106"/>
  <c r="D1274" i="106" s="1"/>
  <c r="F72" i="34"/>
  <c r="G39" i="108"/>
  <c r="D36" i="108"/>
  <c r="F28" i="108"/>
  <c r="E26" i="108"/>
  <c r="B3689" i="106"/>
  <c r="D3689" i="106" s="1"/>
  <c r="K350" i="29"/>
  <c r="B3670" i="106" s="1"/>
  <c r="D3670" i="106" s="1"/>
  <c r="F49" i="34"/>
  <c r="H173" i="5"/>
  <c r="F45" i="34"/>
  <c r="F42" i="34"/>
  <c r="G34" i="108"/>
  <c r="E28" i="108"/>
  <c r="G15" i="145"/>
  <c r="B5096" i="106"/>
  <c r="D5096" i="106" s="1"/>
  <c r="G29" i="108"/>
  <c r="D15" i="7"/>
  <c r="B1772" i="106" s="1"/>
  <c r="D1772" i="106" s="1"/>
  <c r="E29" i="108"/>
  <c r="D11" i="7"/>
  <c r="B1768" i="106" s="1"/>
  <c r="D1768" i="106" s="1"/>
  <c r="D14" i="4"/>
  <c r="B2570" i="106" s="1"/>
  <c r="D2570" i="106" s="1"/>
  <c r="H109" i="5"/>
  <c r="B6025" i="106" s="1"/>
  <c r="D6025" i="106" s="1"/>
  <c r="L367" i="29"/>
  <c r="F50" i="34"/>
  <c r="F44" i="34"/>
  <c r="F41" i="34"/>
  <c r="J352" i="29"/>
  <c r="J367" i="29" s="1"/>
  <c r="B7245" i="106" s="1"/>
  <c r="D7245" i="106" s="1"/>
  <c r="L15" i="11"/>
  <c r="B3459" i="106" s="1"/>
  <c r="D3459" i="106" s="1"/>
  <c r="B2724" i="106"/>
  <c r="D2724" i="106" s="1"/>
  <c r="G173" i="5"/>
  <c r="B5778" i="106" s="1"/>
  <c r="D5778" i="106" s="1"/>
  <c r="B5770" i="106"/>
  <c r="D5770" i="106" s="1"/>
  <c r="B1746" i="106"/>
  <c r="D1746" i="106" s="1"/>
  <c r="B5752" i="106"/>
  <c r="D5752" i="106" s="1"/>
  <c r="F131" i="34"/>
  <c r="I173" i="5"/>
  <c r="B4216" i="106" s="1"/>
  <c r="D4216" i="106" s="1"/>
  <c r="G109" i="5"/>
  <c r="B6024" i="106" s="1"/>
  <c r="D6024" i="106" s="1"/>
  <c r="F111" i="34"/>
  <c r="D5" i="4"/>
  <c r="B3406" i="106" s="1"/>
  <c r="D3406" i="106" s="1"/>
  <c r="J274" i="5"/>
  <c r="B7054" i="106" s="1"/>
  <c r="D7054" i="106" s="1"/>
  <c r="B5878" i="106"/>
  <c r="D5878" i="106" s="1"/>
  <c r="L312" i="29"/>
  <c r="B3658" i="106"/>
  <c r="D3658" i="106" s="1"/>
  <c r="H365" i="29"/>
  <c r="B7242" i="106" s="1"/>
  <c r="D7242" i="106" s="1"/>
  <c r="B3565" i="106"/>
  <c r="D3565" i="106" s="1"/>
  <c r="K41" i="3"/>
  <c r="F130" i="34"/>
  <c r="K173" i="5"/>
  <c r="K6" i="4" s="1"/>
  <c r="B3570" i="106" s="1"/>
  <c r="D3570" i="106" s="1"/>
  <c r="B3649" i="106"/>
  <c r="D3649" i="106" s="1"/>
  <c r="G367" i="29"/>
  <c r="B3619" i="106"/>
  <c r="D3619" i="106" s="1"/>
  <c r="C352" i="29"/>
  <c r="K285" i="29"/>
  <c r="F128" i="34"/>
  <c r="J41" i="3"/>
  <c r="D51" i="36" s="1"/>
  <c r="K76" i="4"/>
  <c r="B3586" i="106" s="1"/>
  <c r="D3586" i="106" s="1"/>
  <c r="C129" i="29"/>
  <c r="D6103" i="106"/>
  <c r="K28" i="118"/>
  <c r="O27" i="118" s="1"/>
  <c r="O29" i="118" s="1"/>
  <c r="L342" i="29"/>
  <c r="D54" i="36"/>
  <c r="K24" i="12"/>
  <c r="D69" i="36"/>
  <c r="F19" i="7"/>
  <c r="B1807" i="106" s="1"/>
  <c r="D1807" i="106" s="1"/>
  <c r="B1410" i="106"/>
  <c r="D1410" i="106" s="1"/>
  <c r="K184" i="29"/>
  <c r="F13" i="4" s="1"/>
  <c r="B2596" i="106" s="1"/>
  <c r="D2596" i="106" s="1"/>
  <c r="B1329" i="106"/>
  <c r="D1329" i="106" s="1"/>
  <c r="F61" i="34"/>
  <c r="G30" i="108"/>
  <c r="E30" i="108"/>
  <c r="F35" i="34"/>
  <c r="K352" i="29"/>
  <c r="K13" i="4" s="1"/>
  <c r="B3572" i="106" s="1"/>
  <c r="D3572" i="106" s="1"/>
  <c r="D12" i="7"/>
  <c r="B1769" i="106" s="1"/>
  <c r="D1769" i="106" s="1"/>
  <c r="C342" i="29"/>
  <c r="B7216" i="106" s="1"/>
  <c r="D7216" i="106" s="1"/>
  <c r="H4" i="4"/>
  <c r="B2655" i="106" s="1"/>
  <c r="D2655" i="106" s="1"/>
  <c r="F77" i="4"/>
  <c r="B3255" i="106" s="1"/>
  <c r="D3255" i="106" s="1"/>
  <c r="G4" i="4"/>
  <c r="B2603" i="106" s="1"/>
  <c r="D2603" i="106" s="1"/>
  <c r="E109" i="5"/>
  <c r="E4" i="4" s="1"/>
  <c r="B2630" i="106" s="1"/>
  <c r="D2630" i="106" s="1"/>
  <c r="D109" i="5"/>
  <c r="B4395" i="106"/>
  <c r="D4395" i="106" s="1"/>
  <c r="C172" i="5"/>
  <c r="B5214" i="106" s="1"/>
  <c r="D5214" i="106" s="1"/>
  <c r="C109" i="5"/>
  <c r="B5121" i="106" s="1"/>
  <c r="D5121" i="106" s="1"/>
  <c r="B4268" i="106"/>
  <c r="D4268" i="106" s="1"/>
  <c r="D31" i="36"/>
  <c r="D11" i="37"/>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730" i="106"/>
  <c r="D7730" i="106" s="1"/>
  <c r="H275" i="5"/>
  <c r="B5914" i="106"/>
  <c r="D5914" i="106" s="1"/>
  <c r="J7" i="4"/>
  <c r="B2657" i="106"/>
  <c r="D2657" i="106" s="1"/>
  <c r="D274" i="5"/>
  <c r="B7270" i="106"/>
  <c r="B1879" i="106" l="1"/>
  <c r="D1879" i="106" s="1"/>
  <c r="H22" i="37"/>
  <c r="B1365" i="106"/>
  <c r="D1365" i="106" s="1"/>
  <c r="F65" i="34"/>
  <c r="B7235" i="106"/>
  <c r="D7235" i="106" s="1"/>
  <c r="F274" i="5"/>
  <c r="D7256" i="106"/>
  <c r="D7251" i="106"/>
  <c r="F6" i="4"/>
  <c r="B2593" i="106" s="1"/>
  <c r="D2593" i="106" s="1"/>
  <c r="B5906" i="106"/>
  <c r="D5906" i="106" s="1"/>
  <c r="H6" i="4"/>
  <c r="D7254" i="106"/>
  <c r="D7253" i="106"/>
  <c r="K77" i="4"/>
  <c r="B3587" i="106" s="1"/>
  <c r="D3587" i="106" s="1"/>
  <c r="D7255" i="106"/>
  <c r="D7252" i="106"/>
  <c r="F73" i="34"/>
  <c r="G15" i="4"/>
  <c r="B6032" i="106" s="1"/>
  <c r="D6032" i="106" s="1"/>
  <c r="B3621" i="106"/>
  <c r="D3621" i="106" s="1"/>
  <c r="C367" i="29"/>
  <c r="B3622" i="106" s="1"/>
  <c r="D3622" i="106" s="1"/>
  <c r="F275" i="5"/>
  <c r="B5720" i="106" s="1"/>
  <c r="D5720" i="106" s="1"/>
  <c r="D7250" i="106"/>
  <c r="B3568" i="106"/>
  <c r="D3568" i="106" s="1"/>
  <c r="D52" i="36"/>
  <c r="D44" i="36"/>
  <c r="L114" i="29"/>
  <c r="L16" i="11"/>
  <c r="B2061" i="106" s="1"/>
  <c r="D2061" i="106" s="1"/>
  <c r="B2031" i="106"/>
  <c r="D2031" i="106" s="1"/>
  <c r="B7733" i="106"/>
  <c r="D7733" i="106" s="1"/>
  <c r="K26" i="12"/>
  <c r="B7743" i="106" s="1"/>
  <c r="D7743" i="106" s="1"/>
  <c r="B1317" i="106"/>
  <c r="D1317" i="106" s="1"/>
  <c r="C114" i="29"/>
  <c r="B757" i="106" s="1"/>
  <c r="D757" i="106" s="1"/>
  <c r="B3672" i="106"/>
  <c r="D3672" i="106" s="1"/>
  <c r="K367" i="29"/>
  <c r="H367" i="29"/>
  <c r="B3660" i="106" s="1"/>
  <c r="D3660" i="106" s="1"/>
  <c r="K342" i="29"/>
  <c r="F13" i="34" s="1"/>
  <c r="B5527" i="106"/>
  <c r="D5527" i="106" s="1"/>
  <c r="B5356" i="106"/>
  <c r="D5356" i="106" s="1"/>
  <c r="D4" i="4"/>
  <c r="B2564" i="106" s="1"/>
  <c r="D2564" i="106" s="1"/>
  <c r="C173" i="5"/>
  <c r="B5223" i="106" s="1"/>
  <c r="D5223" i="106" s="1"/>
  <c r="D19" i="7"/>
  <c r="B1775" i="106" s="1"/>
  <c r="D1775"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2656" i="106" l="1"/>
  <c r="D2656" i="106" s="1"/>
  <c r="H8" i="4"/>
  <c r="B1145" i="106"/>
  <c r="D1145" i="106" s="1"/>
  <c r="E41" i="108"/>
  <c r="E44" i="108" s="1"/>
  <c r="E45" i="108" s="1"/>
  <c r="G41" i="108"/>
  <c r="G44" i="108" s="1"/>
  <c r="G45" i="108" s="1"/>
  <c r="B7224" i="106"/>
  <c r="D7224" i="106" s="1"/>
  <c r="J17" i="4"/>
  <c r="B6227" i="106" s="1"/>
  <c r="D6227" i="106" s="1"/>
  <c r="J8" i="4"/>
  <c r="F8" i="4"/>
  <c r="F10" i="4" s="1"/>
  <c r="B4125" i="106" s="1"/>
  <c r="D4125"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B2658" i="106" l="1"/>
  <c r="D2658" i="106" s="1"/>
  <c r="H10" i="4"/>
  <c r="B4127" i="106" s="1"/>
  <c r="D4127" i="106" s="1"/>
  <c r="F76" i="34"/>
  <c r="J19" i="4"/>
  <c r="B6229" i="106" s="1"/>
  <c r="D6229" i="106" s="1"/>
  <c r="J20" i="4"/>
  <c r="D8" i="146"/>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<sst xmlns="http://schemas.openxmlformats.org/spreadsheetml/2006/main" count="5089" uniqueCount="2140">
  <si>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</si>
  <si>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</si>
  <si>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</si>
  <si>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</si>
  <si>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</si>
  <si>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</si>
  <si>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</si>
  <si>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</si>
  <si>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</si>
  <si>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</si>
  <si>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</si>
  <si>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</si>
  <si>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</si>
  <si>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</si>
  <si>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</si>
  <si>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</si>
  <si>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</si>
  <si>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</si>
  <si>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</si>
  <si>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</si>
  <si>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</si>
  <si>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</si>
  <si>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</si>
  <si>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</si>
  <si>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</si>
  <si>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</si>
  <si>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</si>
  <si>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</si>
  <si>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</si>
  <si>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</si>
  <si>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</si>
  <si>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</si>
  <si>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</si>
  <si>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</si>
  <si>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</si>
  <si>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</si>
  <si>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</si>
  <si>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</si>
  <si>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</si>
  <si>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</si>
  <si>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</si>
  <si>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</si>
  <si>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</si>
  <si>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</si>
  <si>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</si>
  <si>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</si>
  <si>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</si>
  <si>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</si>
  <si>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</si>
  <si>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</si>
  <si>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</si>
  <si>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</si>
  <si>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</si>
  <si>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</si>
  <si>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</si>
  <si>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</si>
  <si>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</si>
  <si>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</si>
  <si>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</si>
  <si>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</si>
  <si>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</si>
  <si>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</si>
  <si>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</si>
  <si>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</si>
  <si>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</si>
  <si>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</si>
  <si>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</si>
  <si>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</si>
  <si>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</si>
  <si>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</si>
  <si>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</si>
  <si>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</si>
  <si>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</si>
  <si>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</si>
  <si>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</si>
  <si>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</si>
  <si>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</si>
  <si>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</si>
  <si>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</si>
  <si>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</si>
  <si>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</si>
  <si>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</si>
  <si>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</si>
  <si>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</si>
  <si>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</si>
  <si>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</si>
  <si>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</si>
  <si>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</si>
  <si>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</si>
  <si>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</si>
  <si>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</si>
  <si>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</si>
  <si>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</si>
  <si>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</si>
  <si>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</si>
  <si>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</si>
  <si>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</si>
  <si>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</si>
  <si>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</si>
  <si>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</si>
  <si>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</si>
  <si>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</si>
  <si>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</si>
  <si>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</si>
  <si>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</si>
  <si>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</si>
  <si>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</si>
  <si>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</si>
  <si>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</si>
  <si>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</si>
  <si>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</si>
  <si>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</si>
  <si>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</si>
  <si>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</si>
  <si>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</si>
  <si>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</si>
  <si>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</si>
  <si>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</si>
  <si>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</si>
  <si>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</si>
  <si>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</si>
  <si>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</si>
  <si>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</si>
  <si>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</si>
  <si>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</si>
  <si>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</si>
  <si>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</si>
  <si>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</si>
  <si>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</si>
  <si>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</si>
  <si>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</si>
  <si>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</si>
  <si>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</si>
  <si>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</si>
  <si>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</si>
  <si>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</si>
  <si>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</si>
  <si>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</si>
  <si>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</si>
  <si>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</si>
  <si>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</si>
  <si>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</si>
  <si>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</si>
  <si>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</si>
  <si>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</si>
  <si>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</si>
  <si>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</si>
  <si>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</si>
  <si>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</si>
  <si>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</si>
  <si>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</si>
  <si>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</si>
  <si>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</si>
  <si>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</si>
  <si>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</si>
  <si>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</si>
  <si>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</si>
  <si>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</si>
  <si>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</si>
  <si>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</si>
  <si>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</si>
  <si>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</si>
  <si>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</si>
  <si>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</si>
  <si>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</si>
  <si>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</si>
  <si>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</si>
  <si>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</si>
  <si>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</si>
  <si>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</si>
  <si>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</si>
  <si>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</si>
  <si>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</si>
  <si>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</si>
  <si>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</si>
  <si>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</si>
  <si>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</si>
  <si>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</si>
  <si>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</si>
  <si>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</si>
  <si>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</si>
  <si>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</si>
  <si>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</si>
  <si>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</si>
  <si>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</si>
  <si>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</si>
  <si>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</si>
  <si>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</si>
  <si>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</si>
  <si>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</si>
  <si>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</si>
  <si>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</si>
  <si>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</si>
  <si>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</si>
  <si>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</si>
  <si>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</si>
  <si>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</si>
  <si>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</si>
  <si>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</si>
  <si>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</si>
  <si>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</si>
  <si>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</si>
  <si>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</si>
  <si>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</si>
  <si>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</si>
  <si>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</si>
  <si>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</si>
  <si>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</si>
  <si>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</si>
  <si>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</si>
  <si>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</si>
  <si>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</si>
  <si>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</si>
  <si>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</si>
  <si>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</si>
  <si>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</si>
  <si>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</si>
  <si>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</si>
  <si>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</si>
  <si>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</si>
  <si>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</si>
  <si>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</si>
  <si>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</si>
  <si>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</si>
  <si>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</si>
  <si>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</si>
  <si>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</si>
  <si>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</si>
  <si>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</si>
  <si>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</si>
  <si>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</si>
  <si>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</si>
  <si>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</si>
  <si>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</si>
  <si>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</si>
  <si>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</si>
  <si>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</si>
  <si>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</si>
  <si>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</si>
  <si>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</si>
  <si>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</si>
  <si>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</si>
  <si>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</si>
  <si>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</si>
  <si>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</si>
  <si>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</si>
  <si>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</si>
  <si>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</si>
  <si>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</si>
  <si>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</si>
  <si>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</si>
  <si>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</si>
  <si>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</si>
  <si>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</si>
  <si>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</si>
  <si>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</si>
  <si>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</si>
  <si>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</si>
  <si>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</si>
  <si>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</si>
  <si>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</si>
  <si>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</si>
  <si>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</si>
  <si>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</si>
  <si>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</si>
  <si>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</si>
  <si>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</si>
  <si>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</si>
  <si>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</si>
  <si>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</si>
  <si>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</si>
  <si>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</si>
  <si>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</si>
  <si>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</si>
  <si>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</si>
  <si>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</si>
  <si>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</si>
  <si>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</si>
  <si>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</si>
  <si>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</si>
  <si>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</si>
  <si>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</si>
  <si>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</si>
  <si>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</si>
  <si>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</si>
  <si>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</si>
  <si>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</si>
  <si>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</si>
  <si>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</si>
  <si>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</si>
  <si>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</si>
  <si>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</si>
  <si>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</si>
  <si>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</si>
  <si>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</si>
  <si>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</si>
  <si>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</si>
  <si>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</si>
  <si>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</si>
  <si>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</si>
  <si>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</si>
  <si>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</si>
  <si>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</si>
  <si>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</si>
  <si>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</si>
  <si>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</si>
  <si>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</si>
  <si>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</si>
  <si>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</si>
  <si>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</si>
  <si>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</si>
  <si>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</si>
  <si>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</si>
  <si>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</si>
  <si>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</si>
  <si>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</si>
  <si>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</si>
  <si>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</si>
  <si>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</si>
  <si>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</si>
  <si>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</si>
  <si>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</si>
  <si>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</si>
  <si>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</si>
  <si>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</si>
  <si>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</si>
  <si>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</si>
  <si>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</si>
  <si>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</si>
  <si>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</si>
  <si>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</si>
  <si>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</si>
  <si>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</si>
  <si>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</si>
  <si>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</si>
  <si>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</si>
  <si>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</si>
  <si>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</si>
  <si>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</si>
  <si>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</si>
  <si>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</si>
  <si>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</si>
  <si>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</si>
  <si>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</si>
  <si>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</si>
  <si>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</si>
  <si>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</si>
  <si>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</si>
  <si>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</si>
  <si>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</si>
  <si>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</si>
  <si>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</si>
  <si>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</si>
  <si>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</si>
  <si>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</si>
  <si>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</si>
  <si>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</si>
  <si>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</si>
  <si>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</si>
  <si>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</si>
  <si>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</si>
  <si>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</si>
  <si>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</si>
  <si>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</si>
  <si>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</si>
  <si>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</si>
  <si>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</si>
  <si>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</si>
  <si>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</si>
  <si>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</si>
  <si>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</si>
  <si>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</si>
  <si>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</si>
  <si>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</si>
  <si>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</si>
  <si>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</si>
  <si>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</si>
  <si>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</si>
  <si>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</si>
  <si>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</si>
  <si>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</si>
  <si>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</si>
  <si>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</si>
  <si>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</si>
  <si>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</si>
  <si>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</si>
  <si>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</si>
  <si>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</si>
  <si>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</si>
  <si>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</si>
  <si>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</si>
  <si>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</si>
  <si>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</si>
  <si>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</si>
  <si>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</si>
  <si>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</si>
  <si>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</si>
  <si>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</si>
  <si>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</si>
  <si>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</si>
  <si>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</si>
  <si>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</si>
  <si>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</si>
  <si>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</si>
  <si>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</si>
  <si>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</si>
  <si>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</si>
  <si>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</si>
  <si>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</si>
  <si>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</si>
  <si>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</si>
  <si>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</si>
  <si>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</si>
  <si>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</si>
  <si>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</si>
  <si>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</si>
  <si>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</si>
  <si>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</si>
  <si>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</si>
  <si>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</si>
  <si>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</si>
  <si>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</si>
  <si>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</si>
  <si>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</si>
  <si>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</si>
  <si>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</si>
  <si>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</si>
  <si>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</si>
  <si>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</si>
  <si>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</si>
  <si>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</si>
  <si>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</si>
  <si>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</si>
  <si>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</si>
  <si>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</si>
  <si>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</si>
  <si>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</si>
  <si>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</si>
  <si>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</si>
  <si>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</si>
  <si>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</si>
  <si>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</si>
  <si>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</si>
  <si>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</si>
  <si>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</si>
  <si>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</si>
  <si>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</si>
  <si>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</si>
  <si>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</si>
  <si>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</si>
  <si>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</si>
  <si>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</si>
  <si>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</si>
  <si>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</si>
  <si>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</si>
  <si>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</si>
  <si>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</si>
  <si>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</si>
  <si>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</si>
  <si>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</si>
  <si>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</si>
  <si>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</si>
  <si>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</si>
  <si>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</si>
  <si>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</si>
  <si>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</si>
  <si>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</si>
  <si>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</si>
  <si>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</si>
  <si>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</si>
  <si>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</si>
  <si>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</si>
  <si>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</si>
  <si>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</si>
  <si>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</si>
  <si>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</si>
  <si>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</si>
  <si>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</si>
  <si>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</si>
  <si>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</si>
  <si>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</si>
  <si>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</si>
  <si>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</si>
  <si>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</si>
  <si>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</si>
  <si>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</si>
  <si>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</si>
  <si>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</si>
  <si>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</si>
  <si>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</si>
  <si>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</si>
  <si>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</si>
  <si>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</si>
  <si>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</si>
  <si>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</si>
  <si>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</si>
  <si>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</si>
  <si>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</si>
  <si>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</si>
  <si>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</si>
  <si>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</si>
  <si>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</si>
  <si>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</si>
  <si>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</si>
  <si>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</si>
  <si>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</si>
  <si>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</si>
  <si>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</si>
  <si>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</si>
  <si>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</si>
  <si>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</si>
  <si>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</si>
  <si>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</si>
  <si>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</si>
  <si>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</si>
  <si>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</si>
  <si>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</si>
  <si>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</si>
  <si>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</si>
  <si>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</si>
  <si>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</si>
  <si>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</si>
  <si>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</si>
  <si>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</si>
  <si>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</si>
  <si>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</si>
  <si>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</si>
  <si>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</si>
  <si>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</si>
  <si>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</si>
  <si>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</si>
  <si>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</si>
  <si>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</si>
  <si>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</si>
  <si>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</si>
  <si>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</si>
  <si>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</si>
  <si>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</si>
  <si>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</si>
  <si>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</si>
  <si>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</si>
  <si>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</si>
  <si>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</si>
  <si>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</si>
  <si>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</si>
  <si>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</si>
  <si>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</si>
  <si>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</si>
  <si>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</si>
  <si>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</si>
  <si>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</si>
  <si>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</si>
  <si>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</si>
  <si>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</si>
  <si>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</si>
  <si>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</si>
  <si>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</si>
  <si>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</si>
  <si>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</si>
  <si>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</si>
  <si>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</si>
  <si>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</si>
  <si>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</si>
  <si>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</si>
  <si>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</si>
  <si>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</si>
  <si>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</si>
  <si>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</si>
  <si>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</si>
  <si>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</si>
  <si>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</si>
  <si>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</si>
  <si>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</si>
  <si>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</si>
  <si>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</si>
  <si>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</si>
  <si>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</si>
  <si>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</si>
  <si>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</si>
  <si>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</si>
  <si>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</si>
  <si>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</si>
  <si>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</si>
  <si>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</si>
  <si>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</si>
  <si>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</si>
  <si>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</si>
  <si>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</si>
  <si>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</si>
  <si>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</si>
  <si>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</si>
  <si>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</si>
  <si>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</si>
  <si>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</si>
  <si>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</si>
  <si>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</si>
  <si>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</si>
  <si>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</si>
  <si>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</si>
  <si>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</si>
  <si>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</si>
  <si>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</si>
  <si>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</si>
  <si>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</si>
  <si>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</si>
  <si>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</si>
  <si>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</si>
  <si>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</si>
  <si>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</si>
  <si>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</si>
  <si>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</si>
  <si>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</si>
  <si>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</si>
  <si>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</si>
  <si>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</si>
  <si>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</si>
  <si>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</si>
  <si>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</si>
  <si>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</si>
  <si>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</si>
  <si>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</si>
  <si>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</si>
  <si>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</si>
  <si>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</si>
  <si>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</si>
  <si>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</si>
  <si>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</si>
  <si>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</si>
  <si>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</si>
  <si>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</si>
  <si>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</si>
  <si>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</si>
  <si>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</si>
  <si>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</si>
  <si>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</si>
  <si>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</si>
  <si>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</si>
  <si>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</si>
  <si>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</si>
  <si>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</si>
  <si>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</si>
  <si>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</si>
  <si>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</si>
  <si>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</si>
  <si>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</si>
  <si>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</si>
  <si>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</si>
  <si>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</si>
  <si>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</si>
  <si>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</si>
  <si>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</si>
  <si>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</si>
  <si>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</si>
  <si>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</si>
  <si>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</si>
  <si>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</si>
  <si>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</si>
  <si>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</si>
  <si>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</si>
  <si>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</si>
  <si>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</si>
  <si>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</si>
  <si>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</si>
  <si>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</si>
  <si>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</si>
  <si>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</si>
  <si>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</si>
  <si>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</si>
  <si>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</si>
  <si>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</si>
  <si>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</si>
  <si>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</si>
  <si>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</si>
  <si>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</si>
  <si>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</si>
  <si>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</si>
  <si>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</si>
  <si>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</si>
  <si>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</si>
  <si>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</si>
  <si>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</si>
  <si>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</si>
  <si>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</si>
  <si>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</si>
  <si>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</si>
  <si>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</si>
  <si>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</si>
  <si>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</si>
  <si>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</si>
  <si>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</si>
  <si>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</si>
  <si>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</si>
  <si>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</si>
  <si>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</si>
  <si>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</si>
  <si>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</si>
  <si>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</si>
  <si>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</si>
  <si>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</si>
  <si>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</si>
  <si>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</si>
  <si>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</si>
  <si>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</si>
  <si>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</si>
  <si>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</si>
  <si>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</si>
  <si>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</si>
  <si>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</si>
  <si>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</si>
  <si>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</si>
  <si>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</si>
  <si>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</si>
  <si>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</si>
  <si>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</si>
  <si>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</si>
  <si>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</si>
  <si>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</si>
  <si>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</si>
  <si>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</si>
  <si>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</si>
  <si>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</si>
  <si>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</si>
  <si>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</si>
  <si>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</si>
  <si>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</si>
  <si>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</si>
  <si>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</si>
  <si>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</si>
  <si>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</si>
  <si>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</si>
  <si>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</si>
  <si>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</si>
  <si>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</si>
  <si>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</si>
  <si>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</si>
  <si>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</si>
  <si>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</si>
  <si>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</si>
  <si>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</si>
  <si>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</si>
  <si>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</si>
  <si>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</si>
  <si>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</si>
  <si>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</si>
  <si>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</si>
  <si>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</si>
  <si>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</si>
  <si>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</si>
  <si>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</si>
  <si>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</si>
  <si>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</si>
  <si>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</si>
  <si>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</si>
  <si>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</si>
  <si>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</si>
  <si>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</si>
  <si>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</si>
  <si>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</si>
  <si>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</si>
  <si>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</si>
  <si>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</si>
  <si>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</si>
  <si>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</si>
  <si>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</si>
  <si>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</si>
  <si>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</si>
  <si>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</si>
  <si>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</si>
  <si>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</si>
  <si>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</si>
  <si>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</si>
  <si>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</si>
  <si>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</si>
  <si>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</si>
  <si>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</si>
  <si>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</si>
  <si>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</si>
  <si>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</si>
  <si>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</si>
  <si>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</si>
  <si>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</si>
  <si>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</si>
  <si>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</si>
  <si>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</si>
  <si>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</si>
  <si>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</si>
  <si>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</si>
  <si>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</si>
  <si>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</si>
  <si>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</si>
  <si>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</si>
  <si>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</si>
  <si>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</si>
  <si>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</si>
  <si>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</si>
  <si>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</si>
  <si>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</si>
  <si>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</si>
  <si>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</si>
  <si>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</si>
  <si>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</si>
  <si>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</si>
  <si>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</si>
  <si>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</si>
  <si>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</si>
  <si>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</si>
  <si>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</si>
  <si>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</si>
  <si>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</si>
  <si>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</si>
  <si>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</si>
  <si>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</si>
  <si>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</si>
  <si>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</si>
  <si>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</si>
  <si>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</si>
  <si>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</si>
  <si>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</si>
  <si>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</si>
  <si>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</si>
  <si>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</si>
  <si>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</si>
  <si>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</si>
  <si>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</si>
  <si>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</si>
  <si>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</si>
  <si>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</si>
  <si>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</si>
  <si>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</si>
  <si>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</si>
  <si>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</si>
  <si>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</si>
  <si>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</si>
  <si>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</si>
  <si>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</si>
  <si>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</si>
  <si>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</si>
  <si>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</si>
  <si>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</si>
  <si>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</si>
  <si>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</si>
  <si>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</si>
  <si>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</si>
  <si>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</si>
  <si>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</si>
  <si>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</si>
  <si>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</si>
  <si>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</si>
  <si>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</si>
  <si>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</si>
  <si>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</si>
  <si>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</si>
  <si>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</si>
  <si>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</si>
  <si>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</si>
  <si>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</si>
  <si>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</si>
  <si>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</si>
  <si>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</si>
  <si>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</si>
  <si>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</si>
  <si>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</si>
  <si>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</si>
  <si>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</si>
  <si>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</si>
  <si>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</si>
  <si>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</si>
  <si>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</si>
  <si>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</si>
  <si>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</si>
  <si>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</si>
  <si>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</si>
  <si>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</si>
  <si>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</si>
  <si>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</si>
  <si>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</si>
  <si>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</si>
  <si>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</si>
  <si>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</si>
  <si>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</si>
  <si>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</si>
  <si>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</si>
  <si>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</si>
  <si>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</si>
  <si>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</si>
  <si>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</si>
  <si>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</si>
  <si>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</si>
  <si>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</si>
  <si>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</si>
  <si>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</si>
  <si>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</si>
  <si>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</si>
  <si>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</si>
  <si>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</si>
  <si>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</si>
  <si>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</si>
  <si>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</si>
  <si>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</si>
  <si>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</si>
  <si>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</si>
  <si>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</si>
  <si>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</si>
  <si>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</si>
  <si>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</si>
  <si>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</si>
  <si>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</si>
  <si>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</si>
  <si>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</si>
  <si>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</si>
  <si>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</si>
  <si>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</si>
  <si>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</si>
  <si>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</si>
  <si>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</si>
  <si>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</si>
  <si>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</si>
  <si>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</si>
  <si>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</si>
  <si>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</si>
  <si>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</si>
  <si>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</si>
  <si>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</si>
  <si>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</si>
  <si>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</si>
  <si>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</si>
  <si>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</si>
  <si>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</si>
  <si>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</si>
  <si>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</si>
  <si>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</si>
  <si>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</si>
  <si>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</si>
  <si>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</si>
  <si>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</si>
  <si>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</si>
  <si>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</si>
  <si>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</si>
  <si>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</si>
  <si>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</si>
  <si>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</si>
  <si>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</si>
  <si>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</si>
  <si>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</si>
  <si>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</si>
  <si>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</si>
  <si>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</si>
  <si>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</si>
  <si>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</si>
  <si>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</si>
  <si>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</si>
  <si>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</si>
  <si>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</si>
  <si>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</si>
  <si>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</si>
  <si>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</si>
  <si>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</si>
  <si>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</si>
  <si>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</si>
  <si>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</si>
  <si>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</si>
  <si>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</si>
  <si>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</si>
  <si>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</si>
  <si>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</si>
  <si>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</si>
  <si>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</si>
  <si>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</si>
  <si>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</si>
  <si>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</si>
  <si>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</si>
  <si>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</si>
  <si>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</si>
  <si>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</si>
  <si>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</si>
  <si>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</si>
  <si>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</si>
  <si>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</si>
  <si>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</si>
  <si>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</si>
  <si>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</si>
  <si>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</si>
  <si>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</si>
  <si>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</si>
  <si>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</si>
  <si>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</si>
  <si>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</si>
  <si>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</si>
  <si>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</si>
  <si>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</si>
  <si>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</si>
  <si>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</si>
  <si>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</si>
  <si>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</si>
  <si>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</si>
  <si>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</si>
  <si>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</si>
  <si>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</si>
  <si>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</si>
  <si>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</si>
  <si>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</si>
  <si>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</si>
  <si>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</si>
  <si>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</si>
  <si>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</si>
  <si>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</si>
  <si>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</si>
  <si>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</si>
  <si>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</si>
  <si>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</si>
  <si>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</si>
  <si>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</si>
  <si>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</si>
  <si>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</si>
  <si>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</si>
  <si>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</si>
  <si>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</si>
  <si>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</si>
  <si>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</si>
  <si>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</si>
  <si>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</si>
  <si>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</si>
  <si>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</si>
  <si>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</si>
  <si>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</si>
  <si>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</si>
  <si>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</si>
  <si>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</si>
  <si>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</si>
  <si>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</si>
  <si>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</si>
  <si>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</si>
  <si>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</si>
  <si>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</si>
  <si>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</si>
  <si>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</si>
  <si>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</si>
  <si>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</si>
  <si>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</si>
  <si>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</si>
  <si>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</si>
  <si>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</si>
  <si>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</si>
  <si>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</si>
  <si>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</si>
  <si>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</si>
  <si>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</si>
  <si>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</si>
  <si>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</si>
  <si>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</si>
  <si>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</si>
  <si>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</si>
  <si>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</si>
  <si>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</si>
  <si>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</si>
  <si>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</si>
  <si>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</si>
  <si>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</si>
  <si>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</si>
  <si>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</si>
  <si>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</si>
  <si>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</si>
  <si>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</si>
  <si>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</si>
  <si>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</si>
  <si>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</si>
  <si>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</si>
  <si>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</si>
  <si>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</si>
  <si>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</si>
  <si>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</si>
  <si>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</si>
  <si>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</si>
  <si>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</si>
  <si>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</si>
  <si>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</si>
  <si>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</si>
  <si>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</si>
  <si>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</si>
  <si>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</si>
  <si>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</si>
  <si>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</si>
  <si>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</si>
  <si>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</si>
  <si>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</si>
  <si>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</si>
  <si>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</si>
  <si>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</si>
  <si>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</si>
  <si>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</si>
  <si>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</si>
  <si>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</si>
  <si>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</si>
  <si>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</si>
  <si>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</si>
  <si>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</si>
  <si>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</si>
  <si>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</si>
  <si>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</si>
  <si>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</si>
  <si>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</si>
  <si>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</si>
  <si>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</si>
  <si>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</si>
  <si>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</si>
  <si>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</si>
  <si>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</si>
  <si>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</si>
  <si>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</si>
  <si>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</si>
  <si>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</si>
  <si>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</si>
  <si>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</si>
  <si>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</si>
  <si>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</si>
  <si>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</si>
  <si>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</si>
  <si>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</si>
  <si>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</si>
  <si>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</si>
  <si>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</si>
  <si>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</si>
  <si>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</si>
  <si>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</si>
  <si>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</si>
  <si>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</si>
  <si>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</si>
  <si>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</si>
  <si>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</si>
  <si>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</si>
  <si>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</si>
  <si>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</si>
  <si>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</si>
  <si>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</si>
  <si>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</si>
  <si>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</si>
  <si>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</si>
  <si>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</si>
  <si>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</si>
  <si>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</si>
  <si>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</si>
  <si>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</si>
  <si>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</si>
  <si>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</si>
  <si>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</si>
  <si>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</si>
  <si>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</si>
  <si>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</si>
  <si>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</si>
  <si>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</si>
  <si>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</si>
  <si>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</si>
  <si>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</si>
  <si>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</si>
  <si>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</si>
  <si>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</si>
  <si>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</si>
  <si>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</si>
  <si>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</si>
  <si>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</si>
  <si>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</si>
  <si>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</si>
  <si>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</si>
  <si>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</si>
  <si>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</si>
  <si>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</si>
  <si>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</si>
  <si>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</si>
  <si>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</si>
  <si>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</si>
  <si>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</si>
  <si>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</si>
  <si>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</si>
  <si>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</si>
  <si>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</si>
  <si>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</si>
  <si>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</si>
  <si>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</si>
  <si>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</si>
  <si>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</si>
  <si>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</si>
  <si>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</si>
  <si>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</si>
  <si>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</si>
  <si>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</si>
  <si>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</si>
  <si>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</si>
  <si>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</si>
  <si>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</si>
  <si>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</si>
  <si>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</si>
  <si>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</si>
  <si>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</si>
  <si>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</si>
  <si>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</si>
  <si>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</si>
  <si>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</si>
  <si>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</si>
  <si>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</si>
  <si>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</si>
  <si>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</si>
  <si>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</si>
  <si>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</si>
  <si>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</si>
  <si>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</si>
  <si>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</si>
  <si>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</si>
  <si>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</si>
  <si>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</si>
  <si>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</si>
  <si>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</si>
  <si>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</si>
  <si>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</si>
  <si>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</si>
  <si>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</si>
  <si>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</si>
  <si>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</si>
  <si>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</si>
  <si>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</si>
  <si>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</si>
  <si>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</si>
  <si>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</si>
  <si>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</si>
  <si>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</si>
  <si>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</si>
  <si>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</si>
  <si>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</si>
  <si>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</si>
  <si>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</si>
  <si>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</si>
  <si>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</si>
  <si>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</si>
  <si>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</si>
  <si>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</si>
  <si>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</si>
  <si>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</si>
  <si>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</si>
  <si>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</si>
  <si>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</si>
  <si>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</si>
  <si>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</si>
  <si>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</si>
  <si>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</si>
  <si>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</si>
  <si>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</si>
  <si>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</si>
  <si>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</si>
  <si>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</si>
  <si>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</si>
  <si>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</si>
  <si>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</si>
  <si>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</si>
  <si>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</si>
  <si>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</si>
  <si>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</si>
  <si>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</si>
  <si>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</si>
  <si>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</si>
  <si>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</si>
  <si>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</si>
  <si>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</si>
  <si>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</si>
  <si>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</si>
  <si>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</si>
  <si>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</si>
  <si>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</si>
  <si>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</si>
  <si>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</si>
  <si>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</si>
  <si>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</si>
  <si>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</si>
  <si>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</si>
  <si>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</si>
  <si>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</si>
  <si>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</si>
  <si>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</si>
  <si>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</si>
  <si>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</si>
  <si>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</si>
  <si>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</si>
  <si>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</si>
  <si>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</si>
  <si>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</si>
  <si>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</si>
  <si>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</si>
  <si>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</si>
  <si>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</si>
  <si>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</si>
  <si>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</si>
  <si>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</si>
  <si>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</si>
  <si>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</si>
  <si>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</si>
  <si>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</si>
  <si>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</si>
  <si>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</si>
  <si>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</si>
  <si>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</si>
  <si>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</si>
  <si>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</si>
  <si>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</si>
  <si>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</si>
  <si>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</si>
  <si>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</si>
  <si>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</si>
  <si>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</si>
  <si>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</si>
  <si>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</si>
  <si>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</si>
  <si>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</si>
  <si>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</si>
  <si>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</si>
  <si>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</si>
  <si>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</si>
  <si>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</si>
  <si>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</si>
  <si>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</si>
  <si>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</si>
  <si>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</si>
  <si>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</si>
  <si>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</si>
  <si>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</si>
  <si>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</si>
  <si>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</si>
  <si>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</si>
  <si>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</si>
  <si>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</si>
  <si>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</si>
  <si>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</si>
  <si>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</si>
  <si>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</si>
  <si>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</si>
  <si>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</si>
  <si>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</si>
  <si>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</si>
  <si>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</si>
  <si>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</si>
  <si>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</si>
  <si>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</si>
  <si>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</si>
  <si>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</si>
  <si>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</si>
  <si>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</si>
  <si>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</si>
  <si>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</si>
  <si>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</si>
  <si>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</si>
  <si>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</si>
  <si>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</si>
  <si>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</si>
  <si>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</si>
  <si>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</si>
  <si>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</si>
  <si>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</si>
  <si>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</si>
  <si>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</si>
  <si>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</si>
  <si>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</si>
  <si>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</si>
  <si>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</si>
  <si>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</si>
  <si>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</si>
  <si>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</si>
  <si>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</si>
  <si>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</si>
  <si>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</si>
  <si>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</si>
  <si>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</si>
  <si>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</si>
  <si>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</si>
  <si>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</si>
  <si>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</si>
  <si>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</si>
  <si>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</si>
  <si>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</si>
  <si>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</si>
  <si>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</si>
  <si>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</si>
  <si>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</si>
  <si>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</si>
  <si>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</si>
  <si>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</si>
  <si>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</si>
  <si>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</si>
  <si>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</si>
  <si>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</si>
  <si>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</si>
  <si>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</si>
  <si>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</si>
  <si>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</si>
  <si>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</si>
  <si>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</si>
  <si>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</si>
  <si>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</si>
  <si>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</si>
  <si>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</si>
  <si>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</si>
  <si>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</si>
  <si>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</si>
  <si>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</si>
  <si>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</si>
  <si>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</si>
  <si>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</si>
  <si>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</si>
  <si>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</si>
  <si>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</si>
  <si>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</si>
  <si>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</si>
  <si>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</si>
  <si>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</si>
  <si>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</si>
  <si>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</si>
  <si>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</si>
  <si>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</si>
  <si>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</si>
  <si>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</si>
  <si>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</si>
  <si>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</si>
  <si>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</si>
  <si>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</si>
  <si>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</si>
  <si>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</si>
  <si>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</si>
  <si>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</si>
  <si>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</si>
  <si>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</si>
  <si>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</si>
  <si>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</si>
  <si>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</si>
  <si>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</si>
  <si>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</si>
  <si>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</si>
  <si>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</si>
  <si>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</si>
  <si>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</si>
  <si>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</si>
  <si>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</si>
  <si>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</si>
  <si>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</si>
  <si>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</si>
  <si>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</si>
  <si>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</si>
  <si>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</si>
  <si>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</si>
  <si>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</si>
  <si>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</si>
  <si>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</si>
  <si>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</si>
  <si>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</si>
  <si>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</si>
  <si>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</si>
  <si>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</si>
  <si>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</si>
  <si>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</si>
  <si>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</si>
  <si>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</si>
  <si>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</si>
  <si>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</si>
  <si>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</si>
  <si>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</si>
  <si>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</si>
  <si>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</si>
  <si>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</si>
  <si>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</si>
  <si>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</si>
  <si>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</si>
  <si>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</si>
  <si>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</si>
  <si>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</si>
  <si>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</si>
  <si>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</si>
  <si>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</si>
  <si>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</si>
  <si>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</si>
  <si>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</si>
  <si>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</si>
  <si>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</si>
  <si>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</si>
  <si>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</si>
  <si>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</si>
  <si>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</si>
  <si>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</si>
  <si>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</si>
  <si>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</si>
  <si>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</si>
  <si>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</si>
  <si>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</si>
  <si>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</si>
  <si>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</si>
  <si>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</si>
  <si>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</si>
  <si>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</si>
  <si>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</si>
  <si>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</si>
  <si>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</si>
  <si>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</si>
  <si>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</si>
  <si>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</si>
  <si>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</si>
  <si>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</si>
  <si>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</si>
  <si>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</si>
  <si>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</si>
  <si>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</si>
  <si>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</si>
  <si>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</si>
  <si>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</si>
  <si>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</si>
  <si>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</si>
  <si>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</si>
  <si>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</si>
  <si>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</si>
  <si>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</si>
  <si>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</si>
  <si>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</si>
  <si>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</si>
  <si>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</si>
  <si>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</si>
  <si>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</si>
  <si>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</si>
  <si>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</si>
  <si>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</si>
  <si>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</si>
  <si>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</si>
  <si>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</si>
  <si>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</si>
  <si>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</si>
  <si>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</si>
  <si>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</si>
  <si>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</si>
  <si>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</si>
  <si>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</si>
  <si>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</si>
  <si>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</si>
  <si>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</si>
  <si>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</si>
  <si>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</si>
  <si>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</si>
  <si>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</si>
  <si>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</si>
  <si>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</si>
  <si>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</si>
  <si>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</si>
  <si>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</si>
  <si>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</si>
  <si>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</si>
  <si>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</si>
  <si>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</si>
  <si>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</si>
  <si>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</si>
  <si>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</si>
  <si>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</si>
  <si>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</si>
  <si>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</si>
  <si>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</si>
  <si>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</si>
  <si>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</si>
  <si>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</si>
  <si>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</si>
  <si>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</si>
  <si>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</si>
  <si>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</si>
  <si>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</si>
  <si>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</si>
  <si>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</si>
  <si>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</si>
  <si>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</si>
  <si>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</si>
  <si>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</si>
  <si>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</si>
  <si>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</si>
  <si>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</si>
  <si>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</si>
  <si>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</si>
  <si>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</si>
  <si>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</si>
  <si>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</si>
  <si>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</si>
  <si>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</si>
  <si>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</si>
  <si>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</si>
  <si>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</si>
  <si>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</si>
  <si>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</si>
  <si>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</si>
  <si>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</si>
  <si>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</si>
  <si>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</si>
  <si>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</si>
  <si>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</si>
  <si>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</si>
  <si>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</si>
  <si>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</si>
  <si>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</si>
  <si>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</si>
  <si>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</si>
  <si>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</si>
  <si>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</si>
  <si>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</si>
  <si>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</si>
  <si>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</si>
  <si>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</si>
  <si>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</si>
  <si>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</si>
  <si>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</si>
  <si>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</si>
  <si>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</si>
  <si>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</si>
  <si>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</si>
  <si>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</si>
  <si>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</si>
  <si>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</si>
  <si>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</si>
  <si>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</si>
  <si>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</si>
  <si>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</si>
  <si>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</si>
  <si>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</si>
  <si>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</si>
  <si>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</si>
  <si>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</si>
  <si>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</si>
  <si>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</si>
  <si>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</si>
  <si>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</si>
  <si>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</si>
  <si>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</si>
  <si>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</si>
  <si>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</si>
  <si>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</si>
  <si>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</si>
  <si>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</si>
  <si>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</si>
  <si>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</si>
  <si>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</si>
  <si>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</si>
  <si>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</si>
  <si>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</si>
  <si>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</si>
  <si>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</si>
  <si>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</si>
  <si>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</si>
  <si>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</si>
  <si>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</si>
  <si>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</si>
  <si>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</si>
  <si>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</si>
  <si>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</si>
  <si>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</si>
  <si>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</si>
  <si>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</si>
  <si>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</si>
  <si>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</si>
  <si>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</si>
  <si>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</si>
  <si>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</si>
  <si>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</si>
  <si>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</si>
  <si>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</si>
  <si>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</si>
  <si>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</si>
  <si>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</si>
  <si>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</si>
  <si>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</si>
  <si>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</si>
  <si>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</si>
  <si>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</si>
  <si>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</si>
  <si>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</si>
  <si>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</si>
  <si>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</si>
  <si>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</si>
  <si>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</si>
  <si>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</si>
  <si>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</si>
  <si>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</si>
  <si>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</si>
  <si>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</si>
  <si>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</si>
  <si>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</si>
  <si>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</si>
  <si>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</si>
  <si>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</si>
  <si>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</si>
  <si>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</si>
  <si>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</si>
  <si>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</si>
  <si>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</si>
  <si>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</si>
  <si>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</si>
  <si>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</si>
  <si>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</si>
  <si>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</si>
  <si>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</si>
  <si>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</si>
  <si>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</si>
  <si>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</si>
  <si>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</si>
  <si>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</si>
  <si>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</si>
  <si>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</si>
  <si>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</si>
  <si>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</si>
  <si>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</si>
  <si>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</si>
  <si>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</si>
  <si>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</si>
  <si>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</si>
  <si>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</si>
  <si>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</si>
  <si>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</si>
  <si>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</si>
  <si>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</si>
  <si>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</si>
  <si>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</si>
  <si>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</si>
  <si>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</si>
  <si>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</si>
  <si>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</si>
  <si>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</si>
  <si>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</si>
  <si>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</si>
  <si>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</si>
  <si>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</si>
  <si>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</si>
  <si>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</si>
  <si>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</si>
  <si>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</si>
  <si>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</si>
  <si>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</si>
  <si>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</si>
  <si>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</si>
  <si>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</si>
  <si>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</si>
  <si>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</si>
  <si>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</si>
  <si>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</si>
  <si>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</si>
  <si>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</si>
  <si>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</si>
  <si>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</si>
  <si>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</si>
  <si>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</si>
  <si>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</si>
  <si>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</si>
  <si>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</si>
  <si>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</si>
  <si>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</si>
  <si>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</si>
  <si>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</si>
  <si>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</si>
  <si>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</si>
  <si>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</si>
  <si>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</si>
  <si>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</si>
  <si>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</si>
  <si>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</si>
  <si>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</si>
  <si>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</si>
  <si>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</si>
  <si>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</si>
  <si>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</si>
  <si>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</si>
  <si>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</si>
  <si>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</si>
  <si>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</si>
  <si>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</si>
  <si>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</si>
  <si>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</si>
  <si>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</si>
  <si>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</si>
  <si>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</si>
  <si>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</si>
  <si>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</si>
  <si>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</si>
  <si>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</si>
  <si>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</si>
  <si>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</si>
  <si>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</si>
  <si>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</si>
  <si>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</si>
  <si>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</si>
  <si>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</si>
  <si>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</si>
  <si>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</si>
  <si>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</si>
  <si>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</si>
  <si>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</si>
  <si>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</si>
  <si>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</si>
  <si>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</si>
  <si>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</si>
  <si>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</si>
  <si>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</si>
  <si>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</si>
  <si>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</si>
  <si>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</si>
  <si>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</si>
  <si>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</si>
  <si>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</si>
  <si>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</si>
  <si>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</si>
  <si>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</si>
  <si>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</si>
  <si>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</si>
  <si>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</si>
  <si>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</si>
  <si>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</si>
  <si>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</si>
  <si>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</si>
  <si>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</si>
  <si>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</si>
  <si>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</si>
  <si>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</si>
  <si>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</si>
  <si>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</si>
  <si>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</si>
  <si>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</si>
  <si>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</si>
  <si>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</si>
  <si>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</si>
  <si>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</si>
  <si>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</si>
  <si>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</si>
  <si>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</si>
  <si>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</si>
  <si>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</si>
  <si>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</si>
  <si>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</si>
  <si>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</si>
  <si>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</si>
  <si>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</si>
  <si>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</si>
  <si>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</si>
  <si>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</si>
  <si>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</si>
  <si>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</si>
  <si>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</si>
  <si>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</si>
  <si>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</si>
  <si>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</si>
  <si>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</si>
  <si>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</si>
  <si>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</si>
  <si>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</si>
  <si>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</si>
  <si>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</si>
  <si>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</si>
  <si>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</si>
  <si>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</si>
  <si>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</si>
  <si>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</si>
  <si>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</si>
  <si>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</si>
  <si>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</si>
  <si>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</si>
  <si>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</si>
  <si>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</si>
  <si>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</si>
  <si>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</si>
  <si>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</si>
  <si>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</si>
  <si>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</si>
  <si>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</si>
  <si>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</si>
  <si>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</si>
  <si>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</si>
  <si>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</si>
  <si>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</si>
  <si>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</si>
  <si>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</si>
  <si>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</si>
  <si>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</si>
  <si>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</si>
  <si>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</si>
  <si>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</si>
  <si>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</si>
  <si>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</si>
  <si>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</si>
  <si>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</si>
  <si>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</si>
  <si>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</si>
  <si>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</si>
  <si>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</si>
  <si>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</si>
  <si>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</si>
  <si>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</si>
  <si>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</si>
  <si>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</si>
  <si>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</si>
  <si>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</si>
  <si>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</si>
  <si>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</si>
  <si>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</si>
  <si>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</si>
  <si>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</si>
  <si>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</si>
  <si>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</si>
  <si>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</si>
  <si>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</si>
  <si>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</si>
  <si>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</si>
  <si>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</si>
  <si>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</si>
  <si>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</si>
  <si>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</si>
  <si>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</si>
  <si>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</si>
  <si>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</si>
  <si>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</si>
  <si>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</si>
  <si>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</si>
  <si>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</si>
  <si>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</si>
  <si>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</si>
  <si>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</si>
  <si>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</si>
  <si>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</si>
  <si>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</si>
  <si>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</si>
  <si>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</si>
  <si>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</si>
  <si>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</si>
  <si>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</si>
  <si>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</si>
  <si>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</si>
  <si>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</si>
  <si>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</si>
  <si>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</si>
  <si>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</si>
  <si>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</si>
  <si>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</si>
  <si>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</si>
  <si>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</si>
  <si>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</si>
  <si>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</si>
  <si>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</si>
  <si>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</si>
  <si>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</si>
  <si>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</si>
  <si>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</si>
  <si>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</si>
  <si>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</si>
  <si>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</si>
  <si>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</si>
  <si>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</si>
  <si>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</si>
  <si>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</si>
  <si>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</si>
  <si>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</si>
  <si>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</si>
  <si>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</si>
  <si>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</si>
  <si>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</si>
  <si>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</si>
  <si>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</si>
  <si>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</si>
  <si>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</si>
  <si>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</si>
  <si>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</si>
  <si>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</si>
  <si>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</si>
  <si>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</si>
  <si>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</si>
  <si>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</si>
  <si>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</si>
  <si>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</si>
  <si>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</si>
  <si>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</si>
  <si>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</si>
  <si>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</si>
  <si>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</si>
  <si>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</si>
  <si>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</si>
  <si>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</si>
  <si>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</si>
  <si>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</si>
  <si>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</si>
  <si>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</si>
  <si>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</si>
  <si>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</si>
  <si>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</si>
  <si>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</si>
  <si>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</si>
  <si>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</si>
  <si>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</si>
  <si>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</si>
  <si>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</si>
  <si>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</si>
  <si>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</si>
  <si>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</si>
  <si>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</si>
  <si>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</si>
  <si>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</si>
  <si>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</si>
  <si>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</si>
  <si>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</si>
  <si>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</si>
  <si>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</si>
  <si>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</si>
  <si>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</si>
  <si>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</si>
  <si>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</si>
  <si>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</si>
  <si>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</si>
  <si>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</si>
  <si>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</si>
  <si>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</si>
  <si>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</si>
  <si>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</si>
  <si>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</si>
  <si>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</si>
  <si>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</si>
  <si>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</si>
  <si>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</si>
  <si>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</si>
  <si>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</si>
  <si>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</si>
  <si>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</si>
  <si>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</si>
  <si>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</si>
  <si>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</si>
  <si>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</si>
  <si>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</si>
  <si>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</si>
  <si>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</si>
  <si>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</si>
  <si>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</si>
  <si>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</si>
  <si>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</si>
  <si>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</si>
  <si>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</si>
  <si>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</si>
  <si>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</si>
  <si>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</si>
  <si>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</si>
  <si>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</si>
  <si>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</si>
  <si>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</si>
  <si>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</si>
  <si>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</si>
  <si>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</si>
  <si>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</si>
  <si>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</si>
  <si>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</si>
  <si>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</si>
  <si>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</si>
  <si>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</si>
  <si>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</si>
  <si>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</si>
  <si>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</si>
  <si>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</si>
  <si>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</si>
  <si>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</si>
  <si>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</si>
  <si>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</si>
  <si>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</si>
  <si>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</si>
  <si>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</si>
  <si>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</si>
  <si>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</si>
  <si>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</si>
  <si>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</si>
  <si>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</si>
  <si>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</si>
  <si>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</si>
  <si>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</si>
  <si>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</si>
  <si>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</si>
  <si>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</si>
  <si>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</si>
  <si>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</si>
  <si>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</si>
  <si>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</si>
  <si>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</si>
  <si>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</si>
  <si>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</si>
  <si>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PIATT</t>
  </si>
  <si>
    <t>201 S CHAMPAIGN ST</t>
  </si>
  <si>
    <t>SHEILA GREENWOOD</t>
  </si>
  <si>
    <t>sgreenwood@bement.k12.il.us</t>
  </si>
  <si>
    <t>217-678-4200</t>
  </si>
  <si>
    <t>217-678-4251</t>
  </si>
  <si>
    <t>RUSSELL LEIGH &amp; ASSOCIATES</t>
  </si>
  <si>
    <t>RUSS LEIGH</t>
  </si>
  <si>
    <t>228 E MAIN ST</t>
  </si>
  <si>
    <t>HOOPESTON</t>
  </si>
  <si>
    <t>IL</t>
  </si>
  <si>
    <t>217-283-9336</t>
  </si>
  <si>
    <t>217-283-9736</t>
  </si>
  <si>
    <t>065.018319</t>
  </si>
  <si>
    <t>admin@russleigh.com</t>
  </si>
  <si>
    <t>2009A Taxable Funding Bonds</t>
  </si>
  <si>
    <t>2009B Working Cash Refunding Bonds</t>
  </si>
  <si>
    <t>2012 General Obligation School Bonds</t>
  </si>
  <si>
    <t>2014 Working Cash Bonds</t>
  </si>
  <si>
    <t>2016 Working Cash Bonds</t>
  </si>
  <si>
    <t>2017 General Obligation Debt Certificates</t>
  </si>
  <si>
    <t>Taxable General Obligation School Bonds, Series 2017B (QZAB)</t>
  </si>
  <si>
    <t>No applicable contracts</t>
  </si>
  <si>
    <t>Cerro Gordo School District #100</t>
  </si>
  <si>
    <t>Cerro Gordo &amp; Education for Employment System #330</t>
  </si>
  <si>
    <t>Aramark</t>
  </si>
  <si>
    <t>Macon Piatt Special Education Cooperative</t>
  </si>
  <si>
    <t>Page 10 - Acct 1719 - Admissions - Other</t>
  </si>
  <si>
    <t>Col 10 - Educational</t>
  </si>
  <si>
    <t>Miscellaneous Athletic Revenue - $2,877</t>
  </si>
  <si>
    <t>Page 11 - Acct 1999 - Other Local Revenues</t>
  </si>
  <si>
    <t>Refunds &amp; Reimbursements - $29,899</t>
  </si>
  <si>
    <t>Col 20 - Operations &amp; Maintenance</t>
  </si>
  <si>
    <t>Refunds &amp; Reimbursements - $10,725</t>
  </si>
  <si>
    <t>Col 30 - Debt Services</t>
  </si>
  <si>
    <t>Refunds &amp; Reimbursements - $2,818</t>
  </si>
  <si>
    <t>Col 40 - Transportation</t>
  </si>
  <si>
    <t>Refunds &amp; Reimbursements - $653</t>
  </si>
  <si>
    <t>Col 80 - Tort</t>
  </si>
  <si>
    <t>Workers Comp Refund - $495</t>
  </si>
  <si>
    <t>Page 11 - Acct 3299 - CTE - Other</t>
  </si>
  <si>
    <t>Other Vocational Revenue - $9,989</t>
  </si>
  <si>
    <t>Page 12 - Acct 3999 - Other Restricted Revenue from State Sources</t>
  </si>
  <si>
    <t>Library Grant - $1,500</t>
  </si>
  <si>
    <t>Page 24 - Short-Term Long-Term Debt</t>
  </si>
  <si>
    <t>Page 29 - Contracts Paid in CY</t>
  </si>
  <si>
    <t>No contracts in the CY greater than $25,000</t>
  </si>
  <si>
    <t>BEMENT</t>
  </si>
  <si>
    <t>Auditor's Questionnaire</t>
  </si>
  <si>
    <t>#3 - Overpaid Principal by paying one month of new contract</t>
  </si>
  <si>
    <t>#4 - District has undercollateralized bank deposits</t>
  </si>
  <si>
    <t>2017 General obligation school Bonds</t>
  </si>
  <si>
    <t>3, 6</t>
  </si>
  <si>
    <t>Page 8 - Account Summary</t>
  </si>
  <si>
    <t>Col 90 - Fire Prevention and Safety</t>
  </si>
  <si>
    <t>Page 22 - Acct 2900 - Other Support Services</t>
  </si>
  <si>
    <t>Purchased Services related to bond issuance - $1,501,815</t>
  </si>
  <si>
    <t>AUDITCHECK Tab - #8</t>
  </si>
  <si>
    <t>Long Term Debt retired on page 18 does not equal principal retired on page 24 due to bonds being refunded by escrow accounts</t>
  </si>
  <si>
    <t>Other Differences - Series 2017 Bonds were used to refund previously issued bonds</t>
  </si>
  <si>
    <t>Acct 8990 - Other Uses Not Classified Elsewhere - Refund of old bonds - $340,000</t>
  </si>
  <si>
    <t>Acct 8990 - Other Uses Not Classified Elsewhere - Issuance Costs - $195,006</t>
  </si>
  <si>
    <t>Bement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</si>
</sst>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73" fillId="0" borderId="0" xfId="0" applyFont="1"/>
    <xf numFmtId="0" fontId="64" fillId="0" borderId="0" xfId="0"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485775</xdr:colOff>
          <xdr:row>3</xdr:row>
          <xdr:rowOff>47625</xdr:rowOff>
        </xdr:from>
        <xdr:to>
          <xdr:col>1</xdr:col>
          <xdr:colOff>1400175</xdr:colOff>
          <xdr:row>7</xdr:row>
          <xdr:rowOff>85725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5" t="s">
        <v>424</v>
      </c>
      <c r="J1" s="2036"/>
      <c r="K1" s="2036"/>
      <c r="L1" s="2036"/>
      <c r="M1" s="2036"/>
      <c r="N1" s="2036"/>
      <c r="O1" s="2036"/>
      <c r="P1" s="2036"/>
      <c r="Q1" s="2036"/>
      <c r="R1" s="2036"/>
      <c r="S1" s="2036"/>
    </row>
    <row r="2" spans="1:28" ht="12" customHeight="1" x14ac:dyDescent="0.2">
      <c r="A2" s="47" t="s">
        <v>1683</v>
      </c>
      <c r="D2" s="48"/>
      <c r="I2" s="2037" t="s">
        <v>1035</v>
      </c>
      <c r="J2" s="2036"/>
      <c r="K2" s="2036"/>
      <c r="L2" s="2036"/>
      <c r="M2" s="2036"/>
      <c r="N2" s="2036"/>
      <c r="O2" s="2036"/>
      <c r="P2" s="2036"/>
      <c r="Q2" s="2036"/>
      <c r="R2" s="2036"/>
      <c r="S2" s="2036"/>
    </row>
    <row r="3" spans="1:28" ht="12" customHeight="1" x14ac:dyDescent="0.2">
      <c r="A3" s="155" t="s">
        <v>1684</v>
      </c>
      <c r="B3" s="156"/>
      <c r="C3" s="156"/>
      <c r="D3" s="157"/>
      <c r="I3" s="2037" t="s">
        <v>54</v>
      </c>
      <c r="J3" s="2036"/>
      <c r="K3" s="2036"/>
      <c r="L3" s="2036"/>
      <c r="M3" s="2036"/>
      <c r="N3" s="2036"/>
      <c r="O3" s="2036"/>
      <c r="P3" s="2036"/>
      <c r="Q3" s="2036"/>
      <c r="R3" s="2036"/>
      <c r="S3" s="2036"/>
    </row>
    <row r="4" spans="1:28" ht="12" customHeight="1" x14ac:dyDescent="0.2">
      <c r="A4" s="37"/>
      <c r="I4" s="2037" t="s">
        <v>544</v>
      </c>
      <c r="J4" s="2036"/>
      <c r="K4" s="2036"/>
      <c r="L4" s="2036"/>
      <c r="M4" s="2036"/>
      <c r="N4" s="2036"/>
      <c r="O4" s="2036"/>
      <c r="P4" s="2036"/>
      <c r="Q4" s="2036"/>
      <c r="R4" s="2036"/>
      <c r="S4" s="2036"/>
    </row>
    <row r="5" spans="1:28" ht="14.1" customHeight="1" x14ac:dyDescent="0.2">
      <c r="B5" s="104" t="s">
        <v>2076</v>
      </c>
      <c r="C5" s="26" t="s">
        <v>965</v>
      </c>
      <c r="D5" s="84"/>
      <c r="E5" s="84"/>
      <c r="H5" s="38"/>
      <c r="I5" s="2044" t="s">
        <v>700</v>
      </c>
      <c r="J5" s="1988"/>
      <c r="K5" s="1988"/>
      <c r="L5" s="1988"/>
      <c r="M5" s="1988"/>
      <c r="N5" s="1988"/>
      <c r="O5" s="1988"/>
      <c r="P5" s="1988"/>
      <c r="Q5" s="1988"/>
      <c r="R5" s="1988"/>
      <c r="S5" s="1988"/>
    </row>
    <row r="6" spans="1:28" ht="14.1" customHeight="1" x14ac:dyDescent="0.2">
      <c r="B6" s="104"/>
      <c r="C6" s="26" t="s">
        <v>966</v>
      </c>
      <c r="D6" s="84"/>
      <c r="E6" s="84"/>
      <c r="I6" s="2043" t="s">
        <v>937</v>
      </c>
      <c r="J6" s="1988"/>
      <c r="K6" s="1988"/>
      <c r="L6" s="1988"/>
      <c r="M6" s="1988"/>
      <c r="N6" s="1988"/>
      <c r="O6" s="1988"/>
      <c r="P6" s="1988"/>
      <c r="Q6" s="1988"/>
      <c r="R6" s="1988"/>
      <c r="S6" s="1988"/>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694</v>
      </c>
      <c r="J9" s="2041"/>
      <c r="K9" s="2041"/>
      <c r="L9" s="2041"/>
      <c r="M9" s="2041"/>
      <c r="N9" s="2041"/>
      <c r="O9" s="2041"/>
      <c r="P9" s="2041"/>
      <c r="Q9" s="2041"/>
      <c r="R9" s="2041"/>
      <c r="S9" s="2042"/>
      <c r="T9" s="1984" t="s">
        <v>553</v>
      </c>
      <c r="U9" s="1985"/>
      <c r="V9" s="1985"/>
      <c r="W9" s="1985"/>
      <c r="X9" s="1985"/>
      <c r="Y9" s="1985"/>
      <c r="Z9" s="1985"/>
      <c r="AA9" s="1986"/>
    </row>
    <row r="10" spans="1:28" ht="13.5" customHeight="1" x14ac:dyDescent="0.2">
      <c r="A10" s="1993" t="s">
        <v>695</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1011</v>
      </c>
      <c r="B11" s="1997"/>
      <c r="C11" s="1997"/>
      <c r="D11" s="1997"/>
      <c r="E11" s="1997"/>
      <c r="F11" s="1997"/>
      <c r="G11" s="1997"/>
      <c r="H11" s="1998"/>
      <c r="I11" s="27"/>
      <c r="J11" s="74"/>
      <c r="K11" s="27"/>
      <c r="O11" s="148" t="s">
        <v>2076</v>
      </c>
      <c r="P11" s="100" t="s">
        <v>210</v>
      </c>
      <c r="Q11" s="30"/>
      <c r="R11" s="28"/>
      <c r="S11" s="27"/>
      <c r="T11" s="1990"/>
      <c r="U11" s="1991"/>
      <c r="V11" s="1991"/>
      <c r="W11" s="1991"/>
      <c r="X11" s="1991"/>
      <c r="Y11" s="1991"/>
      <c r="Z11" s="1991"/>
      <c r="AA11" s="1992"/>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4">
        <v>39074005026</v>
      </c>
      <c r="B13" s="2005"/>
      <c r="C13" s="2005"/>
      <c r="D13" s="2005"/>
      <c r="E13" s="2005"/>
      <c r="F13" s="2005"/>
      <c r="G13" s="2005"/>
      <c r="H13" s="2006"/>
      <c r="I13" s="31"/>
      <c r="J13" s="30"/>
      <c r="K13" s="28"/>
      <c r="L13" s="30"/>
      <c r="M13" s="30"/>
      <c r="N13" s="30"/>
      <c r="O13" s="30"/>
      <c r="P13" s="30"/>
      <c r="Q13" s="30"/>
      <c r="R13" s="30"/>
      <c r="S13" s="30"/>
      <c r="T13" s="2009" t="s">
        <v>2083</v>
      </c>
      <c r="U13" s="2010"/>
      <c r="V13" s="2010"/>
      <c r="W13" s="2010"/>
      <c r="X13" s="2010"/>
      <c r="Y13" s="2011"/>
      <c r="Z13" s="2011"/>
      <c r="AA13" s="2012"/>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2" t="s">
        <v>2077</v>
      </c>
      <c r="B15" s="2007"/>
      <c r="C15" s="2007"/>
      <c r="D15" s="2007"/>
      <c r="E15" s="2007"/>
      <c r="F15" s="2007"/>
      <c r="G15" s="2007"/>
      <c r="H15" s="2008"/>
      <c r="T15" s="1970" t="s">
        <v>2084</v>
      </c>
      <c r="U15" s="1971"/>
      <c r="V15" s="1971"/>
      <c r="W15" s="1971"/>
      <c r="X15" s="1971"/>
      <c r="Y15" s="2013"/>
      <c r="Z15" s="2013"/>
      <c r="AA15" s="2014"/>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32" t="s">
        <v>2139</v>
      </c>
      <c r="B17" s="2033"/>
      <c r="C17" s="2033"/>
      <c r="D17" s="2033"/>
      <c r="E17" s="2033"/>
      <c r="F17" s="2033"/>
      <c r="G17" s="2033"/>
      <c r="H17" s="2034"/>
      <c r="T17" s="2019" t="s">
        <v>2085</v>
      </c>
      <c r="U17" s="2020"/>
      <c r="V17" s="2020"/>
      <c r="W17" s="2020"/>
      <c r="X17" s="2020"/>
      <c r="Y17" s="2020"/>
      <c r="Z17" s="2020"/>
      <c r="AA17" s="2021"/>
    </row>
    <row r="18" spans="1:27" ht="13.5" customHeight="1" x14ac:dyDescent="0.2">
      <c r="A18" s="85" t="s">
        <v>550</v>
      </c>
      <c r="B18" s="76"/>
      <c r="C18" s="72"/>
      <c r="D18" s="76"/>
      <c r="E18" s="76"/>
      <c r="F18" s="76"/>
      <c r="G18" s="76"/>
      <c r="H18" s="56"/>
      <c r="I18" s="2029" t="s">
        <v>696</v>
      </c>
      <c r="J18" s="2030"/>
      <c r="K18" s="2030"/>
      <c r="L18" s="2030"/>
      <c r="M18" s="2030"/>
      <c r="N18" s="2030"/>
      <c r="O18" s="2030"/>
      <c r="P18" s="2030"/>
      <c r="Q18" s="2030"/>
      <c r="R18" s="2030"/>
      <c r="S18" s="2031"/>
      <c r="T18" s="85" t="s">
        <v>734</v>
      </c>
      <c r="U18" s="51"/>
      <c r="V18" s="72"/>
      <c r="W18" s="50"/>
      <c r="X18" s="85" t="s">
        <v>283</v>
      </c>
      <c r="Y18" s="81"/>
      <c r="Z18" s="159" t="s">
        <v>697</v>
      </c>
      <c r="AA18" s="46"/>
    </row>
    <row r="19" spans="1:27" ht="13.5" customHeight="1" x14ac:dyDescent="0.2">
      <c r="A19" s="2002" t="s">
        <v>2078</v>
      </c>
      <c r="B19" s="2003"/>
      <c r="C19" s="2003"/>
      <c r="D19" s="2003"/>
      <c r="E19" s="2003"/>
      <c r="F19" s="2003"/>
      <c r="G19" s="2003"/>
      <c r="H19" s="2001"/>
      <c r="I19" s="30"/>
      <c r="J19" s="99"/>
      <c r="K19" s="40"/>
      <c r="L19" s="38"/>
      <c r="M19" s="112" t="s">
        <v>332</v>
      </c>
      <c r="P19" s="27"/>
      <c r="Q19" s="27"/>
      <c r="R19" s="27"/>
      <c r="S19" s="31"/>
      <c r="T19" s="2002" t="s">
        <v>2086</v>
      </c>
      <c r="U19" s="2000"/>
      <c r="V19" s="2000"/>
      <c r="W19" s="2001"/>
      <c r="X19" s="2017" t="s">
        <v>2087</v>
      </c>
      <c r="Y19" s="2018"/>
      <c r="Z19" s="2015">
        <v>60942</v>
      </c>
      <c r="AA19" s="2016"/>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9" t="s">
        <v>2124</v>
      </c>
      <c r="B21" s="2000"/>
      <c r="C21" s="2000"/>
      <c r="D21" s="2000"/>
      <c r="E21" s="2000"/>
      <c r="F21" s="2000"/>
      <c r="G21" s="2000"/>
      <c r="H21" s="2001"/>
      <c r="I21" s="2025" t="s">
        <v>698</v>
      </c>
      <c r="J21" s="1988"/>
      <c r="K21" s="1988"/>
      <c r="L21" s="1988"/>
      <c r="M21" s="1988"/>
      <c r="N21" s="1988"/>
      <c r="O21" s="1988"/>
      <c r="P21" s="1988"/>
      <c r="Q21" s="1988"/>
      <c r="R21" s="1988"/>
      <c r="S21" s="1989"/>
      <c r="T21" s="1967" t="s">
        <v>2088</v>
      </c>
      <c r="U21" s="1968"/>
      <c r="V21" s="1968"/>
      <c r="W21" s="1968"/>
      <c r="X21" s="1981" t="s">
        <v>2089</v>
      </c>
      <c r="Y21" s="1982"/>
      <c r="Z21" s="1982"/>
      <c r="AA21" s="1983"/>
    </row>
    <row r="22" spans="1:27" ht="13.5" customHeight="1" x14ac:dyDescent="0.2">
      <c r="A22" s="87" t="s">
        <v>551</v>
      </c>
      <c r="B22" s="59"/>
      <c r="C22" s="59"/>
      <c r="D22" s="59"/>
      <c r="E22" s="59"/>
      <c r="F22" s="59"/>
      <c r="G22" s="59"/>
      <c r="H22" s="60"/>
      <c r="I22" s="2026" t="s">
        <v>1503</v>
      </c>
      <c r="J22" s="2027"/>
      <c r="K22" s="2027"/>
      <c r="L22" s="2027"/>
      <c r="M22" s="2027"/>
      <c r="N22" s="2027"/>
      <c r="O22" s="2027"/>
      <c r="P22" s="2027"/>
      <c r="Q22" s="2027"/>
      <c r="R22" s="2027"/>
      <c r="S22" s="2028"/>
      <c r="T22" s="85" t="s">
        <v>1595</v>
      </c>
      <c r="U22" s="51"/>
      <c r="V22" s="72"/>
      <c r="W22" s="51"/>
      <c r="X22" s="160" t="s">
        <v>1384</v>
      </c>
      <c r="Z22" s="45"/>
      <c r="AA22" s="46"/>
    </row>
    <row r="23" spans="1:27" ht="13.5" customHeight="1" x14ac:dyDescent="0.2">
      <c r="A23" s="2022"/>
      <c r="B23" s="2023"/>
      <c r="C23" s="2023"/>
      <c r="D23" s="2023"/>
      <c r="E23" s="2023"/>
      <c r="F23" s="2023"/>
      <c r="G23" s="2023"/>
      <c r="H23" s="2024"/>
      <c r="T23" s="1962" t="s">
        <v>2090</v>
      </c>
      <c r="U23" s="1963"/>
      <c r="V23" s="1963"/>
      <c r="W23" s="1963"/>
      <c r="X23" s="1978">
        <v>44469</v>
      </c>
      <c r="Y23" s="1979"/>
      <c r="Z23" s="1979"/>
      <c r="AA23" s="1980"/>
    </row>
    <row r="24" spans="1:27" ht="14.1" customHeight="1" x14ac:dyDescent="0.2">
      <c r="A24" s="88" t="s">
        <v>697</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551</v>
      </c>
      <c r="U24" s="106"/>
      <c r="V24" s="106"/>
      <c r="W24" s="106"/>
      <c r="X24" s="107"/>
      <c r="Y24" s="107"/>
      <c r="Z24" s="107"/>
      <c r="AA24" s="108"/>
    </row>
    <row r="25" spans="1:27" ht="14.1" customHeight="1" x14ac:dyDescent="0.2">
      <c r="A25" s="1999">
        <v>61813</v>
      </c>
      <c r="B25" s="2000"/>
      <c r="C25" s="2000"/>
      <c r="D25" s="2000"/>
      <c r="E25" s="2000"/>
      <c r="F25" s="2000"/>
      <c r="G25" s="2000"/>
      <c r="H25" s="2001"/>
      <c r="I25" s="113"/>
      <c r="J25" s="2067"/>
      <c r="K25" s="2067"/>
      <c r="L25" s="2067"/>
      <c r="M25" s="2067"/>
      <c r="N25" s="2067"/>
      <c r="O25" s="2067"/>
      <c r="P25" s="2067"/>
      <c r="Q25" s="2067"/>
      <c r="R25" s="2067"/>
      <c r="S25" s="2068"/>
      <c r="T25" s="1959" t="s">
        <v>2091</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8" t="s">
        <v>1590</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2076</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32" t="s">
        <v>2079</v>
      </c>
      <c r="B38" s="2033"/>
      <c r="C38" s="2033"/>
      <c r="D38" s="2033"/>
      <c r="E38" s="2033"/>
      <c r="F38" s="2000"/>
      <c r="G38" s="2000"/>
      <c r="H38" s="2001"/>
      <c r="I38" s="2052"/>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6" t="s">
        <v>551</v>
      </c>
      <c r="B39" s="2057"/>
      <c r="C39" s="72"/>
      <c r="D39" s="69"/>
      <c r="E39" s="69"/>
      <c r="F39" s="79"/>
      <c r="G39" s="69"/>
      <c r="H39" s="56"/>
      <c r="I39" s="2056" t="s">
        <v>551</v>
      </c>
      <c r="J39" s="2057"/>
      <c r="K39" s="2057"/>
      <c r="L39" s="2057"/>
      <c r="M39" s="2057"/>
      <c r="N39" s="67"/>
      <c r="O39" s="72"/>
      <c r="P39" s="72"/>
      <c r="Q39" s="78"/>
      <c r="R39" s="72"/>
      <c r="S39" s="56"/>
      <c r="T39" s="72" t="s">
        <v>551</v>
      </c>
      <c r="U39" s="51"/>
      <c r="V39" s="72"/>
      <c r="W39" s="50"/>
      <c r="X39" s="78"/>
      <c r="Y39" s="45"/>
      <c r="Z39" s="45"/>
      <c r="AA39" s="46"/>
    </row>
    <row r="40" spans="1:27" ht="13.5" customHeight="1" x14ac:dyDescent="0.2">
      <c r="A40" s="2059" t="s">
        <v>2080</v>
      </c>
      <c r="B40" s="2060"/>
      <c r="C40" s="2061"/>
      <c r="D40" s="2061"/>
      <c r="E40" s="2061"/>
      <c r="F40" s="2062"/>
      <c r="G40" s="2062"/>
      <c r="H40" s="2063"/>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9" t="s">
        <v>2081</v>
      </c>
      <c r="B42" s="2050"/>
      <c r="C42" s="2051"/>
      <c r="D42" s="2064" t="s">
        <v>2082</v>
      </c>
      <c r="E42" s="2050"/>
      <c r="F42" s="2050"/>
      <c r="G42" s="2050"/>
      <c r="H42" s="2051"/>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2075</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1706</v>
      </c>
    </row>
    <row r="22" spans="1:5" x14ac:dyDescent="0.2">
      <c r="A22" s="168"/>
      <c r="B22" s="162" t="s">
        <v>1965</v>
      </c>
      <c r="C22" s="162" t="s">
        <v>1230</v>
      </c>
      <c r="D22" s="167" t="s">
        <v>1967</v>
      </c>
      <c r="E22" s="1859" t="s">
        <v>1707</v>
      </c>
    </row>
    <row r="23" spans="1:5" x14ac:dyDescent="0.2">
      <c r="A23" s="168"/>
      <c r="B23" s="162" t="s">
        <v>1966</v>
      </c>
      <c r="D23" s="167" t="s">
        <v>657</v>
      </c>
      <c r="E23" s="1859" t="s">
        <v>1015</v>
      </c>
    </row>
    <row r="24" spans="1:5" x14ac:dyDescent="0.2">
      <c r="A24" s="168" t="s">
        <v>1705</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2" t="s">
        <v>1124</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714</v>
      </c>
      <c r="B40" s="2069"/>
      <c r="C40" s="2069"/>
      <c r="D40" s="2069"/>
      <c r="E40" s="2069"/>
    </row>
    <row r="41" spans="1:5" x14ac:dyDescent="0.2">
      <c r="A41" s="2070" t="s">
        <v>1704</v>
      </c>
      <c r="B41" s="2070"/>
      <c r="C41" s="2070"/>
      <c r="D41" s="2070"/>
      <c r="E41" s="2070"/>
    </row>
    <row r="42" spans="1:5" ht="12.75" customHeight="1" x14ac:dyDescent="0.2">
      <c r="A42" s="2071" t="s">
        <v>1079</v>
      </c>
      <c r="B42" s="2071"/>
      <c r="C42" s="2071"/>
      <c r="D42" s="2071"/>
      <c r="E42" s="2071"/>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1229</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t="s">
        <v>2076</v>
      </c>
      <c r="C13" s="227">
        <v>3</v>
      </c>
      <c r="D13" s="228" t="s">
        <v>1722</v>
      </c>
    </row>
    <row r="14" spans="1:11" s="181" customFormat="1" x14ac:dyDescent="0.2">
      <c r="A14" s="219"/>
      <c r="B14" s="226" t="s">
        <v>2076</v>
      </c>
      <c r="C14" s="227">
        <v>4</v>
      </c>
      <c r="D14" s="228" t="s">
        <v>1723</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1635</v>
      </c>
    </row>
    <row r="22" spans="1:4" s="181" customFormat="1" x14ac:dyDescent="0.2">
      <c r="A22" s="219"/>
      <c r="B22" s="226"/>
      <c r="C22" s="227">
        <v>9</v>
      </c>
      <c r="D22" s="231" t="s">
        <v>1725</v>
      </c>
    </row>
    <row r="23" spans="1:4" s="181" customFormat="1" x14ac:dyDescent="0.2">
      <c r="A23" s="219"/>
      <c r="B23" s="234"/>
      <c r="C23" s="227"/>
      <c r="D23" s="235" t="s">
        <v>1636</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7" t="s">
        <v>1729</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330</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1735</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1389</v>
      </c>
      <c r="B70" s="2090"/>
      <c r="C70" s="2090"/>
      <c r="D70" s="2090"/>
      <c r="E70" s="2091"/>
      <c r="F70" s="2091"/>
      <c r="G70" s="2091"/>
      <c r="H70" s="2091"/>
      <c r="I70" s="2091"/>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1743</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1386</v>
      </c>
      <c r="B83" s="2092"/>
      <c r="C83" s="2092"/>
      <c r="D83" s="2093"/>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1230</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c r="D114" s="2083"/>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1396</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403</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289</v>
      </c>
      <c r="G7" s="222"/>
      <c r="H7" s="222"/>
      <c r="I7" s="222"/>
      <c r="J7" s="352">
        <v>64315293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3.0800000000000001E-2</v>
      </c>
      <c r="E10" s="356" t="s">
        <v>1061</v>
      </c>
      <c r="F10" s="355">
        <v>5.2500000000000003E-3</v>
      </c>
      <c r="G10" s="356" t="s">
        <v>1061</v>
      </c>
      <c r="H10" s="355">
        <v>2E-3</v>
      </c>
      <c r="I10" s="356" t="s">
        <v>1062</v>
      </c>
      <c r="J10" s="1754">
        <f>ROUND(D10+F10+H10,5)</f>
        <v>3.805E-2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3677303</v>
      </c>
      <c r="E16" s="356"/>
      <c r="F16" s="1755">
        <f>SUM('Acct Summary 7-8'!C17,'Acct Summary 7-8'!D17,'Acct Summary 7-8'!F17)</f>
        <v>3193363</v>
      </c>
      <c r="G16" s="356"/>
      <c r="H16" s="1755">
        <f>SUM(D16-F16)</f>
        <v>483940</v>
      </c>
      <c r="I16" s="222"/>
      <c r="J16" s="1755">
        <f>SUM('Acct Summary 7-8'!C81,'Acct Summary 7-8'!D81,'Acct Summary 7-8'!F81,'Acct Summary 7-8'!I81)</f>
        <v>1668920</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1747</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8875510.4340000004</v>
      </c>
      <c r="I31" s="368"/>
      <c r="J31" s="222"/>
      <c r="K31" s="222"/>
      <c r="L31" s="222"/>
      <c r="M31" s="222"/>
    </row>
    <row r="32" spans="1:13" ht="13.35" customHeight="1" x14ac:dyDescent="0.2">
      <c r="B32" s="369" t="s">
        <v>2076</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4517734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576</v>
      </c>
      <c r="B2" s="2122"/>
      <c r="C2" s="2122"/>
      <c r="D2" s="2122"/>
      <c r="E2" s="2122"/>
      <c r="F2" s="2122"/>
      <c r="G2" s="2122"/>
      <c r="H2" s="2122"/>
      <c r="I2" s="2122"/>
      <c r="J2" s="2122"/>
      <c r="K2" s="2122"/>
      <c r="L2" s="2122"/>
      <c r="M2" s="2122"/>
      <c r="N2" s="2122"/>
      <c r="O2" s="2122"/>
      <c r="P2" s="2122"/>
      <c r="Q2" s="2122"/>
      <c r="R2" s="2122"/>
    </row>
    <row r="3" spans="1:18" ht="12.75" x14ac:dyDescent="0.2">
      <c r="A3" s="2123" t="s">
        <v>1479</v>
      </c>
      <c r="B3" s="2123"/>
      <c r="C3" s="2123"/>
      <c r="D3" s="2123"/>
      <c r="E3" s="2123"/>
      <c r="F3" s="2123"/>
      <c r="G3" s="2123"/>
      <c r="H3" s="2123"/>
      <c r="I3" s="2123"/>
      <c r="J3" s="2123"/>
      <c r="K3" s="2123"/>
      <c r="L3" s="2123"/>
      <c r="M3" s="2123"/>
      <c r="N3" s="2123"/>
      <c r="O3" s="2123"/>
      <c r="P3" s="2123"/>
      <c r="Q3" s="2123"/>
      <c r="R3" s="2123"/>
    </row>
    <row r="4" spans="1:18" x14ac:dyDescent="0.2">
      <c r="A4" s="2124" t="s">
        <v>1634</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Bement CUSD 5</v>
      </c>
      <c r="E7" s="391"/>
      <c r="G7" s="252"/>
      <c r="H7" s="387"/>
      <c r="I7" s="387"/>
      <c r="J7" s="387"/>
      <c r="K7" s="387"/>
      <c r="L7" s="329"/>
      <c r="M7" s="329"/>
      <c r="N7" s="329"/>
      <c r="O7" s="329"/>
      <c r="P7" s="329"/>
    </row>
    <row r="8" spans="1:18" ht="12.75" x14ac:dyDescent="0.2">
      <c r="A8" s="329"/>
      <c r="B8" s="329"/>
      <c r="C8" s="389" t="s">
        <v>1186</v>
      </c>
      <c r="D8" s="392">
        <f>COVER!A13</f>
        <v>39074005026</v>
      </c>
      <c r="E8" s="393"/>
      <c r="G8" s="329"/>
      <c r="H8" s="329"/>
      <c r="I8" s="329"/>
      <c r="J8" s="329"/>
      <c r="K8" s="329"/>
      <c r="L8" s="329"/>
      <c r="M8" s="329"/>
      <c r="N8" s="329"/>
      <c r="O8" s="329"/>
      <c r="P8" s="329"/>
    </row>
    <row r="9" spans="1:18" ht="12.75" x14ac:dyDescent="0.2">
      <c r="A9" s="329"/>
      <c r="B9" s="329"/>
      <c r="C9" s="389" t="s">
        <v>736</v>
      </c>
      <c r="D9" s="394" t="str">
        <f>COVER!A15</f>
        <v>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1668920</v>
      </c>
      <c r="I12" s="404"/>
      <c r="J12" s="404"/>
      <c r="K12" s="405">
        <f>TRUNC((H12/H13*100000),5)/100000</f>
        <v>0.45384348250000001</v>
      </c>
      <c r="L12" s="406"/>
      <c r="M12" s="360" t="s">
        <v>1205</v>
      </c>
      <c r="N12" s="360"/>
      <c r="O12" s="407">
        <v>0.35</v>
      </c>
      <c r="P12" s="218"/>
      <c r="Q12" s="218"/>
    </row>
    <row r="13" spans="1:18" s="408" customFormat="1" ht="12.75" x14ac:dyDescent="0.2">
      <c r="A13" s="218"/>
      <c r="B13" s="401"/>
      <c r="C13" s="2120" t="s">
        <v>1390</v>
      </c>
      <c r="D13" s="2121"/>
      <c r="E13" s="218"/>
      <c r="F13" s="409" t="s">
        <v>825</v>
      </c>
      <c r="G13" s="402"/>
      <c r="H13" s="403">
        <f>SUM('Acct Summary 7-8'!C8+'Acct Summary 7-8'!D8+'Acct Summary 7-8'!F8+'Acct Summary 7-8'!I8)+H14</f>
        <v>3677303</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3193363</v>
      </c>
      <c r="I17" s="404"/>
      <c r="J17" s="416"/>
      <c r="K17" s="405">
        <f>TRUNC((H17/H18*100000),5)/100000</f>
        <v>0.8683981167</v>
      </c>
      <c r="L17" s="406"/>
      <c r="M17" s="417" t="s">
        <v>1232</v>
      </c>
      <c r="O17" s="418" t="str">
        <f>IF(AND(O16="2", J20 &gt; 2),"1",IF(AND(O16 = "1", J20 &gt; 2),"2",IF(AND(O16="1", J20 &gt;1),"1","0")))</f>
        <v>0</v>
      </c>
      <c r="P17" s="218"/>
    </row>
    <row r="18" spans="1:18" s="408" customFormat="1" ht="11.25" x14ac:dyDescent="0.2">
      <c r="A18" s="218"/>
      <c r="B18" s="401"/>
      <c r="C18" s="2120" t="s">
        <v>1383</v>
      </c>
      <c r="D18" s="2121"/>
      <c r="E18" s="218"/>
      <c r="F18" s="419" t="s">
        <v>826</v>
      </c>
      <c r="G18" s="402"/>
      <c r="H18" s="403">
        <f>SUM('Acct Summary 7-8'!C8+'Acct Summary 7-8'!D8+'Acct Summary 7-8'!F8+'Acct Summary 7-8'!I8)+H19</f>
        <v>3677303</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7" t="s">
        <v>1478</v>
      </c>
      <c r="D24" s="2117"/>
      <c r="E24" s="218"/>
      <c r="F24" s="218" t="s">
        <v>464</v>
      </c>
      <c r="G24" s="402"/>
      <c r="H24" s="403">
        <f>SUM('Assets-Liab 5-6'!C4+'Assets-Liab 5-6'!D4+'Assets-Liab 5-6'!F4+'Assets-Liab 5-6'!I4+'Assets-Liab 5-6'!C5+'Assets-Liab 5-6'!D5+'Assets-Liab 5-6'!F5+'Assets-Liab 5-6'!I5)</f>
        <v>1668920</v>
      </c>
      <c r="I24" s="422"/>
      <c r="J24" s="422"/>
      <c r="K24" s="423">
        <f>TRUNC(((H24/H25*100000)/100000),2)</f>
        <v>188.14</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8870.4527799999996</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2080117.3638500001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4517734</v>
      </c>
      <c r="I32" s="420"/>
      <c r="J32" s="420"/>
      <c r="K32" s="423">
        <f>TRUNC(100-((((H32/H33*100))*100)/100),2)</f>
        <v>49.09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8875510.4340000004</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6"/>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7" t="s">
        <v>1029</v>
      </c>
      <c r="B3" s="2128"/>
      <c r="C3" s="1581"/>
      <c r="D3" s="1582"/>
      <c r="E3" s="1582"/>
      <c r="F3" s="1582"/>
      <c r="G3" s="1582"/>
      <c r="H3" s="1582"/>
      <c r="I3" s="1582"/>
      <c r="J3" s="1582"/>
      <c r="K3" s="1582"/>
      <c r="L3" s="1582"/>
      <c r="M3" s="1583"/>
      <c r="N3" s="1584"/>
    </row>
    <row r="4" spans="1:14" ht="13.5" customHeight="1" x14ac:dyDescent="0.2">
      <c r="A4" s="463" t="s">
        <v>1748</v>
      </c>
      <c r="B4" s="464"/>
      <c r="C4" s="465">
        <v>562892</v>
      </c>
      <c r="D4" s="466">
        <v>155077</v>
      </c>
      <c r="E4" s="466">
        <v>64560</v>
      </c>
      <c r="F4" s="466">
        <v>72517</v>
      </c>
      <c r="G4" s="466">
        <v>160478</v>
      </c>
      <c r="H4" s="466">
        <v>96113</v>
      </c>
      <c r="I4" s="466">
        <v>878434</v>
      </c>
      <c r="J4" s="467">
        <v>95205</v>
      </c>
      <c r="K4" s="466">
        <v>929348</v>
      </c>
      <c r="L4" s="466">
        <v>62936</v>
      </c>
      <c r="M4" s="468"/>
      <c r="N4" s="469"/>
    </row>
    <row r="5" spans="1:14" x14ac:dyDescent="0.2">
      <c r="A5" s="463" t="s">
        <v>1048</v>
      </c>
      <c r="B5" s="470">
        <v>120</v>
      </c>
      <c r="C5" s="465"/>
      <c r="D5" s="466"/>
      <c r="E5" s="466"/>
      <c r="F5" s="466"/>
      <c r="G5" s="466"/>
      <c r="H5" s="466"/>
      <c r="I5" s="466"/>
      <c r="J5" s="467"/>
      <c r="K5" s="471"/>
      <c r="L5" s="472">
        <v>11872</v>
      </c>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562892</v>
      </c>
      <c r="D13" s="1759">
        <f t="shared" ref="D13:L13" si="0">SUM(D4:D12)</f>
        <v>155077</v>
      </c>
      <c r="E13" s="1759">
        <f t="shared" si="0"/>
        <v>64560</v>
      </c>
      <c r="F13" s="1759">
        <f t="shared" si="0"/>
        <v>72517</v>
      </c>
      <c r="G13" s="1759">
        <f t="shared" si="0"/>
        <v>160478</v>
      </c>
      <c r="H13" s="1759">
        <f t="shared" si="0"/>
        <v>96113</v>
      </c>
      <c r="I13" s="1759">
        <f t="shared" si="0"/>
        <v>878434</v>
      </c>
      <c r="J13" s="1759">
        <f t="shared" si="0"/>
        <v>95205</v>
      </c>
      <c r="K13" s="1759">
        <f t="shared" si="0"/>
        <v>929348</v>
      </c>
      <c r="L13" s="1759">
        <f t="shared" si="0"/>
        <v>74808</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17419</v>
      </c>
      <c r="N16" s="484"/>
    </row>
    <row r="17" spans="1:14" s="485" customFormat="1" ht="12.75" customHeight="1" x14ac:dyDescent="0.2">
      <c r="A17" s="482" t="s">
        <v>1469</v>
      </c>
      <c r="B17" s="483">
        <v>230</v>
      </c>
      <c r="C17" s="477"/>
      <c r="D17" s="477"/>
      <c r="E17" s="477"/>
      <c r="F17" s="477"/>
      <c r="G17" s="477"/>
      <c r="H17" s="477"/>
      <c r="I17" s="477"/>
      <c r="J17" s="477"/>
      <c r="K17" s="477"/>
      <c r="L17" s="477"/>
      <c r="M17" s="467">
        <v>3915790</v>
      </c>
      <c r="N17" s="484"/>
    </row>
    <row r="18" spans="1:14" s="485" customFormat="1" ht="12.75" customHeight="1" x14ac:dyDescent="0.2">
      <c r="A18" s="482" t="s">
        <v>1470</v>
      </c>
      <c r="B18" s="483">
        <v>240</v>
      </c>
      <c r="C18" s="477"/>
      <c r="D18" s="477"/>
      <c r="E18" s="477"/>
      <c r="F18" s="477"/>
      <c r="G18" s="477"/>
      <c r="H18" s="477"/>
      <c r="I18" s="477"/>
      <c r="J18" s="477"/>
      <c r="K18" s="477"/>
      <c r="L18" s="477"/>
      <c r="M18" s="467">
        <v>586099</v>
      </c>
      <c r="N18" s="484"/>
    </row>
    <row r="19" spans="1:14" s="485" customFormat="1" ht="12.75" customHeight="1" x14ac:dyDescent="0.2">
      <c r="A19" s="482" t="s">
        <v>1471</v>
      </c>
      <c r="B19" s="483">
        <v>250</v>
      </c>
      <c r="C19" s="477"/>
      <c r="D19" s="477"/>
      <c r="E19" s="477"/>
      <c r="F19" s="477"/>
      <c r="G19" s="477"/>
      <c r="H19" s="477"/>
      <c r="I19" s="477"/>
      <c r="J19" s="477"/>
      <c r="K19" s="477"/>
      <c r="L19" s="477"/>
      <c r="M19" s="467">
        <v>1401216</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64560</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4453174</v>
      </c>
    </row>
    <row r="23" spans="1:14" ht="13.5" customHeight="1" thickBot="1" x14ac:dyDescent="0.25">
      <c r="A23" s="1758" t="s">
        <v>663</v>
      </c>
      <c r="B23" s="1763"/>
      <c r="C23" s="468"/>
      <c r="D23" s="468"/>
      <c r="E23" s="468"/>
      <c r="F23" s="468"/>
      <c r="G23" s="468"/>
      <c r="H23" s="468"/>
      <c r="I23" s="468"/>
      <c r="J23" s="468"/>
      <c r="K23" s="468"/>
      <c r="L23" s="468"/>
      <c r="M23" s="1710">
        <f>SUM(M15:M22)</f>
        <v>5920524</v>
      </c>
      <c r="N23" s="1710">
        <f>SUM(N21:N22)</f>
        <v>4517734</v>
      </c>
    </row>
    <row r="24" spans="1:14" ht="18" customHeight="1" thickTop="1" x14ac:dyDescent="0.2">
      <c r="A24" s="2131" t="s">
        <v>618</v>
      </c>
      <c r="B24" s="2132"/>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74808</v>
      </c>
      <c r="M33" s="468"/>
      <c r="N33" s="469"/>
    </row>
    <row r="34" spans="1:14" ht="13.5" customHeight="1" thickBot="1" x14ac:dyDescent="0.25">
      <c r="A34" s="1760" t="s">
        <v>674</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74808</v>
      </c>
      <c r="M34" s="468"/>
      <c r="N34" s="480"/>
    </row>
    <row r="35" spans="1:14" ht="18" customHeight="1" thickTop="1" x14ac:dyDescent="0.2">
      <c r="A35" s="2133" t="s">
        <v>549</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4517734</v>
      </c>
    </row>
    <row r="37" spans="1:14" ht="13.5" thickBot="1" x14ac:dyDescent="0.25">
      <c r="A37" s="1758" t="s">
        <v>673</v>
      </c>
      <c r="B37" s="1763"/>
      <c r="C37" s="477"/>
      <c r="D37" s="477"/>
      <c r="E37" s="477"/>
      <c r="F37" s="477"/>
      <c r="G37" s="477"/>
      <c r="H37" s="477"/>
      <c r="I37" s="477"/>
      <c r="J37" s="477"/>
      <c r="K37" s="477"/>
      <c r="L37" s="480"/>
      <c r="M37" s="468"/>
      <c r="N37" s="1710">
        <f>SUM(N36:N36)</f>
        <v>4517734</v>
      </c>
    </row>
    <row r="38" spans="1:14" s="329" customFormat="1" ht="13.5" customHeight="1" thickTop="1" x14ac:dyDescent="0.2">
      <c r="A38" s="496" t="s">
        <v>439</v>
      </c>
      <c r="B38" s="483">
        <v>714</v>
      </c>
      <c r="C38" s="466">
        <v>9782</v>
      </c>
      <c r="D38" s="466"/>
      <c r="E38" s="466"/>
      <c r="F38" s="466"/>
      <c r="G38" s="466">
        <v>160478</v>
      </c>
      <c r="H38" s="466">
        <v>84756</v>
      </c>
      <c r="I38" s="466"/>
      <c r="J38" s="467"/>
      <c r="K38" s="466"/>
      <c r="L38" s="481"/>
      <c r="M38" s="497"/>
      <c r="N38" s="497"/>
    </row>
    <row r="39" spans="1:14" s="329" customFormat="1" ht="13.5" customHeight="1" x14ac:dyDescent="0.2">
      <c r="A39" s="496" t="s">
        <v>359</v>
      </c>
      <c r="B39" s="483">
        <v>730</v>
      </c>
      <c r="C39" s="466">
        <v>553110</v>
      </c>
      <c r="D39" s="466">
        <v>155077</v>
      </c>
      <c r="E39" s="466">
        <v>64560</v>
      </c>
      <c r="F39" s="466">
        <v>72517</v>
      </c>
      <c r="G39" s="466"/>
      <c r="H39" s="466">
        <v>11357</v>
      </c>
      <c r="I39" s="466">
        <v>878434</v>
      </c>
      <c r="J39" s="467">
        <v>95205</v>
      </c>
      <c r="K39" s="466">
        <v>929348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5920524</v>
      </c>
      <c r="N40" s="497"/>
    </row>
    <row r="41" spans="1:14" ht="13.5" customHeight="1" thickBot="1" x14ac:dyDescent="0.25">
      <c r="A41" s="1758" t="s">
        <v>675</v>
      </c>
      <c r="B41" s="1728"/>
      <c r="C41" s="1710">
        <f>(SUM(C34,C37,C38,C39))</f>
        <v>562892</v>
      </c>
      <c r="D41" s="1710">
        <f t="shared" ref="D41:L41" si="2">SUM(D34,D37,D38:D39)</f>
        <v>155077</v>
      </c>
      <c r="E41" s="1710">
        <f t="shared" si="2"/>
        <v>64560</v>
      </c>
      <c r="F41" s="1710">
        <f t="shared" si="2"/>
        <v>72517</v>
      </c>
      <c r="G41" s="1710">
        <f t="shared" si="2"/>
        <v>160478</v>
      </c>
      <c r="H41" s="1710">
        <f t="shared" si="2"/>
        <v>96113</v>
      </c>
      <c r="I41" s="1710">
        <f t="shared" si="2"/>
        <v>878434</v>
      </c>
      <c r="J41" s="1710">
        <f t="shared" si="2"/>
        <v>95205</v>
      </c>
      <c r="K41" s="1710">
        <f t="shared" si="2"/>
        <v>929348</v>
      </c>
      <c r="L41" s="1710">
        <f t="shared" si="2"/>
        <v>74808</v>
      </c>
      <c r="M41" s="1710">
        <f>SUM(M40)</f>
        <v>5920524</v>
      </c>
      <c r="N41" s="1710">
        <f>SUM(N37)</f>
        <v>4517734</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1749</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4"/>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5" t="s">
        <v>1236</v>
      </c>
      <c r="B3" s="2156"/>
      <c r="C3" s="1595"/>
      <c r="D3" s="1596"/>
      <c r="E3" s="1596"/>
      <c r="F3" s="1596"/>
      <c r="G3" s="1596"/>
      <c r="H3" s="1596"/>
      <c r="I3" s="1596"/>
      <c r="J3" s="1596"/>
      <c r="K3" s="1597"/>
      <c r="L3" s="506"/>
    </row>
    <row r="4" spans="1:13" ht="15.75" customHeight="1" x14ac:dyDescent="0.2">
      <c r="A4" s="1954" t="s">
        <v>1578</v>
      </c>
      <c r="B4" s="1955">
        <v>1000</v>
      </c>
      <c r="C4" s="1764">
        <f>'Revenues 9-14'!C109</f>
        <v>2187207</v>
      </c>
      <c r="D4" s="1764">
        <f>'Revenues 9-14'!D109</f>
        <v>335252</v>
      </c>
      <c r="E4" s="1764">
        <f>'Revenues 9-14'!E109</f>
        <v>386488</v>
      </c>
      <c r="F4" s="1764">
        <f>'Revenues 9-14'!F109</f>
        <v>124290</v>
      </c>
      <c r="G4" s="1764">
        <f>'Revenues 9-14'!G109</f>
        <v>82334</v>
      </c>
      <c r="H4" s="1764">
        <f>'Revenues 9-14'!H109</f>
        <v>97538</v>
      </c>
      <c r="I4" s="1764">
        <f>'Revenues 9-14'!I109</f>
        <v>30913</v>
      </c>
      <c r="J4" s="1764">
        <f>'Revenues 9-14'!J109</f>
        <v>236342</v>
      </c>
      <c r="K4" s="1764">
        <f>'Revenues 9-14'!K109</f>
        <v>30914</v>
      </c>
      <c r="L4" s="347"/>
    </row>
    <row r="5" spans="1:13" ht="15.75" customHeight="1" x14ac:dyDescent="0.2">
      <c r="A5" s="1598" t="s">
        <v>1579</v>
      </c>
      <c r="B5" s="1599">
        <v>2000</v>
      </c>
      <c r="C5" s="1765">
        <f>'Revenues 9-14'!C114</f>
        <v>100552</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553675</v>
      </c>
      <c r="D6" s="1765">
        <f>'Revenues 9-14'!D173</f>
        <v>0</v>
      </c>
      <c r="E6" s="1765">
        <f>'Revenues 9-14'!E173</f>
        <v>0</v>
      </c>
      <c r="F6" s="1765">
        <f>'Revenues 9-14'!F173</f>
        <v>166324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179090</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3020524</v>
      </c>
      <c r="D8" s="1710">
        <f t="shared" ref="D8:K8" si="0">SUM(D4:D7)</f>
        <v>335252</v>
      </c>
      <c r="E8" s="1710">
        <f t="shared" si="0"/>
        <v>386488</v>
      </c>
      <c r="F8" s="1710">
        <f t="shared" si="0"/>
        <v>290614</v>
      </c>
      <c r="G8" s="1710">
        <f t="shared" si="0"/>
        <v>82334</v>
      </c>
      <c r="H8" s="1710">
        <f t="shared" si="0"/>
        <v>97538</v>
      </c>
      <c r="I8" s="1710">
        <f t="shared" si="0"/>
        <v>30913</v>
      </c>
      <c r="J8" s="1710">
        <f t="shared" si="0"/>
        <v>236342</v>
      </c>
      <c r="K8" s="1710">
        <f t="shared" si="0"/>
        <v>30914</v>
      </c>
      <c r="L8" s="347"/>
    </row>
    <row r="9" spans="1:13" ht="15.75" thickTop="1" x14ac:dyDescent="0.2">
      <c r="A9" s="514" t="s">
        <v>1750</v>
      </c>
      <c r="B9" s="515">
        <v>3998</v>
      </c>
      <c r="C9" s="481">
        <v>1253053</v>
      </c>
      <c r="D9" s="516"/>
      <c r="E9" s="481"/>
      <c r="F9" s="481"/>
      <c r="G9" s="517"/>
      <c r="H9" s="481"/>
      <c r="I9" s="509" t="s">
        <v>1230</v>
      </c>
      <c r="J9" s="478"/>
      <c r="K9" s="481"/>
      <c r="L9" s="347"/>
    </row>
    <row r="10" spans="1:13" s="519" customFormat="1" ht="13.5" thickBot="1" x14ac:dyDescent="0.25">
      <c r="A10" s="1758" t="s">
        <v>1234</v>
      </c>
      <c r="B10" s="1731"/>
      <c r="C10" s="1710">
        <f>SUM(C8:C9)</f>
        <v>4273577</v>
      </c>
      <c r="D10" s="1710">
        <f t="shared" ref="D10:K10" si="1">SUM(D8:D9)</f>
        <v>335252</v>
      </c>
      <c r="E10" s="1710">
        <f t="shared" si="1"/>
        <v>386488</v>
      </c>
      <c r="F10" s="1710">
        <f t="shared" si="1"/>
        <v>290614</v>
      </c>
      <c r="G10" s="1710">
        <f t="shared" si="1"/>
        <v>82334</v>
      </c>
      <c r="H10" s="1710">
        <f t="shared" si="1"/>
        <v>97538</v>
      </c>
      <c r="I10" s="1710">
        <f t="shared" si="1"/>
        <v>30913</v>
      </c>
      <c r="J10" s="1710">
        <f t="shared" si="1"/>
        <v>236342</v>
      </c>
      <c r="K10" s="1710">
        <f t="shared" si="1"/>
        <v>30914</v>
      </c>
      <c r="L10" s="518"/>
    </row>
    <row r="11" spans="1:13" s="519" customFormat="1" ht="16.7" customHeight="1" thickTop="1" x14ac:dyDescent="0.2">
      <c r="A11" s="2129" t="s">
        <v>1237</v>
      </c>
      <c r="B11" s="2130"/>
      <c r="C11" s="1592"/>
      <c r="D11" s="1593"/>
      <c r="E11" s="1593"/>
      <c r="F11" s="1593"/>
      <c r="G11" s="1593"/>
      <c r="H11" s="1593"/>
      <c r="I11" s="1593"/>
      <c r="J11" s="1593"/>
      <c r="K11" s="1594"/>
      <c r="L11" s="518"/>
    </row>
    <row r="12" spans="1:13" ht="15.75" customHeight="1" x14ac:dyDescent="0.2">
      <c r="A12" s="1598" t="s">
        <v>475</v>
      </c>
      <c r="B12" s="1600">
        <v>1000</v>
      </c>
      <c r="C12" s="1764">
        <f>'Expenditures 15-22'!K33</f>
        <v>1823752</v>
      </c>
      <c r="D12" s="520" t="s">
        <v>1230</v>
      </c>
      <c r="E12" s="468" t="s">
        <v>1230</v>
      </c>
      <c r="F12" s="468" t="s">
        <v>1230</v>
      </c>
      <c r="G12" s="1764">
        <f>'Expenditures 15-22'!K229</f>
        <v>27072</v>
      </c>
      <c r="H12" s="521"/>
      <c r="I12" s="468" t="s">
        <v>1230</v>
      </c>
      <c r="J12" s="468" t="s">
        <v>1230</v>
      </c>
      <c r="K12" s="521" t="s">
        <v>1230</v>
      </c>
      <c r="L12" s="347"/>
    </row>
    <row r="13" spans="1:13" ht="15.75" customHeight="1" x14ac:dyDescent="0.2">
      <c r="A13" s="1598" t="s">
        <v>476</v>
      </c>
      <c r="B13" s="1600">
        <v>2000</v>
      </c>
      <c r="C13" s="1765">
        <f>'Expenditures 15-22'!K74</f>
        <v>734166</v>
      </c>
      <c r="D13" s="1765">
        <f>'Expenditures 15-22'!K129</f>
        <v>290572</v>
      </c>
      <c r="E13" s="469" t="s">
        <v>1230</v>
      </c>
      <c r="F13" s="1765">
        <f>'Expenditures 15-22'!K184</f>
        <v>257071</v>
      </c>
      <c r="G13" s="1765">
        <f>'Expenditures 15-22'!K279</f>
        <v>46228</v>
      </c>
      <c r="H13" s="1765">
        <f>'Expenditures 15-22'!K303</f>
        <v>59435</v>
      </c>
      <c r="I13" s="468" t="s">
        <v>1230</v>
      </c>
      <c r="J13" s="1765">
        <f>'Expenditures 15-22'!K330</f>
        <v>209447</v>
      </c>
      <c r="K13" s="1769">
        <f>'Expenditures 15-22'!K352</f>
        <v>1501815</v>
      </c>
      <c r="L13" s="347"/>
    </row>
    <row r="14" spans="1:13" ht="15.75" customHeight="1" x14ac:dyDescent="0.2">
      <c r="A14" s="1598" t="s">
        <v>468</v>
      </c>
      <c r="B14" s="1600">
        <v>3000</v>
      </c>
      <c r="C14" s="1765">
        <f>'Expenditures 15-22'!K75</f>
        <v>0</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87802</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343612</v>
      </c>
      <c r="F16" s="1765">
        <f>'Expenditures 15-22'!K208</f>
        <v>0</v>
      </c>
      <c r="G16" s="1765">
        <f>'Expenditures 15-22'!K293</f>
        <v>0</v>
      </c>
      <c r="H16" s="523"/>
      <c r="I16" s="468" t="s">
        <v>1230</v>
      </c>
      <c r="J16" s="1770">
        <f>'Expenditures 15-22'!K340</f>
        <v>0</v>
      </c>
      <c r="K16" s="1765">
        <f>'Expenditures 15-22'!K365</f>
        <v>427125</v>
      </c>
      <c r="L16" s="347"/>
    </row>
    <row r="17" spans="1:12" ht="13.5" thickBot="1" x14ac:dyDescent="0.25">
      <c r="A17" s="1730" t="s">
        <v>50</v>
      </c>
      <c r="B17" s="1731"/>
      <c r="C17" s="1710">
        <f t="shared" ref="C17:H17" si="2">SUM(C12:C16)</f>
        <v>2645720</v>
      </c>
      <c r="D17" s="1710">
        <f t="shared" si="2"/>
        <v>290572</v>
      </c>
      <c r="E17" s="1710">
        <f t="shared" si="2"/>
        <v>343612</v>
      </c>
      <c r="F17" s="1710">
        <f t="shared" si="2"/>
        <v>257071</v>
      </c>
      <c r="G17" s="1710">
        <f t="shared" si="2"/>
        <v>73300</v>
      </c>
      <c r="H17" s="1710">
        <f t="shared" si="2"/>
        <v>59435</v>
      </c>
      <c r="I17" s="468"/>
      <c r="J17" s="1710">
        <f>SUM(J12:J16)</f>
        <v>209447</v>
      </c>
      <c r="K17" s="1710">
        <f>SUM(K12:K16)</f>
        <v>1928940</v>
      </c>
      <c r="L17" s="347"/>
    </row>
    <row r="18" spans="1:12" ht="15" customHeight="1" thickTop="1" x14ac:dyDescent="0.2">
      <c r="A18" s="1766" t="s">
        <v>1751</v>
      </c>
      <c r="B18" s="1767">
        <v>4180</v>
      </c>
      <c r="C18" s="1764">
        <f t="shared" ref="C18:H18" si="3">C9</f>
        <v>1253053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3898773</v>
      </c>
      <c r="D19" s="1710">
        <f t="shared" si="4"/>
        <v>290572</v>
      </c>
      <c r="E19" s="1710">
        <f t="shared" si="4"/>
        <v>343612</v>
      </c>
      <c r="F19" s="1710">
        <f t="shared" si="4"/>
        <v>257071</v>
      </c>
      <c r="G19" s="1710">
        <f t="shared" si="4"/>
        <v>73300</v>
      </c>
      <c r="H19" s="1710">
        <f t="shared" si="4"/>
        <v>59435</v>
      </c>
      <c r="I19" s="468"/>
      <c r="J19" s="1710">
        <f>SUM(J17:J18)</f>
        <v>209447</v>
      </c>
      <c r="K19" s="1710">
        <f>SUM(K17:K18)</f>
        <v>1928940</v>
      </c>
      <c r="L19" s="347"/>
    </row>
    <row r="20" spans="1:12" ht="16.5" thickTop="1" thickBot="1" x14ac:dyDescent="0.25">
      <c r="A20" s="2145" t="s">
        <v>1752</v>
      </c>
      <c r="B20" s="2146"/>
      <c r="C20" s="1768">
        <f>C8-C17</f>
        <v>374804</v>
      </c>
      <c r="D20" s="1768">
        <f t="shared" ref="D20:K20" si="5">D8-D17</f>
        <v>44680</v>
      </c>
      <c r="E20" s="1768">
        <f t="shared" si="5"/>
        <v>42876</v>
      </c>
      <c r="F20" s="1768">
        <f t="shared" si="5"/>
        <v>33543</v>
      </c>
      <c r="G20" s="1768">
        <f t="shared" si="5"/>
        <v>9034</v>
      </c>
      <c r="H20" s="1768">
        <f t="shared" si="5"/>
        <v>38103</v>
      </c>
      <c r="I20" s="1768">
        <f t="shared" si="5"/>
        <v>30913</v>
      </c>
      <c r="J20" s="1768">
        <f t="shared" si="5"/>
        <v>26895</v>
      </c>
      <c r="K20" s="1768">
        <f t="shared" si="5"/>
        <v>-1898026</v>
      </c>
      <c r="L20" s="347"/>
    </row>
    <row r="21" spans="1:12" ht="16.7" customHeight="1" thickTop="1" x14ac:dyDescent="0.2">
      <c r="A21" s="2157" t="s">
        <v>615</v>
      </c>
      <c r="B21" s="2158"/>
      <c r="C21" s="1592"/>
      <c r="D21" s="1593"/>
      <c r="E21" s="1593"/>
      <c r="F21" s="1593"/>
      <c r="G21" s="1593"/>
      <c r="H21" s="1593"/>
      <c r="I21" s="1593"/>
      <c r="J21" s="1593"/>
      <c r="K21" s="1594"/>
      <c r="L21" s="524"/>
    </row>
    <row r="22" spans="1:12" ht="15.75" customHeight="1" collapsed="1" x14ac:dyDescent="0.2">
      <c r="A22" s="2153" t="s">
        <v>616</v>
      </c>
      <c r="B22" s="2154"/>
      <c r="C22" s="477"/>
      <c r="D22" s="477"/>
      <c r="E22" s="477"/>
      <c r="F22" s="477"/>
      <c r="G22" s="477"/>
      <c r="H22" s="477"/>
      <c r="I22" s="477"/>
      <c r="J22" s="477"/>
      <c r="K22" s="477"/>
      <c r="L22" s="347"/>
    </row>
    <row r="23" spans="1:12" s="485" customFormat="1" ht="15.75" customHeight="1" x14ac:dyDescent="0.2">
      <c r="A23" s="2149" t="s">
        <v>310</v>
      </c>
      <c r="B23" s="2150"/>
      <c r="C23" s="480"/>
      <c r="D23" s="477"/>
      <c r="E23" s="477"/>
      <c r="F23" s="477"/>
      <c r="G23" s="477"/>
      <c r="H23" s="477"/>
      <c r="I23" s="477"/>
      <c r="J23" s="477"/>
      <c r="K23" s="477"/>
      <c r="L23" s="524"/>
    </row>
    <row r="24" spans="1:12" s="485" customFormat="1" ht="13.5" customHeight="1" x14ac:dyDescent="0.2">
      <c r="A24" s="1511" t="s">
        <v>1753</v>
      </c>
      <c r="B24" s="525">
        <v>7110</v>
      </c>
      <c r="C24" s="467"/>
      <c r="D24" s="477"/>
      <c r="E24" s="477"/>
      <c r="F24" s="477"/>
      <c r="G24" s="477"/>
      <c r="H24" s="477"/>
      <c r="I24" s="477"/>
      <c r="J24" s="477"/>
      <c r="K24" s="477"/>
      <c r="L24" s="524"/>
    </row>
    <row r="25" spans="1:12" s="485" customFormat="1" ht="13.5" customHeight="1" x14ac:dyDescent="0.2">
      <c r="A25" s="1511" t="s">
        <v>1754</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v>38000</v>
      </c>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51" t="s">
        <v>1037</v>
      </c>
      <c r="B32" s="2152"/>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v>3252734</v>
      </c>
      <c r="L33" s="524"/>
    </row>
    <row r="34" spans="1:12" s="485" customFormat="1" x14ac:dyDescent="0.2">
      <c r="A34" s="1511" t="s">
        <v>1057</v>
      </c>
      <c r="B34" s="525">
        <v>7220</v>
      </c>
      <c r="C34" s="467"/>
      <c r="D34" s="467"/>
      <c r="E34" s="467"/>
      <c r="F34" s="467"/>
      <c r="G34" s="477"/>
      <c r="H34" s="478"/>
      <c r="I34" s="478"/>
      <c r="J34" s="478"/>
      <c r="K34" s="478">
        <v>53885</v>
      </c>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1755</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c r="F43" s="467"/>
      <c r="G43" s="467"/>
      <c r="H43" s="467"/>
      <c r="I43" s="467"/>
      <c r="J43" s="467"/>
      <c r="K43" s="467"/>
      <c r="L43" s="524"/>
    </row>
    <row r="44" spans="1:12" s="485" customFormat="1" ht="13.5" customHeight="1" thickBot="1" x14ac:dyDescent="0.25">
      <c r="A44" s="2159" t="s">
        <v>391</v>
      </c>
      <c r="B44" s="2160"/>
      <c r="C44" s="1725">
        <f>SUM(C24:C43)</f>
        <v>0</v>
      </c>
      <c r="D44" s="1725">
        <f t="shared" ref="D44:K44" si="6">SUM(D24:D43)</f>
        <v>0</v>
      </c>
      <c r="E44" s="1725">
        <f t="shared" si="6"/>
        <v>0</v>
      </c>
      <c r="F44" s="1725">
        <f t="shared" si="6"/>
        <v>38000</v>
      </c>
      <c r="G44" s="1725">
        <f t="shared" si="6"/>
        <v>0</v>
      </c>
      <c r="H44" s="1725">
        <f t="shared" si="6"/>
        <v>0</v>
      </c>
      <c r="I44" s="1725">
        <f t="shared" si="6"/>
        <v>0</v>
      </c>
      <c r="J44" s="1725">
        <f t="shared" si="6"/>
        <v>0</v>
      </c>
      <c r="K44" s="1725">
        <f t="shared" si="6"/>
        <v>3306619</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0</v>
      </c>
      <c r="J47" s="477"/>
      <c r="K47" s="477"/>
      <c r="L47" s="529"/>
    </row>
    <row r="48" spans="1:12" s="485" customFormat="1" ht="15" x14ac:dyDescent="0.2">
      <c r="A48" s="1512" t="s">
        <v>1757</v>
      </c>
      <c r="B48" s="483">
        <v>8120</v>
      </c>
      <c r="C48" s="480"/>
      <c r="D48" s="480"/>
      <c r="E48" s="477"/>
      <c r="F48" s="480"/>
      <c r="G48" s="477"/>
      <c r="H48" s="477"/>
      <c r="I48" s="1765">
        <f>SUM(C26:H26,J26,K26)</f>
        <v>38000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c r="I75" s="530"/>
      <c r="J75" s="530"/>
      <c r="K75" s="532">
        <v>535006</v>
      </c>
      <c r="L75" s="524"/>
    </row>
    <row r="76" spans="1:12" s="485" customFormat="1" ht="14.25" thickTop="1" thickBot="1" x14ac:dyDescent="0.25">
      <c r="A76" s="2135" t="s">
        <v>459</v>
      </c>
      <c r="B76" s="2136"/>
      <c r="C76" s="1725">
        <f t="shared" ref="C76:K76" si="7">SUM(C47:C75)</f>
        <v>0</v>
      </c>
      <c r="D76" s="1725">
        <f t="shared" si="7"/>
        <v>0</v>
      </c>
      <c r="E76" s="1725">
        <f t="shared" si="7"/>
        <v>0</v>
      </c>
      <c r="F76" s="1725">
        <f t="shared" si="7"/>
        <v>0</v>
      </c>
      <c r="G76" s="1725">
        <f t="shared" si="7"/>
        <v>0</v>
      </c>
      <c r="H76" s="1725">
        <f t="shared" si="7"/>
        <v>0</v>
      </c>
      <c r="I76" s="1725">
        <f t="shared" si="7"/>
        <v>38000</v>
      </c>
      <c r="J76" s="1725">
        <f t="shared" si="7"/>
        <v>0</v>
      </c>
      <c r="K76" s="1725">
        <f t="shared" si="7"/>
        <v>535006</v>
      </c>
      <c r="L76" s="524"/>
    </row>
    <row r="77" spans="1:12" ht="14.25" thickTop="1" thickBot="1" x14ac:dyDescent="0.25">
      <c r="A77" s="2137" t="s">
        <v>1238</v>
      </c>
      <c r="B77" s="2138"/>
      <c r="C77" s="1725">
        <f t="shared" ref="C77:K77" si="8">C44-C76</f>
        <v>0</v>
      </c>
      <c r="D77" s="1725">
        <f t="shared" si="8"/>
        <v>0</v>
      </c>
      <c r="E77" s="1725">
        <f t="shared" si="8"/>
        <v>0</v>
      </c>
      <c r="F77" s="1725">
        <f t="shared" si="8"/>
        <v>38000</v>
      </c>
      <c r="G77" s="1725">
        <f t="shared" si="8"/>
        <v>0</v>
      </c>
      <c r="H77" s="1725">
        <f t="shared" si="8"/>
        <v>0</v>
      </c>
      <c r="I77" s="1725">
        <f t="shared" si="8"/>
        <v>-38000</v>
      </c>
      <c r="J77" s="1725">
        <f t="shared" si="8"/>
        <v>0</v>
      </c>
      <c r="K77" s="1725">
        <f t="shared" si="8"/>
        <v>2771613</v>
      </c>
      <c r="L77" s="347"/>
    </row>
    <row r="78" spans="1:12" ht="21.75" customHeight="1" thickTop="1" thickBot="1" x14ac:dyDescent="0.25">
      <c r="A78" s="2141" t="s">
        <v>617</v>
      </c>
      <c r="B78" s="2142"/>
      <c r="C78" s="1724">
        <f t="shared" ref="C78:K78" si="9">C20+C77</f>
        <v>374804</v>
      </c>
      <c r="D78" s="1724">
        <f t="shared" si="9"/>
        <v>44680</v>
      </c>
      <c r="E78" s="1724">
        <f t="shared" si="9"/>
        <v>42876</v>
      </c>
      <c r="F78" s="1724">
        <f t="shared" si="9"/>
        <v>71543</v>
      </c>
      <c r="G78" s="1724">
        <f t="shared" si="9"/>
        <v>9034</v>
      </c>
      <c r="H78" s="1724">
        <f t="shared" si="9"/>
        <v>38103</v>
      </c>
      <c r="I78" s="1724">
        <f t="shared" si="9"/>
        <v>-7087</v>
      </c>
      <c r="J78" s="1724">
        <f t="shared" si="9"/>
        <v>26895</v>
      </c>
      <c r="K78" s="1724">
        <f t="shared" si="9"/>
        <v>873587</v>
      </c>
      <c r="L78" s="533"/>
    </row>
    <row r="79" spans="1:12" ht="13.5" thickTop="1" x14ac:dyDescent="0.2">
      <c r="A79" s="1516" t="s">
        <v>2069</v>
      </c>
      <c r="B79" s="534"/>
      <c r="C79" s="478">
        <v>188088</v>
      </c>
      <c r="D79" s="535">
        <v>110397</v>
      </c>
      <c r="E79" s="535">
        <v>21684</v>
      </c>
      <c r="F79" s="535">
        <v>974</v>
      </c>
      <c r="G79" s="535">
        <v>151444</v>
      </c>
      <c r="H79" s="535">
        <v>58010</v>
      </c>
      <c r="I79" s="535">
        <v>885521</v>
      </c>
      <c r="J79" s="535">
        <v>68310</v>
      </c>
      <c r="K79" s="535">
        <v>55761</v>
      </c>
      <c r="L79" s="347"/>
    </row>
    <row r="80" spans="1:12" x14ac:dyDescent="0.2">
      <c r="A80" s="2147" t="s">
        <v>1896</v>
      </c>
      <c r="B80" s="2148"/>
      <c r="C80" s="467"/>
      <c r="D80" s="467"/>
      <c r="E80" s="467"/>
      <c r="F80" s="467"/>
      <c r="G80" s="467"/>
      <c r="H80" s="467"/>
      <c r="I80" s="467"/>
      <c r="J80" s="467"/>
      <c r="K80" s="467"/>
      <c r="L80" s="347"/>
    </row>
    <row r="81" spans="1:12" ht="13.5" thickBot="1" x14ac:dyDescent="0.25">
      <c r="A81" s="2139" t="s">
        <v>2070</v>
      </c>
      <c r="B81" s="2140"/>
      <c r="C81" s="1710">
        <f>(SUM(C78:C80))</f>
        <v>562892</v>
      </c>
      <c r="D81" s="1710">
        <f>SUM(D78:D80)</f>
        <v>155077</v>
      </c>
      <c r="E81" s="1710">
        <f t="shared" ref="E81:K81" si="10">SUM(E78:E80)</f>
        <v>64560</v>
      </c>
      <c r="F81" s="1710">
        <f t="shared" si="10"/>
        <v>72517</v>
      </c>
      <c r="G81" s="1710">
        <f t="shared" si="10"/>
        <v>160478</v>
      </c>
      <c r="H81" s="1710">
        <f t="shared" si="10"/>
        <v>96113</v>
      </c>
      <c r="I81" s="1710">
        <f t="shared" si="10"/>
        <v>878434</v>
      </c>
      <c r="J81" s="1710">
        <f t="shared" si="10"/>
        <v>95205</v>
      </c>
      <c r="K81" s="1710">
        <f t="shared" si="10"/>
        <v>929348</v>
      </c>
      <c r="L81" s="347"/>
    </row>
    <row r="82" spans="1:12" ht="0.75" customHeight="1" thickTop="1" thickBot="1" x14ac:dyDescent="0.25">
      <c r="A82" s="536" t="s">
        <v>360</v>
      </c>
      <c r="B82" s="537"/>
      <c r="C82" s="538">
        <f>(C81-C79)</f>
        <v>374804</v>
      </c>
      <c r="D82" s="538">
        <f t="shared" ref="D82:K82" si="11">(D81-D79)</f>
        <v>44680</v>
      </c>
      <c r="E82" s="538">
        <f t="shared" si="11"/>
        <v>42876</v>
      </c>
      <c r="F82" s="538">
        <f t="shared" si="11"/>
        <v>71543</v>
      </c>
      <c r="G82" s="538">
        <f t="shared" si="11"/>
        <v>9034</v>
      </c>
      <c r="H82" s="538">
        <f t="shared" si="11"/>
        <v>38103</v>
      </c>
      <c r="I82" s="538">
        <f t="shared" si="11"/>
        <v>-7087</v>
      </c>
      <c r="J82" s="538">
        <f t="shared" si="11"/>
        <v>26895</v>
      </c>
      <c r="K82" s="538">
        <f t="shared" si="11"/>
        <v>873587</v>
      </c>
    </row>
    <row r="83" spans="1:12" ht="14.25" hidden="1" thickTop="1" thickBot="1" x14ac:dyDescent="0.25">
      <c r="A83" s="539" t="s">
        <v>361</v>
      </c>
      <c r="B83" s="464"/>
      <c r="C83" s="540">
        <f>C82/C81</f>
        <v>0.66585419583152716</v>
      </c>
      <c r="D83" s="540">
        <f t="shared" ref="D83:K83" si="12">D82/D81</f>
        <v>0.2881149364509244</v>
      </c>
      <c r="E83" s="540">
        <f t="shared" si="12"/>
        <v>0.66412639405204466</v>
      </c>
      <c r="F83" s="540">
        <f t="shared" si="12"/>
        <v>0.98656866665747345</v>
      </c>
      <c r="G83" s="540">
        <f t="shared" si="12"/>
        <v>5.6294320716858387E-2</v>
      </c>
      <c r="H83" s="540">
        <f t="shared" si="12"/>
        <v>0.39643960754528523</v>
      </c>
      <c r="I83" s="540">
        <f t="shared" si="12"/>
        <v>-8.0677660473069124E-3</v>
      </c>
      <c r="J83" s="540">
        <f t="shared" si="12"/>
        <v>0.28249566724436742</v>
      </c>
      <c r="K83" s="540">
        <f t="shared" si="12"/>
        <v>0.93999987087721715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1903</v>
      </c>
      <c r="B1" s="452"/>
      <c r="C1" s="453" t="s">
        <v>444</v>
      </c>
      <c r="D1" s="453" t="s">
        <v>445</v>
      </c>
      <c r="E1" s="453" t="s">
        <v>446</v>
      </c>
      <c r="F1" s="453" t="s">
        <v>447</v>
      </c>
      <c r="G1" s="453" t="s">
        <v>448</v>
      </c>
      <c r="H1" s="453" t="s">
        <v>449</v>
      </c>
      <c r="I1" s="453" t="s">
        <v>450</v>
      </c>
      <c r="J1" s="453" t="s">
        <v>451</v>
      </c>
      <c r="K1" s="453" t="s">
        <v>779</v>
      </c>
    </row>
    <row r="2" spans="1:12" ht="36" x14ac:dyDescent="0.2">
      <c r="A2" s="2144"/>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1758</v>
      </c>
      <c r="B5" s="547"/>
      <c r="C5" s="481">
        <v>1903899</v>
      </c>
      <c r="D5" s="481">
        <v>324522</v>
      </c>
      <c r="E5" s="466">
        <v>383664</v>
      </c>
      <c r="F5" s="548">
        <v>123635</v>
      </c>
      <c r="G5" s="466">
        <v>46619</v>
      </c>
      <c r="H5" s="466"/>
      <c r="I5" s="466">
        <v>30913</v>
      </c>
      <c r="J5" s="467">
        <v>235844</v>
      </c>
      <c r="K5" s="466">
        <v>30913</v>
      </c>
    </row>
    <row r="6" spans="1:12" ht="15" x14ac:dyDescent="0.2">
      <c r="A6" s="463" t="s">
        <v>1759</v>
      </c>
      <c r="B6" s="470">
        <v>1130</v>
      </c>
      <c r="C6" s="466">
        <v>19749</v>
      </c>
      <c r="D6" s="466"/>
      <c r="E6" s="475"/>
      <c r="F6" s="475"/>
      <c r="G6" s="468"/>
      <c r="H6" s="468"/>
      <c r="I6" s="468"/>
      <c r="J6" s="468"/>
      <c r="K6" s="468"/>
    </row>
    <row r="7" spans="1:12" x14ac:dyDescent="0.2">
      <c r="A7" s="463" t="s">
        <v>112</v>
      </c>
      <c r="B7" s="549">
        <v>1140</v>
      </c>
      <c r="C7" s="466">
        <v>24719</v>
      </c>
      <c r="D7" s="466"/>
      <c r="E7" s="468"/>
      <c r="F7" s="467"/>
      <c r="G7" s="467"/>
      <c r="H7" s="467"/>
      <c r="I7" s="468"/>
      <c r="J7" s="468"/>
      <c r="K7" s="468"/>
    </row>
    <row r="8" spans="1:12" x14ac:dyDescent="0.2">
      <c r="A8" s="463" t="s">
        <v>432</v>
      </c>
      <c r="B8" s="470">
        <v>1150</v>
      </c>
      <c r="C8" s="475"/>
      <c r="D8" s="475"/>
      <c r="E8" s="477"/>
      <c r="F8" s="477"/>
      <c r="G8" s="481">
        <v>34200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1948367</v>
      </c>
      <c r="D12" s="1729">
        <f t="shared" si="0"/>
        <v>324522</v>
      </c>
      <c r="E12" s="1729">
        <f t="shared" si="0"/>
        <v>383664</v>
      </c>
      <c r="F12" s="1729">
        <f t="shared" si="0"/>
        <v>123635</v>
      </c>
      <c r="G12" s="1729">
        <f t="shared" si="0"/>
        <v>80819</v>
      </c>
      <c r="H12" s="1729">
        <f t="shared" si="0"/>
        <v>0</v>
      </c>
      <c r="I12" s="1729">
        <f t="shared" si="0"/>
        <v>30913</v>
      </c>
      <c r="J12" s="1729">
        <f t="shared" si="0"/>
        <v>235844</v>
      </c>
      <c r="K12" s="1710">
        <f t="shared" si="0"/>
        <v>30913</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421</v>
      </c>
      <c r="D14" s="466">
        <v>5</v>
      </c>
      <c r="E14" s="466">
        <v>6</v>
      </c>
      <c r="F14" s="466">
        <v>2</v>
      </c>
      <c r="G14" s="466">
        <v>2</v>
      </c>
      <c r="H14" s="466"/>
      <c r="I14" s="466"/>
      <c r="J14" s="467">
        <v>3</v>
      </c>
      <c r="K14" s="466">
        <v>1</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68377</v>
      </c>
      <c r="D16" s="466"/>
      <c r="E16" s="466"/>
      <c r="F16" s="466"/>
      <c r="G16" s="466">
        <v>1513</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68798</v>
      </c>
      <c r="D18" s="1732">
        <f t="shared" ref="D18:K18" si="1">SUM(D14:D17)</f>
        <v>5</v>
      </c>
      <c r="E18" s="1732">
        <f t="shared" si="1"/>
        <v>6</v>
      </c>
      <c r="F18" s="1732">
        <f t="shared" si="1"/>
        <v>2</v>
      </c>
      <c r="G18" s="1732">
        <f t="shared" si="1"/>
        <v>1515</v>
      </c>
      <c r="H18" s="1732">
        <f t="shared" si="1"/>
        <v>0</v>
      </c>
      <c r="I18" s="1732">
        <f t="shared" si="1"/>
        <v>0</v>
      </c>
      <c r="J18" s="1732">
        <f t="shared" si="1"/>
        <v>3</v>
      </c>
      <c r="K18" s="1733">
        <f t="shared" si="1"/>
        <v>1</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4150</v>
      </c>
      <c r="D65" s="466"/>
      <c r="E65" s="466"/>
      <c r="F65" s="467"/>
      <c r="G65" s="466"/>
      <c r="H65" s="466"/>
      <c r="I65" s="466"/>
      <c r="J65" s="467"/>
      <c r="K65" s="466"/>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4150</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25288</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v>487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1507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568</v>
      </c>
      <c r="B75" s="1731"/>
      <c r="C75" s="1710">
        <f>SUM(C69:C74)</f>
        <v>27282</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14827</v>
      </c>
      <c r="D77" s="466"/>
      <c r="E77" s="468"/>
      <c r="F77" s="468"/>
      <c r="G77" s="468"/>
      <c r="H77" s="468"/>
      <c r="I77" s="468"/>
      <c r="J77" s="468"/>
      <c r="K77" s="468"/>
    </row>
    <row r="78" spans="1:11" ht="12.75" customHeight="1" x14ac:dyDescent="0.2">
      <c r="A78" s="463" t="s">
        <v>78</v>
      </c>
      <c r="B78" s="470">
        <v>1719</v>
      </c>
      <c r="C78" s="551">
        <v>2877</v>
      </c>
      <c r="D78" s="466"/>
      <c r="E78" s="468"/>
      <c r="F78" s="468"/>
      <c r="G78" s="468"/>
      <c r="H78" s="468"/>
      <c r="I78" s="468"/>
      <c r="J78" s="468"/>
      <c r="K78" s="468"/>
    </row>
    <row r="79" spans="1:11" ht="12.75" customHeight="1" x14ac:dyDescent="0.2">
      <c r="A79" s="463" t="s">
        <v>570</v>
      </c>
      <c r="B79" s="470">
        <v>1720</v>
      </c>
      <c r="C79" s="551">
        <v>11797</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29501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8227</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8227</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68528</v>
      </c>
      <c r="D98" s="466"/>
      <c r="E98" s="512"/>
      <c r="F98" s="466"/>
      <c r="G98" s="512"/>
      <c r="H98" s="512"/>
      <c r="I98" s="510"/>
      <c r="J98" s="512"/>
      <c r="K98" s="512"/>
    </row>
    <row r="99" spans="1:12" ht="12.75" customHeight="1" x14ac:dyDescent="0.2">
      <c r="A99" s="463" t="s">
        <v>874</v>
      </c>
      <c r="B99" s="470">
        <v>1950</v>
      </c>
      <c r="C99" s="489">
        <v>25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2430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v>97538</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29899</v>
      </c>
      <c r="D107" s="466">
        <v>10725</v>
      </c>
      <c r="E107" s="466">
        <v>2818</v>
      </c>
      <c r="F107" s="466">
        <v>653</v>
      </c>
      <c r="G107" s="466"/>
      <c r="H107" s="466"/>
      <c r="I107" s="466"/>
      <c r="J107" s="467">
        <v>495</v>
      </c>
      <c r="K107" s="466"/>
    </row>
    <row r="108" spans="1:12" ht="12.75" customHeight="1" thickBot="1" x14ac:dyDescent="0.25">
      <c r="A108" s="1730" t="s">
        <v>507</v>
      </c>
      <c r="B108" s="1734"/>
      <c r="C108" s="1729">
        <f>SUM(C95:C107)</f>
        <v>100882</v>
      </c>
      <c r="D108" s="1729">
        <f t="shared" ref="D108:K108" si="3">SUM(D95:D107)</f>
        <v>10725</v>
      </c>
      <c r="E108" s="1729">
        <f t="shared" si="3"/>
        <v>2818</v>
      </c>
      <c r="F108" s="1729">
        <f t="shared" si="3"/>
        <v>653</v>
      </c>
      <c r="G108" s="1729">
        <f t="shared" si="3"/>
        <v>0</v>
      </c>
      <c r="H108" s="1729">
        <f t="shared" si="3"/>
        <v>97538</v>
      </c>
      <c r="I108" s="1729">
        <f t="shared" si="3"/>
        <v>0</v>
      </c>
      <c r="J108" s="1729">
        <f t="shared" si="3"/>
        <v>495</v>
      </c>
      <c r="K108" s="1710">
        <f t="shared" si="3"/>
        <v>0</v>
      </c>
    </row>
    <row r="109" spans="1:12" ht="14.25" thickTop="1" thickBot="1" x14ac:dyDescent="0.25">
      <c r="A109" s="1735" t="s">
        <v>266</v>
      </c>
      <c r="B109" s="1736" t="s">
        <v>590</v>
      </c>
      <c r="C109" s="1737">
        <f t="shared" ref="C109:K109" si="4">SUM(C12,C18,C40,C63,C67,C75,C82,C93,C108,)</f>
        <v>2187207</v>
      </c>
      <c r="D109" s="1737">
        <f t="shared" si="4"/>
        <v>335252</v>
      </c>
      <c r="E109" s="1737">
        <f t="shared" si="4"/>
        <v>386488</v>
      </c>
      <c r="F109" s="1737">
        <f t="shared" si="4"/>
        <v>124290</v>
      </c>
      <c r="G109" s="1737">
        <f t="shared" si="4"/>
        <v>82334</v>
      </c>
      <c r="H109" s="1737">
        <f t="shared" si="4"/>
        <v>97538</v>
      </c>
      <c r="I109" s="1737">
        <f t="shared" si="4"/>
        <v>30913</v>
      </c>
      <c r="J109" s="1737">
        <f t="shared" si="4"/>
        <v>236342</v>
      </c>
      <c r="K109" s="1724">
        <f t="shared" si="4"/>
        <v>30914</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100552</v>
      </c>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100552</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1764</v>
      </c>
      <c r="B117" s="562">
        <v>3001</v>
      </c>
      <c r="C117" s="516">
        <v>404503</v>
      </c>
      <c r="D117" s="481"/>
      <c r="E117" s="466"/>
      <c r="F117" s="481"/>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404503</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c r="D124" s="561"/>
      <c r="E124" s="468"/>
      <c r="F124" s="548"/>
      <c r="G124" s="468"/>
      <c r="H124" s="468"/>
      <c r="I124" s="468"/>
      <c r="J124" s="468"/>
      <c r="K124" s="468"/>
    </row>
    <row r="125" spans="1:11" ht="12.75" customHeight="1" x14ac:dyDescent="0.2">
      <c r="A125" s="463" t="s">
        <v>1520</v>
      </c>
      <c r="B125" s="562">
        <v>3105</v>
      </c>
      <c r="C125" s="466">
        <v>20653</v>
      </c>
      <c r="D125" s="561"/>
      <c r="E125" s="468"/>
      <c r="F125" s="466"/>
      <c r="G125" s="468"/>
      <c r="H125" s="468"/>
      <c r="I125" s="468"/>
      <c r="J125" s="468"/>
      <c r="K125" s="468"/>
    </row>
    <row r="126" spans="1:11" ht="12.75" customHeight="1" x14ac:dyDescent="0.2">
      <c r="A126" s="463" t="s">
        <v>921</v>
      </c>
      <c r="B126" s="562">
        <v>3110</v>
      </c>
      <c r="C126" s="551">
        <v>3705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24358</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v>9989</v>
      </c>
      <c r="D139" s="466"/>
      <c r="E139" s="561"/>
      <c r="F139" s="477"/>
      <c r="G139" s="467"/>
      <c r="H139" s="468"/>
      <c r="I139" s="468"/>
      <c r="J139" s="468"/>
      <c r="K139" s="468"/>
    </row>
    <row r="140" spans="1:11" ht="12.75" customHeight="1" thickBot="1" x14ac:dyDescent="0.25">
      <c r="A140" s="1730" t="s">
        <v>623</v>
      </c>
      <c r="B140" s="1742"/>
      <c r="C140" s="1729">
        <f>SUM(C133:C139)</f>
        <v>9989</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862</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5687</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38809</v>
      </c>
      <c r="G151" s="467"/>
      <c r="H151" s="468"/>
      <c r="I151" s="468"/>
      <c r="J151" s="468"/>
      <c r="K151" s="468"/>
    </row>
    <row r="152" spans="1:11" ht="12.75" customHeight="1" x14ac:dyDescent="0.2">
      <c r="A152" s="463" t="s">
        <v>1116</v>
      </c>
      <c r="B152" s="562">
        <v>3510</v>
      </c>
      <c r="C152" s="551"/>
      <c r="D152" s="466"/>
      <c r="E152" s="561"/>
      <c r="F152" s="466">
        <v>127515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166324</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106776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3" t="s">
        <v>417</v>
      </c>
      <c r="B172" s="2164"/>
      <c r="C172" s="1744">
        <f t="shared" ref="C172:K172" si="6">SUM(C131,C140,C144,C145:C149,C154,C155:C170,C171)</f>
        <v>149172</v>
      </c>
      <c r="D172" s="1744">
        <f t="shared" si="6"/>
        <v>0</v>
      </c>
      <c r="E172" s="1744">
        <f t="shared" si="6"/>
        <v>0</v>
      </c>
      <c r="F172" s="1744">
        <f t="shared" si="6"/>
        <v>166324</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553675</v>
      </c>
      <c r="D173" s="1737">
        <f>SUM(D121,D172)</f>
        <v>0</v>
      </c>
      <c r="E173" s="1737">
        <f>SUM(E121,E172)</f>
        <v>0</v>
      </c>
      <c r="F173" s="1737">
        <f t="shared" ref="F173:K173" si="7">SUM(F121,F172)</f>
        <v>166324</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5" t="s">
        <v>1571</v>
      </c>
      <c r="B175" s="2166"/>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9" t="s">
        <v>1762</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1761</v>
      </c>
      <c r="B179" s="2174"/>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1" t="s">
        <v>817</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1904</v>
      </c>
      <c r="B185" s="2168"/>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v>19494</v>
      </c>
      <c r="D189" s="466"/>
      <c r="E189" s="561"/>
      <c r="F189" s="466"/>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30" t="s">
        <v>1695</v>
      </c>
      <c r="B191" s="1731"/>
      <c r="C191" s="1729">
        <f>SUM(C187:C190)</f>
        <v>19494</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46948</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16197</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63145</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67385</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67385</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7508</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7508</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v>6182</v>
      </c>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15376</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c r="D270" s="576"/>
      <c r="E270" s="468"/>
      <c r="F270" s="576"/>
      <c r="G270" s="576"/>
      <c r="H270" s="468"/>
      <c r="I270" s="468"/>
      <c r="J270" s="468"/>
      <c r="K270" s="468"/>
    </row>
    <row r="271" spans="1:11" ht="12.75" customHeight="1" thickTop="1" thickBot="1" x14ac:dyDescent="0.25">
      <c r="A271" s="463" t="s">
        <v>394</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1763</v>
      </c>
      <c r="B273" s="1749"/>
      <c r="C273" s="1737">
        <f t="shared" ref="C273:H273" si="10">SUM(C191,C201,C211,C216,C224,C228,C229,C259:C272)</f>
        <v>179090</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179090</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3020524</v>
      </c>
      <c r="D275" s="1737">
        <f t="shared" si="12"/>
        <v>335252</v>
      </c>
      <c r="E275" s="1737">
        <f t="shared" si="12"/>
        <v>386488</v>
      </c>
      <c r="F275" s="1737">
        <f t="shared" si="12"/>
        <v>290614</v>
      </c>
      <c r="G275" s="1737">
        <f t="shared" si="12"/>
        <v>82334</v>
      </c>
      <c r="H275" s="1737">
        <f t="shared" si="12"/>
        <v>97538</v>
      </c>
      <c r="I275" s="1737">
        <f t="shared" si="12"/>
        <v>30913</v>
      </c>
      <c r="J275" s="1737">
        <f t="shared" si="12"/>
        <v>236342</v>
      </c>
      <c r="K275" s="1724">
        <f t="shared" si="12"/>
        <v>30914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sqref="A1:A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1903</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1" t="s">
        <v>314</v>
      </c>
      <c r="B3" s="2182"/>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948833</v>
      </c>
      <c r="D5" s="466">
        <v>243927</v>
      </c>
      <c r="E5" s="466">
        <v>53267</v>
      </c>
      <c r="F5" s="466">
        <v>43303</v>
      </c>
      <c r="G5" s="466">
        <v>4257</v>
      </c>
      <c r="H5" s="466">
        <v>25120</v>
      </c>
      <c r="I5" s="467"/>
      <c r="J5" s="467"/>
      <c r="K5" s="1693">
        <f>SUM(C5:J5)</f>
        <v>1318707</v>
      </c>
      <c r="L5" s="466">
        <v>1548000</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v>48808</v>
      </c>
      <c r="D7" s="467">
        <v>16519</v>
      </c>
      <c r="E7" s="467">
        <v>4640</v>
      </c>
      <c r="F7" s="467">
        <v>14478</v>
      </c>
      <c r="G7" s="467"/>
      <c r="H7" s="467">
        <v>7744</v>
      </c>
      <c r="I7" s="467"/>
      <c r="J7" s="467"/>
      <c r="K7" s="1693">
        <f t="shared" ref="K7:K32" si="0">SUM(C7:J7)</f>
        <v>92189</v>
      </c>
      <c r="L7" s="466">
        <v>75938</v>
      </c>
    </row>
    <row r="8" spans="1:14" x14ac:dyDescent="0.2">
      <c r="A8" s="1526" t="s">
        <v>166</v>
      </c>
      <c r="B8" s="615">
        <v>1200</v>
      </c>
      <c r="C8" s="466">
        <v>7500</v>
      </c>
      <c r="D8" s="466"/>
      <c r="E8" s="466">
        <v>2937</v>
      </c>
      <c r="F8" s="466">
        <v>1408</v>
      </c>
      <c r="G8" s="466"/>
      <c r="H8" s="466"/>
      <c r="I8" s="467"/>
      <c r="J8" s="467"/>
      <c r="K8" s="1693">
        <f t="shared" si="0"/>
        <v>11845</v>
      </c>
      <c r="L8" s="466">
        <v>25000</v>
      </c>
    </row>
    <row r="9" spans="1:14" x14ac:dyDescent="0.2">
      <c r="A9" s="1526" t="s">
        <v>744</v>
      </c>
      <c r="B9" s="615" t="s">
        <v>1024</v>
      </c>
      <c r="C9" s="467"/>
      <c r="D9" s="467"/>
      <c r="E9" s="467"/>
      <c r="F9" s="467"/>
      <c r="G9" s="467"/>
      <c r="H9" s="467"/>
      <c r="I9" s="467"/>
      <c r="J9" s="467"/>
      <c r="K9" s="1693">
        <f t="shared" si="0"/>
        <v>0</v>
      </c>
      <c r="L9" s="466"/>
    </row>
    <row r="10" spans="1:14" x14ac:dyDescent="0.2">
      <c r="A10" s="1526" t="s">
        <v>745</v>
      </c>
      <c r="B10" s="615">
        <v>1250</v>
      </c>
      <c r="C10" s="466">
        <v>44500</v>
      </c>
      <c r="D10" s="466">
        <v>7100</v>
      </c>
      <c r="E10" s="466">
        <v>11823</v>
      </c>
      <c r="F10" s="466">
        <v>34222</v>
      </c>
      <c r="G10" s="466"/>
      <c r="H10" s="466"/>
      <c r="I10" s="467"/>
      <c r="J10" s="467"/>
      <c r="K10" s="1693">
        <f t="shared" si="0"/>
        <v>97645</v>
      </c>
      <c r="L10" s="466">
        <v>49886</v>
      </c>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v>82402</v>
      </c>
      <c r="D13" s="466">
        <v>19106</v>
      </c>
      <c r="E13" s="466">
        <v>2007</v>
      </c>
      <c r="F13" s="466">
        <v>14264</v>
      </c>
      <c r="G13" s="466"/>
      <c r="H13" s="466"/>
      <c r="I13" s="467"/>
      <c r="J13" s="467"/>
      <c r="K13" s="1693">
        <f t="shared" si="0"/>
        <v>117779</v>
      </c>
      <c r="L13" s="466">
        <v>115809</v>
      </c>
    </row>
    <row r="14" spans="1:14" x14ac:dyDescent="0.2">
      <c r="A14" s="1526" t="s">
        <v>1019</v>
      </c>
      <c r="B14" s="615">
        <v>1500</v>
      </c>
      <c r="C14" s="466">
        <v>129059</v>
      </c>
      <c r="D14" s="466">
        <v>28356</v>
      </c>
      <c r="E14" s="466">
        <v>15596</v>
      </c>
      <c r="F14" s="466">
        <v>12576</v>
      </c>
      <c r="G14" s="466"/>
      <c r="H14" s="466"/>
      <c r="I14" s="467"/>
      <c r="J14" s="467"/>
      <c r="K14" s="1693">
        <f t="shared" si="0"/>
        <v>185587</v>
      </c>
      <c r="L14" s="466">
        <v>174500</v>
      </c>
    </row>
    <row r="15" spans="1:14" x14ac:dyDescent="0.2">
      <c r="A15" s="1526" t="s">
        <v>1020</v>
      </c>
      <c r="B15" s="615">
        <v>1600</v>
      </c>
      <c r="C15" s="466"/>
      <c r="D15" s="466"/>
      <c r="E15" s="466"/>
      <c r="F15" s="466"/>
      <c r="G15" s="466"/>
      <c r="H15" s="466"/>
      <c r="I15" s="467"/>
      <c r="J15" s="467"/>
      <c r="K15" s="1693">
        <f t="shared" si="0"/>
        <v>0</v>
      </c>
      <c r="L15" s="466"/>
    </row>
    <row r="16" spans="1:14" x14ac:dyDescent="0.2">
      <c r="A16" s="1526" t="s">
        <v>1043</v>
      </c>
      <c r="B16" s="615" t="s">
        <v>443</v>
      </c>
      <c r="C16" s="466"/>
      <c r="D16" s="466"/>
      <c r="E16" s="466"/>
      <c r="F16" s="466"/>
      <c r="G16" s="466"/>
      <c r="H16" s="466"/>
      <c r="I16" s="467"/>
      <c r="J16" s="467"/>
      <c r="K16" s="1693">
        <f t="shared" si="0"/>
        <v>0</v>
      </c>
      <c r="L16" s="466"/>
    </row>
    <row r="17" spans="1:12" x14ac:dyDescent="0.2">
      <c r="A17" s="1526" t="s">
        <v>747</v>
      </c>
      <c r="B17" s="615" t="s">
        <v>164</v>
      </c>
      <c r="C17" s="467"/>
      <c r="D17" s="467"/>
      <c r="E17" s="467"/>
      <c r="F17" s="467"/>
      <c r="G17" s="467"/>
      <c r="H17" s="467"/>
      <c r="I17" s="467"/>
      <c r="J17" s="467"/>
      <c r="K17" s="1693">
        <f t="shared" si="0"/>
        <v>0</v>
      </c>
      <c r="L17" s="466"/>
    </row>
    <row r="18" spans="1:12" x14ac:dyDescent="0.2">
      <c r="A18" s="1526" t="s">
        <v>1147</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c r="I22" s="617"/>
      <c r="J22" s="477"/>
      <c r="K22" s="1693">
        <f t="shared" si="0"/>
        <v>0</v>
      </c>
      <c r="L22" s="471"/>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1765</v>
      </c>
      <c r="B33" s="1691" t="s">
        <v>590</v>
      </c>
      <c r="C33" s="1692">
        <f>SUM(C5:C32)</f>
        <v>1261102</v>
      </c>
      <c r="D33" s="1692">
        <f t="shared" ref="D33:L33" si="1">SUM(D5:D32)</f>
        <v>315008</v>
      </c>
      <c r="E33" s="1692">
        <f t="shared" si="1"/>
        <v>90270</v>
      </c>
      <c r="F33" s="1692">
        <f t="shared" si="1"/>
        <v>120251</v>
      </c>
      <c r="G33" s="1692">
        <f t="shared" si="1"/>
        <v>4257</v>
      </c>
      <c r="H33" s="1692">
        <f t="shared" si="1"/>
        <v>32864</v>
      </c>
      <c r="I33" s="1692">
        <f t="shared" si="1"/>
        <v>0</v>
      </c>
      <c r="J33" s="1692">
        <f t="shared" si="1"/>
        <v>0</v>
      </c>
      <c r="K33" s="1692">
        <f t="shared" si="1"/>
        <v>1823752</v>
      </c>
      <c r="L33" s="1692">
        <f t="shared" si="1"/>
        <v>1989133</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c r="D36" s="481"/>
      <c r="E36" s="481"/>
      <c r="F36" s="481"/>
      <c r="G36" s="481"/>
      <c r="H36" s="481"/>
      <c r="I36" s="467"/>
      <c r="J36" s="467"/>
      <c r="K36" s="1693">
        <f t="shared" ref="K36:K41" si="2">SUM(C36:J36)</f>
        <v>0</v>
      </c>
      <c r="L36" s="466"/>
    </row>
    <row r="37" spans="1:14" x14ac:dyDescent="0.2">
      <c r="A37" s="1526" t="s">
        <v>1150</v>
      </c>
      <c r="B37" s="615">
        <v>2120</v>
      </c>
      <c r="C37" s="466">
        <v>49000</v>
      </c>
      <c r="D37" s="466">
        <v>540</v>
      </c>
      <c r="E37" s="466">
        <v>317</v>
      </c>
      <c r="F37" s="466">
        <v>122</v>
      </c>
      <c r="G37" s="466"/>
      <c r="H37" s="466"/>
      <c r="I37" s="467"/>
      <c r="J37" s="467"/>
      <c r="K37" s="1693">
        <f t="shared" si="2"/>
        <v>49979</v>
      </c>
      <c r="L37" s="466">
        <v>51000</v>
      </c>
    </row>
    <row r="38" spans="1:14" x14ac:dyDescent="0.2">
      <c r="A38" s="1526" t="s">
        <v>207</v>
      </c>
      <c r="B38" s="615">
        <v>2130</v>
      </c>
      <c r="C38" s="466">
        <v>5940</v>
      </c>
      <c r="D38" s="466"/>
      <c r="E38" s="466">
        <v>238</v>
      </c>
      <c r="F38" s="466">
        <v>593</v>
      </c>
      <c r="G38" s="466"/>
      <c r="H38" s="466"/>
      <c r="I38" s="467"/>
      <c r="J38" s="467"/>
      <c r="K38" s="1693">
        <f t="shared" si="2"/>
        <v>6771</v>
      </c>
      <c r="L38" s="466">
        <v>7480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1766</v>
      </c>
      <c r="B41" s="615">
        <v>2190</v>
      </c>
      <c r="C41" s="466"/>
      <c r="D41" s="466"/>
      <c r="E41" s="466"/>
      <c r="F41" s="466"/>
      <c r="G41" s="466"/>
      <c r="H41" s="466"/>
      <c r="I41" s="467"/>
      <c r="J41" s="467"/>
      <c r="K41" s="1693">
        <f t="shared" si="2"/>
        <v>0</v>
      </c>
      <c r="L41" s="466"/>
    </row>
    <row r="42" spans="1:14" ht="12.75" customHeight="1" thickBot="1" x14ac:dyDescent="0.25">
      <c r="A42" s="1690" t="s">
        <v>580</v>
      </c>
      <c r="B42" s="1691" t="s">
        <v>739</v>
      </c>
      <c r="C42" s="1692">
        <f>SUM(C36:C41)</f>
        <v>54940</v>
      </c>
      <c r="D42" s="1692">
        <f t="shared" ref="D42:L42" si="3">SUM(D36:D41)</f>
        <v>540</v>
      </c>
      <c r="E42" s="1692">
        <f t="shared" si="3"/>
        <v>555</v>
      </c>
      <c r="F42" s="1692">
        <f t="shared" si="3"/>
        <v>715</v>
      </c>
      <c r="G42" s="1692">
        <f t="shared" si="3"/>
        <v>0</v>
      </c>
      <c r="H42" s="1692">
        <f t="shared" si="3"/>
        <v>0</v>
      </c>
      <c r="I42" s="1692">
        <f t="shared" si="3"/>
        <v>0</v>
      </c>
      <c r="J42" s="1692">
        <f t="shared" si="3"/>
        <v>0</v>
      </c>
      <c r="K42" s="1692">
        <f t="shared" si="3"/>
        <v>56750</v>
      </c>
      <c r="L42" s="1692">
        <f t="shared" si="3"/>
        <v>58480</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c r="D44" s="481"/>
      <c r="E44" s="481"/>
      <c r="F44" s="481"/>
      <c r="G44" s="481"/>
      <c r="H44" s="481"/>
      <c r="I44" s="467"/>
      <c r="J44" s="467"/>
      <c r="K44" s="1694">
        <f>SUM(C44:J44)</f>
        <v>0</v>
      </c>
      <c r="L44" s="481"/>
    </row>
    <row r="45" spans="1:14" x14ac:dyDescent="0.2">
      <c r="A45" s="1526" t="s">
        <v>868</v>
      </c>
      <c r="B45" s="615">
        <v>2220</v>
      </c>
      <c r="C45" s="466">
        <v>47976</v>
      </c>
      <c r="D45" s="466">
        <v>12938</v>
      </c>
      <c r="E45" s="466">
        <v>1798</v>
      </c>
      <c r="F45" s="466">
        <v>1278</v>
      </c>
      <c r="G45" s="466"/>
      <c r="H45" s="466"/>
      <c r="I45" s="467"/>
      <c r="J45" s="467"/>
      <c r="K45" s="1694">
        <f>SUM(C45:J45)</f>
        <v>63990</v>
      </c>
      <c r="L45" s="466">
        <v>65300</v>
      </c>
    </row>
    <row r="46" spans="1:14" x14ac:dyDescent="0.2">
      <c r="A46" s="1526" t="s">
        <v>869</v>
      </c>
      <c r="B46" s="615">
        <v>2230</v>
      </c>
      <c r="C46" s="466"/>
      <c r="D46" s="466"/>
      <c r="E46" s="466"/>
      <c r="F46" s="466"/>
      <c r="G46" s="466"/>
      <c r="H46" s="466"/>
      <c r="I46" s="467"/>
      <c r="J46" s="467"/>
      <c r="K46" s="1694">
        <f>SUM(C46:J46)</f>
        <v>0</v>
      </c>
      <c r="L46" s="466"/>
    </row>
    <row r="47" spans="1:14" ht="12.75" customHeight="1" thickBot="1" x14ac:dyDescent="0.25">
      <c r="A47" s="1690" t="s">
        <v>581</v>
      </c>
      <c r="B47" s="1691" t="s">
        <v>32</v>
      </c>
      <c r="C47" s="1692">
        <f>SUM(C44:C46)</f>
        <v>47976</v>
      </c>
      <c r="D47" s="1692">
        <f t="shared" ref="D47:K47" si="4">SUM(D44:D46)</f>
        <v>12938</v>
      </c>
      <c r="E47" s="1692">
        <f t="shared" si="4"/>
        <v>1798</v>
      </c>
      <c r="F47" s="1692">
        <f t="shared" si="4"/>
        <v>1278</v>
      </c>
      <c r="G47" s="1692">
        <f t="shared" si="4"/>
        <v>0</v>
      </c>
      <c r="H47" s="1692">
        <f t="shared" si="4"/>
        <v>0</v>
      </c>
      <c r="I47" s="1692">
        <f t="shared" si="4"/>
        <v>0</v>
      </c>
      <c r="J47" s="1692">
        <f t="shared" si="4"/>
        <v>0</v>
      </c>
      <c r="K47" s="1692">
        <f t="shared" si="4"/>
        <v>63990</v>
      </c>
      <c r="L47" s="1692">
        <f>SUM(L44:L46)</f>
        <v>65300</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c r="E49" s="481">
        <v>14907</v>
      </c>
      <c r="F49" s="481">
        <v>1688</v>
      </c>
      <c r="G49" s="481"/>
      <c r="H49" s="481"/>
      <c r="I49" s="467"/>
      <c r="J49" s="467"/>
      <c r="K49" s="1694">
        <f>SUM(C49:J49)</f>
        <v>16595</v>
      </c>
      <c r="L49" s="481">
        <v>20000</v>
      </c>
    </row>
    <row r="50" spans="1:14" x14ac:dyDescent="0.2">
      <c r="A50" s="1526" t="s">
        <v>871</v>
      </c>
      <c r="B50" s="615">
        <v>2320</v>
      </c>
      <c r="C50" s="466">
        <v>105443</v>
      </c>
      <c r="D50" s="466">
        <v>21469</v>
      </c>
      <c r="E50" s="466">
        <v>5012</v>
      </c>
      <c r="F50" s="466">
        <v>3089</v>
      </c>
      <c r="G50" s="466"/>
      <c r="H50" s="466"/>
      <c r="I50" s="467"/>
      <c r="J50" s="467"/>
      <c r="K50" s="1694">
        <f>SUM(C50:J50)</f>
        <v>135013</v>
      </c>
      <c r="L50" s="466">
        <v>134000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105443</v>
      </c>
      <c r="D53" s="1692">
        <f t="shared" ref="D53:L53" si="5">SUM(D49:D52)</f>
        <v>21469</v>
      </c>
      <c r="E53" s="1692">
        <f t="shared" si="5"/>
        <v>19919</v>
      </c>
      <c r="F53" s="1692">
        <f t="shared" si="5"/>
        <v>4777</v>
      </c>
      <c r="G53" s="1692">
        <f t="shared" si="5"/>
        <v>0</v>
      </c>
      <c r="H53" s="1692">
        <f t="shared" si="5"/>
        <v>0</v>
      </c>
      <c r="I53" s="1692">
        <f t="shared" si="5"/>
        <v>0</v>
      </c>
      <c r="J53" s="1692">
        <f t="shared" si="5"/>
        <v>0</v>
      </c>
      <c r="K53" s="1692">
        <f t="shared" si="5"/>
        <v>151608</v>
      </c>
      <c r="L53" s="1692">
        <f t="shared" si="5"/>
        <v>154000</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241881</v>
      </c>
      <c r="D55" s="481">
        <v>43121</v>
      </c>
      <c r="E55" s="481">
        <v>3746</v>
      </c>
      <c r="F55" s="481"/>
      <c r="G55" s="481"/>
      <c r="H55" s="481"/>
      <c r="I55" s="467"/>
      <c r="J55" s="467"/>
      <c r="K55" s="1694">
        <f>SUM(C55:J55)</f>
        <v>288748</v>
      </c>
      <c r="L55" s="481">
        <v>213000</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241881</v>
      </c>
      <c r="D57" s="1696">
        <f t="shared" ref="D57:K57" si="6">SUM(D55:D56)</f>
        <v>43121</v>
      </c>
      <c r="E57" s="1696">
        <f t="shared" si="6"/>
        <v>3746</v>
      </c>
      <c r="F57" s="1696">
        <f t="shared" si="6"/>
        <v>0</v>
      </c>
      <c r="G57" s="1696">
        <f t="shared" si="6"/>
        <v>0</v>
      </c>
      <c r="H57" s="1696">
        <f t="shared" si="6"/>
        <v>0</v>
      </c>
      <c r="I57" s="1696">
        <f t="shared" si="6"/>
        <v>0</v>
      </c>
      <c r="J57" s="1696">
        <f t="shared" si="6"/>
        <v>0</v>
      </c>
      <c r="K57" s="1696">
        <f t="shared" si="6"/>
        <v>288748</v>
      </c>
      <c r="L57" s="1692">
        <f>SUM(L55:L56)</f>
        <v>213000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482</v>
      </c>
      <c r="B60" s="615">
        <v>2520</v>
      </c>
      <c r="C60" s="466">
        <v>51337</v>
      </c>
      <c r="D60" s="466">
        <v>6480</v>
      </c>
      <c r="E60" s="466">
        <v>20851</v>
      </c>
      <c r="F60" s="466">
        <v>678</v>
      </c>
      <c r="G60" s="466"/>
      <c r="H60" s="466"/>
      <c r="I60" s="467"/>
      <c r="J60" s="467"/>
      <c r="K60" s="1694">
        <f t="shared" si="7"/>
        <v>79346</v>
      </c>
      <c r="L60" s="466">
        <v>83980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1009</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v>92676</v>
      </c>
      <c r="F63" s="466">
        <v>1048</v>
      </c>
      <c r="G63" s="466"/>
      <c r="H63" s="466"/>
      <c r="I63" s="467"/>
      <c r="J63" s="467"/>
      <c r="K63" s="1694">
        <f t="shared" si="7"/>
        <v>93724</v>
      </c>
      <c r="L63" s="466">
        <v>100000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51337</v>
      </c>
      <c r="D65" s="1692">
        <f t="shared" ref="D65:L65" si="8">SUM(D59:D64)</f>
        <v>6480</v>
      </c>
      <c r="E65" s="1692">
        <f t="shared" si="8"/>
        <v>113527</v>
      </c>
      <c r="F65" s="1692">
        <f t="shared" si="8"/>
        <v>1726</v>
      </c>
      <c r="G65" s="1692">
        <f t="shared" si="8"/>
        <v>0</v>
      </c>
      <c r="H65" s="1692">
        <f t="shared" si="8"/>
        <v>0</v>
      </c>
      <c r="I65" s="1692">
        <f t="shared" si="8"/>
        <v>0</v>
      </c>
      <c r="J65" s="1692">
        <f t="shared" si="8"/>
        <v>0</v>
      </c>
      <c r="K65" s="1692">
        <f t="shared" si="8"/>
        <v>173070</v>
      </c>
      <c r="L65" s="1692">
        <f t="shared" si="8"/>
        <v>183980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c r="D69" s="466"/>
      <c r="E69" s="466"/>
      <c r="F69" s="466"/>
      <c r="G69" s="466"/>
      <c r="H69" s="466"/>
      <c r="I69" s="467"/>
      <c r="J69" s="467"/>
      <c r="K69" s="1694">
        <f>SUM(C69:J69)</f>
        <v>0</v>
      </c>
      <c r="L69" s="466"/>
      <c r="M69" s="610"/>
      <c r="N69" s="610"/>
    </row>
    <row r="70" spans="1:14" s="343" customFormat="1" x14ac:dyDescent="0.2">
      <c r="A70" s="1526" t="s">
        <v>422</v>
      </c>
      <c r="B70" s="615">
        <v>2640</v>
      </c>
      <c r="C70" s="466"/>
      <c r="D70" s="466"/>
      <c r="E70" s="466"/>
      <c r="F70" s="466"/>
      <c r="G70" s="466"/>
      <c r="H70" s="466"/>
      <c r="I70" s="467"/>
      <c r="J70" s="467"/>
      <c r="K70" s="1694">
        <f>SUM(C70:J70)</f>
        <v>0</v>
      </c>
      <c r="L70" s="466"/>
      <c r="M70" s="610"/>
      <c r="N70" s="610"/>
    </row>
    <row r="71" spans="1:14" s="343" customFormat="1" x14ac:dyDescent="0.2">
      <c r="A71" s="1526" t="s">
        <v>423</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1036</v>
      </c>
      <c r="B73" s="633" t="s">
        <v>594</v>
      </c>
      <c r="C73" s="573"/>
      <c r="D73" s="573"/>
      <c r="E73" s="573"/>
      <c r="F73" s="573"/>
      <c r="G73" s="573"/>
      <c r="H73" s="573"/>
      <c r="I73" s="531"/>
      <c r="J73" s="531"/>
      <c r="K73" s="1692">
        <f>SUM(C73:J73)</f>
        <v>0</v>
      </c>
      <c r="L73" s="576"/>
      <c r="M73" s="610"/>
      <c r="N73" s="610"/>
    </row>
    <row r="74" spans="1:14" ht="12.75" customHeight="1" thickTop="1" thickBot="1" x14ac:dyDescent="0.25">
      <c r="A74" s="1690" t="s">
        <v>864</v>
      </c>
      <c r="B74" s="1698">
        <v>2000</v>
      </c>
      <c r="C74" s="1699">
        <f>SUM(C42,C47,C53,C57,C65,C72,C73)</f>
        <v>501577</v>
      </c>
      <c r="D74" s="1699">
        <f t="shared" ref="D74:K74" si="10">SUM(D42,D47,D53,D57,D65,D72,D73)</f>
        <v>84548</v>
      </c>
      <c r="E74" s="1699">
        <f t="shared" si="10"/>
        <v>139545</v>
      </c>
      <c r="F74" s="1699">
        <f t="shared" si="10"/>
        <v>8496</v>
      </c>
      <c r="G74" s="1699">
        <f t="shared" si="10"/>
        <v>0</v>
      </c>
      <c r="H74" s="1699">
        <f t="shared" si="10"/>
        <v>0</v>
      </c>
      <c r="I74" s="1699">
        <f t="shared" si="10"/>
        <v>0</v>
      </c>
      <c r="J74" s="1699">
        <f t="shared" si="10"/>
        <v>0</v>
      </c>
      <c r="K74" s="1699">
        <f t="shared" si="10"/>
        <v>734166</v>
      </c>
      <c r="L74" s="1699">
        <f>SUM(L42,L47,L53,L57,L65,L72,L73)</f>
        <v>674760</v>
      </c>
    </row>
    <row r="75" spans="1:14" s="259" customFormat="1" ht="15.75" customHeight="1" thickTop="1" thickBot="1" x14ac:dyDescent="0.25">
      <c r="A75" s="1632" t="s">
        <v>49</v>
      </c>
      <c r="B75" s="1633" t="s">
        <v>595</v>
      </c>
      <c r="C75" s="573"/>
      <c r="D75" s="573"/>
      <c r="E75" s="573"/>
      <c r="F75" s="573"/>
      <c r="G75" s="573"/>
      <c r="H75" s="573"/>
      <c r="I75" s="531"/>
      <c r="J75" s="531"/>
      <c r="K75" s="1692">
        <f>SUM(C75:J75)</f>
        <v>0</v>
      </c>
      <c r="L75" s="576"/>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30764</v>
      </c>
      <c r="F78" s="617"/>
      <c r="G78" s="617"/>
      <c r="H78" s="635"/>
      <c r="I78" s="477"/>
      <c r="J78" s="477"/>
      <c r="K78" s="1693">
        <f t="shared" ref="K78:K83" si="11">SUM(C78:J78)</f>
        <v>30764</v>
      </c>
      <c r="L78" s="481">
        <v>30400</v>
      </c>
    </row>
    <row r="79" spans="1:14" x14ac:dyDescent="0.2">
      <c r="A79" s="1526" t="s">
        <v>321</v>
      </c>
      <c r="B79" s="615">
        <v>4120</v>
      </c>
      <c r="C79" s="617"/>
      <c r="D79" s="617"/>
      <c r="E79" s="466">
        <v>57038</v>
      </c>
      <c r="F79" s="617"/>
      <c r="G79" s="617"/>
      <c r="H79" s="466"/>
      <c r="I79" s="477"/>
      <c r="J79" s="477"/>
      <c r="K79" s="1693">
        <f t="shared" si="11"/>
        <v>57038</v>
      </c>
      <c r="L79" s="466">
        <v>93500</v>
      </c>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87802</v>
      </c>
      <c r="F84" s="617"/>
      <c r="G84" s="617"/>
      <c r="H84" s="1692">
        <f>SUM(H78:H83)</f>
        <v>0</v>
      </c>
      <c r="I84" s="477"/>
      <c r="J84" s="477"/>
      <c r="K84" s="1692">
        <f>SUM(K78:K83)</f>
        <v>87802</v>
      </c>
      <c r="L84" s="1692">
        <f>SUM(L78:L83)</f>
        <v>123900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c r="I86" s="477"/>
      <c r="J86" s="477"/>
      <c r="K86" s="1699">
        <f t="shared" ref="K86:K98" si="12">H86</f>
        <v>0</v>
      </c>
      <c r="L86" s="530"/>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c r="I94" s="477"/>
      <c r="J94" s="477"/>
      <c r="K94" s="1699">
        <f t="shared" si="12"/>
        <v>0</v>
      </c>
      <c r="L94" s="530"/>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c r="I96" s="477"/>
      <c r="J96" s="477"/>
      <c r="K96" s="1699">
        <f t="shared" si="12"/>
        <v>0</v>
      </c>
      <c r="L96" s="530"/>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87802</v>
      </c>
      <c r="F102" s="617"/>
      <c r="G102" s="617"/>
      <c r="H102" s="1699">
        <f>SUM(H84,H92,H100,H101)</f>
        <v>0</v>
      </c>
      <c r="I102" s="477"/>
      <c r="J102" s="477"/>
      <c r="K102" s="1699">
        <f>SUM(K84,K92,K100,K101)</f>
        <v>87802</v>
      </c>
      <c r="L102" s="1699">
        <f>SUM(L84,L92,L100,L101)</f>
        <v>123900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1762679</v>
      </c>
      <c r="D114" s="1692">
        <f t="shared" ref="D114:K114" si="13">SUM(D33,D74,D75,D102,D112,D113)</f>
        <v>399556</v>
      </c>
      <c r="E114" s="1692">
        <f t="shared" si="13"/>
        <v>317617</v>
      </c>
      <c r="F114" s="1692">
        <f t="shared" si="13"/>
        <v>128747</v>
      </c>
      <c r="G114" s="1692">
        <f t="shared" si="13"/>
        <v>4257</v>
      </c>
      <c r="H114" s="1692">
        <f>SUM(H33,H74,H75,H102,H112,H113)</f>
        <v>32864</v>
      </c>
      <c r="I114" s="1692">
        <f t="shared" si="13"/>
        <v>0</v>
      </c>
      <c r="J114" s="1692">
        <f t="shared" si="13"/>
        <v>0</v>
      </c>
      <c r="K114" s="1692">
        <f t="shared" si="13"/>
        <v>2645720</v>
      </c>
      <c r="L114" s="1692">
        <f>SUM(L33,L74,L75,L102,L112,L113)</f>
        <v>2787793</v>
      </c>
    </row>
    <row r="115" spans="1:14" ht="13.5" thickTop="1" x14ac:dyDescent="0.2">
      <c r="A115" s="2200" t="s">
        <v>1052</v>
      </c>
      <c r="B115" s="2201"/>
      <c r="C115" s="619"/>
      <c r="D115" s="619"/>
      <c r="E115" s="619"/>
      <c r="F115" s="619"/>
      <c r="G115" s="619"/>
      <c r="H115" s="619"/>
      <c r="I115" s="619"/>
      <c r="J115" s="619"/>
      <c r="K115" s="1706">
        <f>'Revenues 9-14'!C275-'Expenditures 15-22'!K114</f>
        <v>374804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313</v>
      </c>
      <c r="B117" s="2179"/>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158458</v>
      </c>
      <c r="D124" s="466">
        <v>9180</v>
      </c>
      <c r="E124" s="466">
        <v>91469</v>
      </c>
      <c r="F124" s="466">
        <v>31465</v>
      </c>
      <c r="G124" s="466"/>
      <c r="H124" s="466"/>
      <c r="I124" s="467"/>
      <c r="J124" s="467"/>
      <c r="K124" s="1692">
        <f>SUM(C124:J124)</f>
        <v>290572</v>
      </c>
      <c r="L124" s="466">
        <v>330000</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158458</v>
      </c>
      <c r="D127" s="1692">
        <f t="shared" ref="D127:L127" si="14">SUM(D122:D126)</f>
        <v>9180</v>
      </c>
      <c r="E127" s="1692">
        <f t="shared" si="14"/>
        <v>91469</v>
      </c>
      <c r="F127" s="1692">
        <f t="shared" si="14"/>
        <v>31465</v>
      </c>
      <c r="G127" s="1692">
        <f t="shared" si="14"/>
        <v>0</v>
      </c>
      <c r="H127" s="1692">
        <f t="shared" si="14"/>
        <v>0</v>
      </c>
      <c r="I127" s="1692">
        <f t="shared" si="14"/>
        <v>0</v>
      </c>
      <c r="J127" s="1692">
        <f t="shared" si="14"/>
        <v>0</v>
      </c>
      <c r="K127" s="1692">
        <f t="shared" si="14"/>
        <v>290572</v>
      </c>
      <c r="L127" s="1692">
        <f t="shared" si="14"/>
        <v>330000</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158458</v>
      </c>
      <c r="D129" s="1699">
        <f t="shared" ref="D129:L129" si="15">SUM(D120,D127,D128)</f>
        <v>9180</v>
      </c>
      <c r="E129" s="1699">
        <f t="shared" si="15"/>
        <v>91469</v>
      </c>
      <c r="F129" s="1699">
        <f t="shared" si="15"/>
        <v>31465</v>
      </c>
      <c r="G129" s="1699">
        <f t="shared" si="15"/>
        <v>0</v>
      </c>
      <c r="H129" s="1699">
        <f t="shared" si="15"/>
        <v>0</v>
      </c>
      <c r="I129" s="1699">
        <f t="shared" si="15"/>
        <v>0</v>
      </c>
      <c r="J129" s="1699">
        <f t="shared" si="15"/>
        <v>0</v>
      </c>
      <c r="K129" s="1699">
        <f t="shared" si="15"/>
        <v>290572</v>
      </c>
      <c r="L129" s="1699">
        <f t="shared" si="15"/>
        <v>330000</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1954</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c r="I134" s="477"/>
      <c r="J134" s="617"/>
      <c r="K134" s="1694">
        <f>SUM(E134,H134)</f>
        <v>0</v>
      </c>
      <c r="L134" s="481"/>
    </row>
    <row r="135" spans="1:14" x14ac:dyDescent="0.2">
      <c r="A135" s="1526" t="s">
        <v>720</v>
      </c>
      <c r="B135" s="615">
        <v>4140</v>
      </c>
      <c r="C135" s="617"/>
      <c r="D135" s="617"/>
      <c r="E135" s="467"/>
      <c r="F135" s="617"/>
      <c r="G135" s="617"/>
      <c r="H135" s="466"/>
      <c r="I135" s="477"/>
      <c r="J135" s="617"/>
      <c r="K135" s="1694">
        <f>SUM(E135,H135)</f>
        <v>0</v>
      </c>
      <c r="L135" s="466"/>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0" t="s">
        <v>640</v>
      </c>
      <c r="B151" s="2172"/>
      <c r="C151" s="1692">
        <f>SUM(C129,C130,C139,C149,C150)</f>
        <v>158458</v>
      </c>
      <c r="D151" s="1692">
        <f t="shared" ref="D151:K151" si="16">SUM(D129,D130,D139,D149,D150)</f>
        <v>9180</v>
      </c>
      <c r="E151" s="1692">
        <f t="shared" si="16"/>
        <v>91469</v>
      </c>
      <c r="F151" s="1692">
        <f t="shared" si="16"/>
        <v>31465</v>
      </c>
      <c r="G151" s="1692">
        <f t="shared" si="16"/>
        <v>0</v>
      </c>
      <c r="H151" s="1692">
        <f t="shared" si="16"/>
        <v>0</v>
      </c>
      <c r="I151" s="1692">
        <f t="shared" si="16"/>
        <v>0</v>
      </c>
      <c r="J151" s="1692">
        <f t="shared" si="16"/>
        <v>0</v>
      </c>
      <c r="K151" s="1692">
        <f t="shared" si="16"/>
        <v>290572</v>
      </c>
      <c r="L151" s="1692">
        <f>SUM(L129,L130,L139,L149,L150)</f>
        <v>330000</v>
      </c>
    </row>
    <row r="152" spans="1:14" ht="12.75" customHeight="1" thickTop="1" x14ac:dyDescent="0.2">
      <c r="A152" s="2193" t="s">
        <v>1239</v>
      </c>
      <c r="B152" s="2194"/>
      <c r="C152" s="619"/>
      <c r="D152" s="619"/>
      <c r="E152" s="619"/>
      <c r="F152" s="619"/>
      <c r="G152" s="619"/>
      <c r="H152" s="619"/>
      <c r="I152" s="619"/>
      <c r="J152" s="617"/>
      <c r="K152" s="1706">
        <f>'Revenues 9-14'!D275-'Expenditures 15-22'!K151</f>
        <v>44680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641</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98612</v>
      </c>
      <c r="I169" s="617"/>
      <c r="J169" s="617"/>
      <c r="K169" s="1693">
        <f>SUM(C169:H169)</f>
        <v>98612</v>
      </c>
      <c r="L169" s="657"/>
    </row>
    <row r="170" spans="1:14" ht="33.75" customHeight="1" x14ac:dyDescent="0.2">
      <c r="A170" s="670" t="s">
        <v>1767</v>
      </c>
      <c r="B170" s="672" t="s">
        <v>31</v>
      </c>
      <c r="C170" s="617"/>
      <c r="D170" s="617"/>
      <c r="E170" s="617"/>
      <c r="F170" s="617"/>
      <c r="G170" s="617"/>
      <c r="H170" s="569">
        <v>245000</v>
      </c>
      <c r="I170" s="617"/>
      <c r="J170" s="617"/>
      <c r="K170" s="1693">
        <f>SUM(C170:J170)</f>
        <v>245000</v>
      </c>
      <c r="L170" s="569"/>
    </row>
    <row r="171" spans="1:14" ht="15.75" customHeight="1" x14ac:dyDescent="0.2">
      <c r="A171" s="622" t="s">
        <v>789</v>
      </c>
      <c r="B171" s="673" t="s">
        <v>86</v>
      </c>
      <c r="C171" s="617"/>
      <c r="D171" s="617"/>
      <c r="E171" s="466"/>
      <c r="F171" s="617"/>
      <c r="G171" s="617"/>
      <c r="H171" s="569"/>
      <c r="I171" s="477"/>
      <c r="J171" s="617"/>
      <c r="K171" s="1693">
        <f>SUM(C171:J171)</f>
        <v>0</v>
      </c>
      <c r="L171" s="569">
        <v>386372</v>
      </c>
    </row>
    <row r="172" spans="1:14" ht="12.75" customHeight="1" thickBot="1" x14ac:dyDescent="0.25">
      <c r="A172" s="1690" t="s">
        <v>658</v>
      </c>
      <c r="B172" s="1691" t="s">
        <v>512</v>
      </c>
      <c r="C172" s="617"/>
      <c r="D172" s="617"/>
      <c r="E172" s="1699">
        <f>SUM(E168,E169,E170,E171)</f>
        <v>0</v>
      </c>
      <c r="F172" s="617"/>
      <c r="G172" s="617"/>
      <c r="H172" s="1699">
        <f>SUM(H168,H169,H170,H171)</f>
        <v>343612</v>
      </c>
      <c r="I172" s="639"/>
      <c r="J172" s="617"/>
      <c r="K172" s="1699">
        <f>SUM(K168,K169,K170,K171)</f>
        <v>343612</v>
      </c>
      <c r="L172" s="1699">
        <f>SUM(L168,L169,L170,L171)</f>
        <v>386372</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343612</v>
      </c>
      <c r="I174" s="639"/>
      <c r="J174" s="617"/>
      <c r="K174" s="1699">
        <f>SUM(K160,K172,K173)</f>
        <v>343612</v>
      </c>
      <c r="L174" s="1699">
        <f>SUM(L160,L172,L173)</f>
        <v>386372</v>
      </c>
    </row>
    <row r="175" spans="1:14" ht="13.5" thickTop="1" x14ac:dyDescent="0.2">
      <c r="A175" s="2200" t="s">
        <v>1052</v>
      </c>
      <c r="B175" s="2201"/>
      <c r="C175" s="617"/>
      <c r="D175" s="617"/>
      <c r="E175" s="617"/>
      <c r="F175" s="617"/>
      <c r="G175" s="617"/>
      <c r="H175" s="619"/>
      <c r="I175" s="617"/>
      <c r="J175" s="617"/>
      <c r="K175" s="1706">
        <f>'Revenues 9-14'!E275-'Expenditures 15-22'!K174</f>
        <v>42876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c r="D182" s="466"/>
      <c r="E182" s="466">
        <v>257071</v>
      </c>
      <c r="F182" s="466"/>
      <c r="G182" s="466"/>
      <c r="H182" s="466"/>
      <c r="I182" s="467"/>
      <c r="J182" s="467"/>
      <c r="K182" s="1693">
        <f>SUM(C182:J182)</f>
        <v>257071</v>
      </c>
      <c r="L182" s="466">
        <v>295000</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0</v>
      </c>
      <c r="D184" s="1699">
        <f t="shared" ref="D184:J184" si="17">SUM(D180,D182,D183)</f>
        <v>0</v>
      </c>
      <c r="E184" s="1699">
        <f t="shared" si="17"/>
        <v>257071</v>
      </c>
      <c r="F184" s="1699">
        <f t="shared" si="17"/>
        <v>0</v>
      </c>
      <c r="G184" s="1699">
        <f t="shared" si="17"/>
        <v>0</v>
      </c>
      <c r="H184" s="1699">
        <f t="shared" si="17"/>
        <v>0</v>
      </c>
      <c r="I184" s="1699">
        <f t="shared" si="17"/>
        <v>0</v>
      </c>
      <c r="J184" s="1699">
        <f t="shared" si="17"/>
        <v>0</v>
      </c>
      <c r="K184" s="1699">
        <f>SUM(K180,K182,K183)</f>
        <v>257071</v>
      </c>
      <c r="L184" s="1699">
        <f>SUM(L180, L182:L183)</f>
        <v>295000</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1768</v>
      </c>
      <c r="B206" s="673" t="s">
        <v>31</v>
      </c>
      <c r="C206" s="617"/>
      <c r="D206" s="617"/>
      <c r="E206" s="617"/>
      <c r="F206" s="617"/>
      <c r="G206" s="617"/>
      <c r="H206" s="466"/>
      <c r="I206" s="617"/>
      <c r="J206" s="617"/>
      <c r="K206" s="1693">
        <f>SUM(H206)</f>
        <v>0</v>
      </c>
      <c r="L206" s="466"/>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0</v>
      </c>
      <c r="D210" s="1692">
        <f>SUM(D184,D185)</f>
        <v>0</v>
      </c>
      <c r="E210" s="1692">
        <f>SUM(E184,E185,E196)</f>
        <v>257071</v>
      </c>
      <c r="F210" s="1692">
        <f>SUM(F184,F185)</f>
        <v>0</v>
      </c>
      <c r="G210" s="1692">
        <f>SUM(G184,G185)</f>
        <v>0</v>
      </c>
      <c r="H210" s="1692">
        <f>SUM(H184,H185,H196,H208,H209)</f>
        <v>0</v>
      </c>
      <c r="I210" s="1692">
        <f>SUM(I184,I185)</f>
        <v>0</v>
      </c>
      <c r="J210" s="1692">
        <f>SUM(J184,J185)</f>
        <v>0</v>
      </c>
      <c r="K210" s="1693">
        <f>SUM(K184,K185,K196,K208,K209)</f>
        <v>257071</v>
      </c>
      <c r="L210" s="1692">
        <f>SUM(L184,L185,L196,L208,L209)</f>
        <v>295000</v>
      </c>
    </row>
    <row r="211" spans="1:14" ht="13.5" thickTop="1" x14ac:dyDescent="0.2">
      <c r="A211" s="2200" t="s">
        <v>1052</v>
      </c>
      <c r="B211" s="2201"/>
      <c r="C211" s="619"/>
      <c r="D211" s="619"/>
      <c r="E211" s="619"/>
      <c r="F211" s="619"/>
      <c r="G211" s="619"/>
      <c r="H211" s="619"/>
      <c r="I211" s="617"/>
      <c r="J211" s="617"/>
      <c r="K211" s="1706">
        <f>'Revenues 9-14'!F275-'Expenditures 15-22'!K210</f>
        <v>33543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1021</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20517</v>
      </c>
      <c r="E215" s="617"/>
      <c r="F215" s="617"/>
      <c r="G215" s="617"/>
      <c r="H215" s="617"/>
      <c r="I215" s="617"/>
      <c r="J215" s="617"/>
      <c r="K215" s="1693">
        <f>D215</f>
        <v>20517</v>
      </c>
      <c r="L215" s="466">
        <v>26000</v>
      </c>
    </row>
    <row r="216" spans="1:14" x14ac:dyDescent="0.2">
      <c r="A216" s="1526" t="s">
        <v>165</v>
      </c>
      <c r="B216" s="615" t="s">
        <v>1023</v>
      </c>
      <c r="C216" s="617"/>
      <c r="D216" s="467">
        <v>2797</v>
      </c>
      <c r="E216" s="617"/>
      <c r="F216" s="617"/>
      <c r="G216" s="617"/>
      <c r="H216" s="617"/>
      <c r="I216" s="617"/>
      <c r="J216" s="617"/>
      <c r="K216" s="1693">
        <f t="shared" ref="K216:K228" si="19">D216</f>
        <v>2797</v>
      </c>
      <c r="L216" s="466">
        <v>3000</v>
      </c>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295</v>
      </c>
      <c r="B218" s="615" t="s">
        <v>1024</v>
      </c>
      <c r="C218" s="617"/>
      <c r="D218" s="467"/>
      <c r="E218" s="617"/>
      <c r="F218" s="617"/>
      <c r="G218" s="617"/>
      <c r="H218" s="617"/>
      <c r="I218" s="617"/>
      <c r="J218" s="617"/>
      <c r="K218" s="1693">
        <f t="shared" si="19"/>
        <v>0</v>
      </c>
      <c r="L218" s="466"/>
    </row>
    <row r="219" spans="1:14" x14ac:dyDescent="0.2">
      <c r="A219" s="1526" t="s">
        <v>296</v>
      </c>
      <c r="B219" s="615">
        <v>1250</v>
      </c>
      <c r="C219" s="617"/>
      <c r="D219" s="466">
        <v>125</v>
      </c>
      <c r="E219" s="617"/>
      <c r="F219" s="617"/>
      <c r="G219" s="617"/>
      <c r="H219" s="617"/>
      <c r="I219" s="617"/>
      <c r="J219" s="617"/>
      <c r="K219" s="1693">
        <f t="shared" si="19"/>
        <v>125</v>
      </c>
      <c r="L219" s="466">
        <v>3250</v>
      </c>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v>1191</v>
      </c>
      <c r="E222" s="617"/>
      <c r="F222" s="617"/>
      <c r="G222" s="617"/>
      <c r="H222" s="617"/>
      <c r="I222" s="617"/>
      <c r="J222" s="617"/>
      <c r="K222" s="1693">
        <f t="shared" si="19"/>
        <v>1191</v>
      </c>
      <c r="L222" s="466">
        <v>1400</v>
      </c>
    </row>
    <row r="223" spans="1:14" x14ac:dyDescent="0.2">
      <c r="A223" s="1526" t="s">
        <v>1019</v>
      </c>
      <c r="B223" s="615">
        <v>1500</v>
      </c>
      <c r="C223" s="617"/>
      <c r="D223" s="466">
        <v>2442</v>
      </c>
      <c r="E223" s="617"/>
      <c r="F223" s="617"/>
      <c r="G223" s="617"/>
      <c r="H223" s="617"/>
      <c r="I223" s="617"/>
      <c r="J223" s="617"/>
      <c r="K223" s="1693">
        <f t="shared" si="19"/>
        <v>2442</v>
      </c>
      <c r="L223" s="466">
        <v>2500</v>
      </c>
    </row>
    <row r="224" spans="1:14" x14ac:dyDescent="0.2">
      <c r="A224" s="1526" t="s">
        <v>1020</v>
      </c>
      <c r="B224" s="615">
        <v>1600</v>
      </c>
      <c r="C224" s="617"/>
      <c r="D224" s="466"/>
      <c r="E224" s="617"/>
      <c r="F224" s="617"/>
      <c r="G224" s="617"/>
      <c r="H224" s="617"/>
      <c r="I224" s="617"/>
      <c r="J224" s="617"/>
      <c r="K224" s="1693">
        <f t="shared" si="19"/>
        <v>0</v>
      </c>
      <c r="L224" s="466"/>
    </row>
    <row r="225" spans="1:12" x14ac:dyDescent="0.2">
      <c r="A225" s="1526" t="s">
        <v>1043</v>
      </c>
      <c r="B225" s="615">
        <v>1650</v>
      </c>
      <c r="C225" s="617"/>
      <c r="D225" s="466"/>
      <c r="E225" s="617"/>
      <c r="F225" s="617"/>
      <c r="G225" s="617"/>
      <c r="H225" s="617"/>
      <c r="I225" s="617"/>
      <c r="J225" s="617"/>
      <c r="K225" s="1693">
        <f t="shared" si="19"/>
        <v>0</v>
      </c>
      <c r="L225" s="466"/>
    </row>
    <row r="226" spans="1:12" x14ac:dyDescent="0.2">
      <c r="A226" s="1526" t="s">
        <v>747</v>
      </c>
      <c r="B226" s="615" t="s">
        <v>164</v>
      </c>
      <c r="C226" s="617"/>
      <c r="D226" s="467"/>
      <c r="E226" s="617"/>
      <c r="F226" s="617"/>
      <c r="G226" s="617"/>
      <c r="H226" s="617"/>
      <c r="I226" s="617"/>
      <c r="J226" s="617"/>
      <c r="K226" s="1693">
        <f t="shared" si="19"/>
        <v>0</v>
      </c>
      <c r="L226" s="466"/>
    </row>
    <row r="227" spans="1:12" x14ac:dyDescent="0.2">
      <c r="A227" s="1526" t="s">
        <v>1147</v>
      </c>
      <c r="B227" s="615">
        <v>1800</v>
      </c>
      <c r="C227" s="617"/>
      <c r="D227" s="466"/>
      <c r="E227" s="617"/>
      <c r="F227" s="617"/>
      <c r="G227" s="617"/>
      <c r="H227" s="617"/>
      <c r="I227" s="617"/>
      <c r="J227" s="617"/>
      <c r="K227" s="1693">
        <f t="shared" si="19"/>
        <v>0</v>
      </c>
      <c r="L227" s="466"/>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27072</v>
      </c>
      <c r="E229" s="617"/>
      <c r="F229" s="617"/>
      <c r="G229" s="617"/>
      <c r="H229" s="617"/>
      <c r="I229" s="617"/>
      <c r="J229" s="617"/>
      <c r="K229" s="1692">
        <f>SUM(K215:K228)</f>
        <v>27072</v>
      </c>
      <c r="L229" s="1692">
        <f>SUM(L215:L228)</f>
        <v>36150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c r="E232" s="617"/>
      <c r="F232" s="617"/>
      <c r="G232" s="617"/>
      <c r="H232" s="617"/>
      <c r="I232" s="617"/>
      <c r="J232" s="617"/>
      <c r="K232" s="1693">
        <f t="shared" ref="K232:K237" si="20">D232</f>
        <v>0</v>
      </c>
      <c r="L232" s="466"/>
    </row>
    <row r="233" spans="1:12" x14ac:dyDescent="0.2">
      <c r="A233" s="1526" t="s">
        <v>1150</v>
      </c>
      <c r="B233" s="615">
        <v>2120</v>
      </c>
      <c r="C233" s="617"/>
      <c r="D233" s="466">
        <v>699</v>
      </c>
      <c r="E233" s="617"/>
      <c r="F233" s="617"/>
      <c r="G233" s="617"/>
      <c r="H233" s="617"/>
      <c r="I233" s="617"/>
      <c r="J233" s="617"/>
      <c r="K233" s="1693">
        <f t="shared" si="20"/>
        <v>699</v>
      </c>
      <c r="L233" s="466">
        <v>700</v>
      </c>
    </row>
    <row r="234" spans="1:12" x14ac:dyDescent="0.2">
      <c r="A234" s="1526" t="s">
        <v>207</v>
      </c>
      <c r="B234" s="615">
        <v>2130</v>
      </c>
      <c r="C234" s="617"/>
      <c r="D234" s="466">
        <v>2985</v>
      </c>
      <c r="E234" s="617"/>
      <c r="F234" s="617"/>
      <c r="G234" s="617"/>
      <c r="H234" s="617"/>
      <c r="I234" s="617"/>
      <c r="J234" s="617"/>
      <c r="K234" s="1693">
        <f t="shared" si="20"/>
        <v>2985</v>
      </c>
      <c r="L234" s="466">
        <v>3200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580</v>
      </c>
      <c r="B238" s="1697" t="s">
        <v>739</v>
      </c>
      <c r="C238" s="617"/>
      <c r="D238" s="1692">
        <f>SUM(D232:D237)</f>
        <v>3684</v>
      </c>
      <c r="E238" s="617"/>
      <c r="F238" s="617"/>
      <c r="G238" s="617"/>
      <c r="H238" s="617"/>
      <c r="I238" s="617"/>
      <c r="J238" s="617"/>
      <c r="K238" s="1692">
        <f>SUM(K232:K237)</f>
        <v>3684</v>
      </c>
      <c r="L238" s="1692">
        <f>SUM(L232:L237)</f>
        <v>3900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c r="E240" s="617"/>
      <c r="F240" s="617"/>
      <c r="G240" s="617"/>
      <c r="H240" s="617"/>
      <c r="I240" s="617"/>
      <c r="J240" s="617"/>
      <c r="K240" s="1694">
        <f>D240</f>
        <v>0</v>
      </c>
      <c r="L240" s="481"/>
    </row>
    <row r="241" spans="1:12" x14ac:dyDescent="0.2">
      <c r="A241" s="1526" t="s">
        <v>868</v>
      </c>
      <c r="B241" s="615">
        <v>2220</v>
      </c>
      <c r="C241" s="617"/>
      <c r="D241" s="466">
        <v>696</v>
      </c>
      <c r="E241" s="617"/>
      <c r="F241" s="617"/>
      <c r="G241" s="617"/>
      <c r="H241" s="617"/>
      <c r="I241" s="617"/>
      <c r="J241" s="617"/>
      <c r="K241" s="1694">
        <f>D241</f>
        <v>696</v>
      </c>
      <c r="L241" s="466">
        <v>700</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696</v>
      </c>
      <c r="E243" s="617"/>
      <c r="F243" s="617"/>
      <c r="G243" s="617"/>
      <c r="H243" s="617"/>
      <c r="I243" s="617"/>
      <c r="J243" s="617"/>
      <c r="K243" s="1692">
        <f>SUM(K240:K242)</f>
        <v>696</v>
      </c>
      <c r="L243" s="1692">
        <f>SUM(L240:L242)</f>
        <v>700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row>
    <row r="246" spans="1:12" x14ac:dyDescent="0.2">
      <c r="A246" s="1526" t="s">
        <v>871</v>
      </c>
      <c r="B246" s="615">
        <v>2320</v>
      </c>
      <c r="C246" s="617"/>
      <c r="D246" s="466">
        <v>1659</v>
      </c>
      <c r="E246" s="617"/>
      <c r="F246" s="617"/>
      <c r="G246" s="617"/>
      <c r="H246" s="617"/>
      <c r="I246" s="617"/>
      <c r="J246" s="617"/>
      <c r="K246" s="1694">
        <f t="shared" ref="K246:K256" si="21">D246</f>
        <v>1659</v>
      </c>
      <c r="L246" s="466">
        <v>1650</v>
      </c>
    </row>
    <row r="247" spans="1:12" x14ac:dyDescent="0.2">
      <c r="A247" s="1526" t="s">
        <v>872</v>
      </c>
      <c r="B247" s="615">
        <v>2330</v>
      </c>
      <c r="C247" s="617"/>
      <c r="D247" s="466"/>
      <c r="E247" s="617"/>
      <c r="F247" s="617"/>
      <c r="G247" s="617"/>
      <c r="H247" s="617"/>
      <c r="I247" s="617"/>
      <c r="J247" s="617"/>
      <c r="K247" s="1694">
        <f t="shared" si="21"/>
        <v>0</v>
      </c>
      <c r="L247" s="466"/>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1906</v>
      </c>
      <c r="B249" s="684" t="s">
        <v>299</v>
      </c>
      <c r="C249" s="617"/>
      <c r="D249" s="474"/>
      <c r="E249" s="617"/>
      <c r="F249" s="617"/>
      <c r="G249" s="617"/>
      <c r="H249" s="617"/>
      <c r="I249" s="617"/>
      <c r="J249" s="617"/>
      <c r="K249" s="1694">
        <f t="shared" si="21"/>
        <v>0</v>
      </c>
      <c r="L249" s="466"/>
    </row>
    <row r="250" spans="1:12" x14ac:dyDescent="0.2">
      <c r="A250" s="1527" t="s">
        <v>1907</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1659</v>
      </c>
      <c r="E257" s="617"/>
      <c r="F257" s="617"/>
      <c r="G257" s="617"/>
      <c r="H257" s="617"/>
      <c r="I257" s="617"/>
      <c r="J257" s="617"/>
      <c r="K257" s="1692">
        <f>SUM(K245:K256)</f>
        <v>1659</v>
      </c>
      <c r="L257" s="1692">
        <f>SUM(L245:L256)</f>
        <v>1650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12278</v>
      </c>
      <c r="E259" s="617"/>
      <c r="F259" s="617"/>
      <c r="G259" s="617"/>
      <c r="H259" s="617"/>
      <c r="I259" s="617"/>
      <c r="J259" s="617"/>
      <c r="K259" s="1694">
        <f>D259</f>
        <v>12278</v>
      </c>
      <c r="L259" s="481">
        <v>11000</v>
      </c>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12278</v>
      </c>
      <c r="E261" s="617"/>
      <c r="F261" s="617"/>
      <c r="G261" s="617"/>
      <c r="H261" s="617"/>
      <c r="I261" s="617"/>
      <c r="J261" s="617"/>
      <c r="K261" s="1692">
        <f>SUM(K259:K260)</f>
        <v>12278</v>
      </c>
      <c r="L261" s="1692">
        <f>SUM(L259:L260)</f>
        <v>11000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4">
        <f>D263</f>
        <v>0</v>
      </c>
      <c r="L263" s="481"/>
    </row>
    <row r="264" spans="1:14" x14ac:dyDescent="0.2">
      <c r="A264" s="1526" t="s">
        <v>482</v>
      </c>
      <c r="B264" s="686">
        <v>2520</v>
      </c>
      <c r="C264" s="617"/>
      <c r="D264" s="466">
        <v>6457</v>
      </c>
      <c r="E264" s="617"/>
      <c r="F264" s="617"/>
      <c r="G264" s="617"/>
      <c r="H264" s="617"/>
      <c r="I264" s="617"/>
      <c r="J264" s="617"/>
      <c r="K264" s="1694">
        <f t="shared" ref="K264:K269" si="22">D264</f>
        <v>6457</v>
      </c>
      <c r="L264" s="466">
        <v>6750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21454</v>
      </c>
      <c r="E266" s="617"/>
      <c r="F266" s="617"/>
      <c r="G266" s="617"/>
      <c r="H266" s="617"/>
      <c r="I266" s="617"/>
      <c r="J266" s="617"/>
      <c r="K266" s="1694">
        <f t="shared" si="22"/>
        <v>21454</v>
      </c>
      <c r="L266" s="466">
        <v>23000</v>
      </c>
    </row>
    <row r="267" spans="1:14" x14ac:dyDescent="0.2">
      <c r="A267" s="1526" t="s">
        <v>1009</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27911</v>
      </c>
      <c r="E270" s="617"/>
      <c r="F270" s="617"/>
      <c r="G270" s="617"/>
      <c r="H270" s="617"/>
      <c r="I270" s="617"/>
      <c r="J270" s="617"/>
      <c r="K270" s="1692">
        <f>SUM(K263:K269)</f>
        <v>27911</v>
      </c>
      <c r="L270" s="1692">
        <f>SUM(L263:L269)</f>
        <v>29750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c r="E274" s="617"/>
      <c r="F274" s="617"/>
      <c r="G274" s="617"/>
      <c r="H274" s="617"/>
      <c r="I274" s="617"/>
      <c r="J274" s="617"/>
      <c r="K274" s="1694">
        <f>D274</f>
        <v>0</v>
      </c>
      <c r="L274" s="466"/>
    </row>
    <row r="275" spans="1:12" x14ac:dyDescent="0.2">
      <c r="A275" s="1526" t="s">
        <v>422</v>
      </c>
      <c r="B275" s="615">
        <v>2640</v>
      </c>
      <c r="C275" s="617"/>
      <c r="D275" s="466"/>
      <c r="E275" s="617"/>
      <c r="F275" s="617"/>
      <c r="G275" s="617"/>
      <c r="H275" s="617"/>
      <c r="I275" s="617"/>
      <c r="J275" s="617"/>
      <c r="K275" s="1694">
        <f>D275</f>
        <v>0</v>
      </c>
      <c r="L275" s="466"/>
    </row>
    <row r="276" spans="1:12" x14ac:dyDescent="0.2">
      <c r="A276" s="1526" t="s">
        <v>423</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46228</v>
      </c>
      <c r="E279" s="617"/>
      <c r="F279" s="617"/>
      <c r="G279" s="617"/>
      <c r="H279" s="617"/>
      <c r="I279" s="617"/>
      <c r="J279" s="617"/>
      <c r="K279" s="1699">
        <f>SUM(K238,K243,K257,K261,K270,K277,K278)</f>
        <v>46228</v>
      </c>
      <c r="L279" s="1699">
        <f>SUM(L238,L243,L257,L261,L270,L277,L278)</f>
        <v>47000</v>
      </c>
    </row>
    <row r="280" spans="1:12" ht="15.75" customHeight="1" thickTop="1" thickBot="1" x14ac:dyDescent="0.25">
      <c r="A280" s="1646" t="s">
        <v>929</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1954</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1" t="s">
        <v>525</v>
      </c>
      <c r="B295" s="2192"/>
      <c r="C295" s="617"/>
      <c r="D295" s="1692">
        <f>SUM(D229,D279,D280,D285)</f>
        <v>73300</v>
      </c>
      <c r="E295" s="617"/>
      <c r="F295" s="617"/>
      <c r="G295" s="617"/>
      <c r="H295" s="1692">
        <f>H293</f>
        <v>0</v>
      </c>
      <c r="I295" s="617"/>
      <c r="J295" s="617"/>
      <c r="K295" s="1692">
        <f>SUM(K229,K279,K280,K285,K293,K294)</f>
        <v>73300</v>
      </c>
      <c r="L295" s="1692">
        <f>SUM(L229,L279,L280,L285,L293,L294)</f>
        <v>83150</v>
      </c>
    </row>
    <row r="296" spans="1:14" ht="13.5" thickTop="1" x14ac:dyDescent="0.2">
      <c r="A296" s="2200" t="s">
        <v>1052</v>
      </c>
      <c r="B296" s="2201"/>
      <c r="C296" s="617"/>
      <c r="D296" s="619"/>
      <c r="E296" s="617"/>
      <c r="F296" s="617"/>
      <c r="G296" s="617"/>
      <c r="H296" s="688"/>
      <c r="I296" s="617"/>
      <c r="J296" s="617"/>
      <c r="K296" s="1706">
        <f>'Revenues 9-14'!G275-'Expenditures 15-22'!K295</f>
        <v>9034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v>59435</v>
      </c>
      <c r="H301" s="466"/>
      <c r="I301" s="467"/>
      <c r="J301" s="467"/>
      <c r="K301" s="1693">
        <f>SUM(C301:J301)</f>
        <v>59435</v>
      </c>
      <c r="L301" s="467">
        <v>50000</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59435</v>
      </c>
      <c r="H303" s="1699">
        <f t="shared" si="23"/>
        <v>0</v>
      </c>
      <c r="I303" s="1699">
        <f t="shared" si="23"/>
        <v>0</v>
      </c>
      <c r="J303" s="1699">
        <f t="shared" si="23"/>
        <v>0</v>
      </c>
      <c r="K303" s="1699">
        <f t="shared" si="23"/>
        <v>59435</v>
      </c>
      <c r="L303" s="1699">
        <f t="shared" si="23"/>
        <v>50000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88" t="s">
        <v>294</v>
      </c>
      <c r="B312" s="2189"/>
      <c r="C312" s="1692">
        <f>SUM(C303)</f>
        <v>0</v>
      </c>
      <c r="D312" s="1692">
        <f>SUM(D303)</f>
        <v>0</v>
      </c>
      <c r="E312" s="1692">
        <f>SUM(E303,E310)</f>
        <v>0</v>
      </c>
      <c r="F312" s="1692">
        <f>SUM(F303)</f>
        <v>0</v>
      </c>
      <c r="G312" s="1692">
        <f>SUM(G303)</f>
        <v>59435</v>
      </c>
      <c r="H312" s="1692">
        <f>SUM(H303,H310)</f>
        <v>0</v>
      </c>
      <c r="I312" s="1692">
        <f>SUM(I303)</f>
        <v>0</v>
      </c>
      <c r="J312" s="1692">
        <f>SUM(J303)</f>
        <v>0</v>
      </c>
      <c r="K312" s="1692">
        <f>SUM(K303,K310,K311)</f>
        <v>59435</v>
      </c>
      <c r="L312" s="1692">
        <f>SUM(L303,L310,L311)</f>
        <v>50000</v>
      </c>
      <c r="M312" s="666"/>
      <c r="N312" s="666"/>
    </row>
    <row r="313" spans="1:14" ht="13.5" thickTop="1" x14ac:dyDescent="0.2">
      <c r="A313" s="2184" t="s">
        <v>1052</v>
      </c>
      <c r="B313" s="2185"/>
      <c r="C313" s="627"/>
      <c r="D313" s="627"/>
      <c r="E313" s="627"/>
      <c r="F313" s="627"/>
      <c r="G313" s="627"/>
      <c r="H313" s="627"/>
      <c r="I313" s="627"/>
      <c r="J313" s="627"/>
      <c r="K313" s="1707">
        <f>'Revenues 9-14'!H275-'Expenditures 15-22'!K312</f>
        <v>38103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953</v>
      </c>
      <c r="B317" s="2198"/>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299</v>
      </c>
      <c r="C320" s="467"/>
      <c r="D320" s="467"/>
      <c r="E320" s="467">
        <v>22432</v>
      </c>
      <c r="F320" s="467"/>
      <c r="G320" s="467"/>
      <c r="H320" s="467"/>
      <c r="I320" s="467"/>
      <c r="J320" s="467"/>
      <c r="K320" s="1693">
        <f t="shared" ref="K320:K327" si="24">SUM(C320:J320)</f>
        <v>22432</v>
      </c>
      <c r="L320" s="467">
        <v>25000</v>
      </c>
      <c r="M320" s="666"/>
      <c r="N320" s="666"/>
    </row>
    <row r="321" spans="1:14" s="675" customFormat="1" x14ac:dyDescent="0.2">
      <c r="A321" s="1541" t="s">
        <v>317</v>
      </c>
      <c r="B321" s="698" t="s">
        <v>300</v>
      </c>
      <c r="C321" s="467"/>
      <c r="D321" s="467"/>
      <c r="E321" s="467"/>
      <c r="F321" s="467"/>
      <c r="G321" s="467"/>
      <c r="H321" s="467"/>
      <c r="I321" s="467"/>
      <c r="J321" s="467"/>
      <c r="K321" s="1693">
        <f t="shared" si="24"/>
        <v>0</v>
      </c>
      <c r="L321" s="467">
        <v>1500</v>
      </c>
      <c r="M321" s="666"/>
      <c r="N321" s="666"/>
    </row>
    <row r="322" spans="1:14" s="675" customFormat="1" x14ac:dyDescent="0.2">
      <c r="A322" s="1541" t="s">
        <v>256</v>
      </c>
      <c r="B322" s="698" t="s">
        <v>301</v>
      </c>
      <c r="C322" s="467"/>
      <c r="D322" s="467"/>
      <c r="E322" s="467"/>
      <c r="F322" s="467"/>
      <c r="G322" s="467"/>
      <c r="H322" s="467"/>
      <c r="I322" s="467"/>
      <c r="J322" s="467"/>
      <c r="K322" s="1693">
        <f t="shared" si="24"/>
        <v>0</v>
      </c>
      <c r="L322" s="467"/>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v>140967</v>
      </c>
      <c r="D325" s="467"/>
      <c r="E325" s="467"/>
      <c r="F325" s="467"/>
      <c r="G325" s="467"/>
      <c r="H325" s="467"/>
      <c r="I325" s="467"/>
      <c r="J325" s="467"/>
      <c r="K325" s="1693">
        <f t="shared" si="24"/>
        <v>140967</v>
      </c>
      <c r="L325" s="467">
        <v>155000</v>
      </c>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v>2511</v>
      </c>
      <c r="F327" s="467"/>
      <c r="G327" s="467"/>
      <c r="H327" s="467"/>
      <c r="I327" s="467"/>
      <c r="J327" s="467"/>
      <c r="K327" s="1693">
        <f t="shared" si="24"/>
        <v>2511</v>
      </c>
      <c r="L327" s="467">
        <v>8000</v>
      </c>
      <c r="M327" s="666"/>
      <c r="N327" s="666"/>
    </row>
    <row r="328" spans="1:14" s="675" customFormat="1" x14ac:dyDescent="0.2">
      <c r="A328" s="1542" t="s">
        <v>491</v>
      </c>
      <c r="B328" s="691" t="s">
        <v>1193</v>
      </c>
      <c r="C328" s="474"/>
      <c r="D328" s="474"/>
      <c r="E328" s="474">
        <v>43537</v>
      </c>
      <c r="F328" s="474"/>
      <c r="G328" s="474"/>
      <c r="H328" s="474"/>
      <c r="I328" s="474"/>
      <c r="J328" s="474"/>
      <c r="K328" s="1721">
        <f>SUM(C328:J328)</f>
        <v>43537</v>
      </c>
      <c r="L328" s="474">
        <v>42500</v>
      </c>
      <c r="M328" s="666"/>
      <c r="N328" s="666"/>
    </row>
    <row r="329" spans="1:14" s="675" customFormat="1" x14ac:dyDescent="0.2">
      <c r="A329" s="1542" t="s">
        <v>1194</v>
      </c>
      <c r="B329" s="691" t="s">
        <v>1195</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740</v>
      </c>
      <c r="B330" s="1691" t="s">
        <v>589</v>
      </c>
      <c r="C330" s="1692">
        <f>SUM(C319:C329)</f>
        <v>140967</v>
      </c>
      <c r="D330" s="1692">
        <f t="shared" ref="D330:J330" si="25">SUM(D319:D329)</f>
        <v>0</v>
      </c>
      <c r="E330" s="1692">
        <f t="shared" si="25"/>
        <v>68480</v>
      </c>
      <c r="F330" s="1692">
        <f t="shared" si="25"/>
        <v>0</v>
      </c>
      <c r="G330" s="1692">
        <f t="shared" si="25"/>
        <v>0</v>
      </c>
      <c r="H330" s="1692">
        <f t="shared" si="25"/>
        <v>0</v>
      </c>
      <c r="I330" s="1692">
        <f t="shared" si="25"/>
        <v>0</v>
      </c>
      <c r="J330" s="1692">
        <f t="shared" si="25"/>
        <v>0</v>
      </c>
      <c r="K330" s="1692">
        <f>SUM(K319:K329)</f>
        <v>209447</v>
      </c>
      <c r="L330" s="1692">
        <f>SUM(L319:L329)</f>
        <v>232000</v>
      </c>
      <c r="M330" s="666"/>
      <c r="N330" s="666"/>
    </row>
    <row r="331" spans="1:14" s="675" customFormat="1" ht="12.75" customHeight="1" thickTop="1" x14ac:dyDescent="0.2">
      <c r="A331" s="1854" t="s">
        <v>1960</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140967</v>
      </c>
      <c r="D342" s="1692">
        <f>SUM(D330)</f>
        <v>0</v>
      </c>
      <c r="E342" s="1692">
        <f>SUM(E330)</f>
        <v>68480</v>
      </c>
      <c r="F342" s="1692">
        <f>SUM(F330)</f>
        <v>0</v>
      </c>
      <c r="G342" s="1692">
        <f>SUM(G330)</f>
        <v>0</v>
      </c>
      <c r="H342" s="1692">
        <f>SUM(H330,H334,H340)</f>
        <v>0</v>
      </c>
      <c r="I342" s="1692">
        <f>SUM(I330)</f>
        <v>0</v>
      </c>
      <c r="J342" s="1692">
        <f>SUM(J330)</f>
        <v>0</v>
      </c>
      <c r="K342" s="1692">
        <f>SUM(K330,K334,K340)</f>
        <v>209447</v>
      </c>
      <c r="L342" s="1699">
        <f>SUM(L330,L340,L341)</f>
        <v>232000</v>
      </c>
    </row>
    <row r="343" spans="1:14" ht="12.75" customHeight="1" thickTop="1" x14ac:dyDescent="0.2">
      <c r="A343" s="2186" t="s">
        <v>1052</v>
      </c>
      <c r="B343" s="2187"/>
      <c r="C343" s="617"/>
      <c r="D343" s="617"/>
      <c r="E343" s="617"/>
      <c r="F343" s="617"/>
      <c r="G343" s="617"/>
      <c r="H343" s="617"/>
      <c r="I343" s="617"/>
      <c r="J343" s="617"/>
      <c r="K343" s="1706">
        <f>'Revenues 9-14'!J275-'Expenditures 15-22'!K342</f>
        <v>26895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1022</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2800000</v>
      </c>
    </row>
    <row r="349" spans="1:14" x14ac:dyDescent="0.2">
      <c r="A349" s="1526" t="s">
        <v>206</v>
      </c>
      <c r="B349" s="615">
        <v>2540</v>
      </c>
      <c r="C349" s="466"/>
      <c r="D349" s="466"/>
      <c r="E349" s="466"/>
      <c r="F349" s="466"/>
      <c r="G349" s="466"/>
      <c r="H349" s="466"/>
      <c r="I349" s="467"/>
      <c r="J349" s="467"/>
      <c r="K349" s="1693">
        <f>SUM(C349:J349)</f>
        <v>0</v>
      </c>
      <c r="L349" s="466">
        <v>28000</v>
      </c>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2828000</v>
      </c>
    </row>
    <row r="351" spans="1:14" ht="12.75" customHeight="1" thickTop="1" x14ac:dyDescent="0.2">
      <c r="A351" s="1532" t="s">
        <v>1036</v>
      </c>
      <c r="B351" s="644" t="s">
        <v>594</v>
      </c>
      <c r="C351" s="481"/>
      <c r="D351" s="481"/>
      <c r="E351" s="481">
        <v>1501815</v>
      </c>
      <c r="F351" s="481"/>
      <c r="G351" s="481"/>
      <c r="H351" s="481"/>
      <c r="I351" s="478"/>
      <c r="J351" s="478"/>
      <c r="K351" s="616">
        <f>SUM(C351:J351)</f>
        <v>1501815</v>
      </c>
      <c r="L351" s="481"/>
    </row>
    <row r="352" spans="1:14" ht="12.75" customHeight="1" thickBot="1" x14ac:dyDescent="0.25">
      <c r="A352" s="1690" t="s">
        <v>644</v>
      </c>
      <c r="B352" s="1697" t="s">
        <v>589</v>
      </c>
      <c r="C352" s="1692">
        <f>SUM(C350:C351)</f>
        <v>0</v>
      </c>
      <c r="D352" s="1692">
        <f t="shared" ref="D352:L352" si="27">SUM(D350:D351)</f>
        <v>0</v>
      </c>
      <c r="E352" s="1692">
        <f t="shared" si="27"/>
        <v>1501815</v>
      </c>
      <c r="F352" s="1692">
        <f t="shared" si="27"/>
        <v>0</v>
      </c>
      <c r="G352" s="1692">
        <f t="shared" si="27"/>
        <v>0</v>
      </c>
      <c r="H352" s="1692">
        <f t="shared" si="27"/>
        <v>0</v>
      </c>
      <c r="I352" s="1692">
        <f t="shared" si="27"/>
        <v>0</v>
      </c>
      <c r="J352" s="1692">
        <f t="shared" si="27"/>
        <v>0</v>
      </c>
      <c r="K352" s="1692">
        <f t="shared" si="27"/>
        <v>1501815</v>
      </c>
      <c r="L352" s="1692">
        <f t="shared" si="27"/>
        <v>2828000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2125</v>
      </c>
      <c r="I363" s="639"/>
      <c r="J363" s="639"/>
      <c r="K363" s="1721">
        <f>SUM(C363:J363)</f>
        <v>2125</v>
      </c>
      <c r="L363" s="479"/>
      <c r="M363" s="666"/>
      <c r="N363" s="666"/>
    </row>
    <row r="364" spans="1:14" s="709" customFormat="1" ht="29.25" customHeight="1" x14ac:dyDescent="0.2">
      <c r="A364" s="703" t="s">
        <v>1769</v>
      </c>
      <c r="B364" s="704">
        <v>5300</v>
      </c>
      <c r="C364" s="705"/>
      <c r="D364" s="706"/>
      <c r="E364" s="706"/>
      <c r="F364" s="705"/>
      <c r="G364" s="706"/>
      <c r="H364" s="707">
        <v>425000</v>
      </c>
      <c r="I364" s="706"/>
      <c r="J364" s="706"/>
      <c r="K364" s="1693">
        <f>SUM(C364:J364)</f>
        <v>425000</v>
      </c>
      <c r="L364" s="708"/>
    </row>
    <row r="365" spans="1:14" s="675" customFormat="1" ht="12.75" customHeight="1" thickBot="1" x14ac:dyDescent="0.25">
      <c r="A365" s="1543" t="s">
        <v>610</v>
      </c>
      <c r="B365" s="660" t="s">
        <v>512</v>
      </c>
      <c r="C365" s="639"/>
      <c r="D365" s="639"/>
      <c r="E365" s="639"/>
      <c r="F365" s="639"/>
      <c r="G365" s="639"/>
      <c r="H365" s="1725">
        <f>SUM(H362,H363,H364)</f>
        <v>427125</v>
      </c>
      <c r="I365" s="639"/>
      <c r="J365" s="639"/>
      <c r="K365" s="1725">
        <f>SUM(K362,K363,K364)</f>
        <v>427125</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0</v>
      </c>
      <c r="D367" s="1692">
        <f t="shared" si="28"/>
        <v>0</v>
      </c>
      <c r="E367" s="1692">
        <f t="shared" si="28"/>
        <v>1501815</v>
      </c>
      <c r="F367" s="1692">
        <f t="shared" si="28"/>
        <v>0</v>
      </c>
      <c r="G367" s="1692">
        <f t="shared" si="28"/>
        <v>0</v>
      </c>
      <c r="H367" s="1692">
        <f t="shared" si="28"/>
        <v>427125</v>
      </c>
      <c r="I367" s="1692">
        <f t="shared" si="28"/>
        <v>0</v>
      </c>
      <c r="J367" s="1692">
        <f t="shared" si="28"/>
        <v>0</v>
      </c>
      <c r="K367" s="1692">
        <f t="shared" si="28"/>
        <v>1928940</v>
      </c>
      <c r="L367" s="1692">
        <f t="shared" si="28"/>
        <v>2828000</v>
      </c>
    </row>
    <row r="368" spans="1:14" ht="13.5" thickTop="1" x14ac:dyDescent="0.2">
      <c r="A368" s="2200" t="s">
        <v>1052</v>
      </c>
      <c r="B368" s="2201"/>
      <c r="C368" s="655"/>
      <c r="D368" s="655"/>
      <c r="E368" s="627"/>
      <c r="F368" s="627"/>
      <c r="G368" s="627"/>
      <c r="H368" s="627"/>
      <c r="I368" s="627"/>
      <c r="J368" s="624"/>
      <c r="K368" s="1693">
        <f>'Revenues 9-14'!K275-'Expenditures 15-22'!K367</f>
        <v>-1898026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1903</v>
      </c>
      <c r="B2" s="1550" t="s">
        <v>2033</v>
      </c>
      <c r="C2" s="715" t="s">
        <v>1908</v>
      </c>
      <c r="D2" s="715" t="s">
        <v>1909</v>
      </c>
      <c r="E2" s="715" t="s">
        <v>1910</v>
      </c>
      <c r="F2" s="715" t="s">
        <v>1911</v>
      </c>
    </row>
    <row r="3" spans="1:6" ht="12" customHeight="1" x14ac:dyDescent="0.2">
      <c r="A3" s="2203"/>
      <c r="B3" s="1547"/>
      <c r="C3" s="1548"/>
      <c r="D3" s="1549" t="s">
        <v>274</v>
      </c>
      <c r="E3" s="1548"/>
      <c r="F3" s="1549" t="s">
        <v>275</v>
      </c>
    </row>
    <row r="4" spans="1:6" ht="13.7" customHeight="1" x14ac:dyDescent="0.2">
      <c r="A4" s="716" t="s">
        <v>1216</v>
      </c>
      <c r="B4" s="1771">
        <f>'Revenues 9-14'!C5</f>
        <v>1903899</v>
      </c>
      <c r="C4" s="1546">
        <v>159440</v>
      </c>
      <c r="D4" s="1774">
        <f>B4-C4</f>
        <v>1744459</v>
      </c>
      <c r="E4" s="1546">
        <v>1980911</v>
      </c>
      <c r="F4" s="1774">
        <f>E4-C4</f>
        <v>1821471</v>
      </c>
    </row>
    <row r="5" spans="1:6" ht="13.7" customHeight="1" x14ac:dyDescent="0.2">
      <c r="A5" s="716" t="s">
        <v>924</v>
      </c>
      <c r="B5" s="1772">
        <f>'Revenues 9-14'!D5</f>
        <v>324522</v>
      </c>
      <c r="C5" s="585">
        <v>27166</v>
      </c>
      <c r="D5" s="1775">
        <f t="shared" ref="D5:D18" si="0">B5-C5</f>
        <v>297356</v>
      </c>
      <c r="E5" s="585">
        <v>337655</v>
      </c>
      <c r="F5" s="1775">
        <f>E5-C5</f>
        <v>310489</v>
      </c>
    </row>
    <row r="6" spans="1:6" ht="13.7" customHeight="1" x14ac:dyDescent="0.2">
      <c r="A6" s="716" t="s">
        <v>430</v>
      </c>
      <c r="B6" s="1772">
        <f>'Revenues 9-14'!E5</f>
        <v>383664</v>
      </c>
      <c r="C6" s="585">
        <v>31402</v>
      </c>
      <c r="D6" s="1775">
        <f t="shared" si="0"/>
        <v>352262</v>
      </c>
      <c r="E6" s="585">
        <v>390008</v>
      </c>
      <c r="F6" s="1775">
        <f t="shared" ref="F6:F18" si="1">E6-C6</f>
        <v>358606</v>
      </c>
    </row>
    <row r="7" spans="1:6" ht="13.7" customHeight="1" x14ac:dyDescent="0.2">
      <c r="A7" s="716" t="s">
        <v>157</v>
      </c>
      <c r="B7" s="1772">
        <f>'Revenues 9-14'!F5</f>
        <v>123635</v>
      </c>
      <c r="C7" s="585">
        <v>10354</v>
      </c>
      <c r="D7" s="1775">
        <f t="shared" si="0"/>
        <v>113281</v>
      </c>
      <c r="E7" s="585">
        <v>128631</v>
      </c>
      <c r="F7" s="1775">
        <f t="shared" si="1"/>
        <v>118277</v>
      </c>
    </row>
    <row r="8" spans="1:6" ht="13.7" customHeight="1" x14ac:dyDescent="0.2">
      <c r="A8" s="716" t="s">
        <v>1240</v>
      </c>
      <c r="B8" s="1772">
        <f>'Revenues 9-14'!G5</f>
        <v>46619</v>
      </c>
      <c r="C8" s="585">
        <v>2013</v>
      </c>
      <c r="D8" s="1775">
        <f t="shared" si="0"/>
        <v>44606</v>
      </c>
      <c r="E8" s="585">
        <v>25019</v>
      </c>
      <c r="F8" s="1775">
        <f t="shared" si="1"/>
        <v>23006</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30913</v>
      </c>
      <c r="C10" s="585">
        <v>2589</v>
      </c>
      <c r="D10" s="1775">
        <f t="shared" si="0"/>
        <v>28324</v>
      </c>
      <c r="E10" s="585">
        <v>32158</v>
      </c>
      <c r="F10" s="1775">
        <f t="shared" si="1"/>
        <v>29569</v>
      </c>
    </row>
    <row r="11" spans="1:6" x14ac:dyDescent="0.2">
      <c r="A11" s="716" t="s">
        <v>428</v>
      </c>
      <c r="B11" s="1772">
        <f>'Revenues 9-14'!J5</f>
        <v>235844</v>
      </c>
      <c r="C11" s="585">
        <v>19714</v>
      </c>
      <c r="D11" s="1775">
        <f t="shared" si="0"/>
        <v>216130</v>
      </c>
      <c r="E11" s="585">
        <v>244977</v>
      </c>
      <c r="F11" s="1775">
        <f t="shared" si="1"/>
        <v>225263</v>
      </c>
    </row>
    <row r="12" spans="1:6" ht="13.7" customHeight="1" x14ac:dyDescent="0.2">
      <c r="A12" s="716" t="s">
        <v>159</v>
      </c>
      <c r="B12" s="1772">
        <f>'Revenues 9-14'!K5</f>
        <v>30913</v>
      </c>
      <c r="C12" s="585">
        <v>2588</v>
      </c>
      <c r="D12" s="1775">
        <f t="shared" si="0"/>
        <v>28325</v>
      </c>
      <c r="E12" s="585">
        <v>32157</v>
      </c>
      <c r="F12" s="1775">
        <f t="shared" si="1"/>
        <v>29569</v>
      </c>
    </row>
    <row r="13" spans="1:6" ht="13.7" customHeight="1" x14ac:dyDescent="0.2">
      <c r="A13" s="716" t="s">
        <v>992</v>
      </c>
      <c r="B13" s="1772">
        <f>SUM('Revenues 9-14'!C6:D6)</f>
        <v>19749</v>
      </c>
      <c r="C13" s="585">
        <v>2118</v>
      </c>
      <c r="D13" s="1775">
        <f t="shared" si="0"/>
        <v>17631</v>
      </c>
      <c r="E13" s="585">
        <v>26176</v>
      </c>
      <c r="F13" s="1775">
        <f t="shared" si="1"/>
        <v>24058</v>
      </c>
    </row>
    <row r="14" spans="1:6" ht="13.7" customHeight="1" x14ac:dyDescent="0.2">
      <c r="A14" s="716" t="s">
        <v>429</v>
      </c>
      <c r="B14" s="1772">
        <f>SUM('Revenues 9-14'!C7:D7,'Revenues 9-14'!F7:H7)</f>
        <v>24719</v>
      </c>
      <c r="C14" s="585">
        <v>2066</v>
      </c>
      <c r="D14" s="1775">
        <f t="shared" si="0"/>
        <v>22653</v>
      </c>
      <c r="E14" s="585">
        <v>25726</v>
      </c>
      <c r="F14" s="1775">
        <f t="shared" si="1"/>
        <v>23660</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34200</v>
      </c>
      <c r="C16" s="585">
        <v>2013</v>
      </c>
      <c r="D16" s="1775">
        <f t="shared" si="0"/>
        <v>32187</v>
      </c>
      <c r="E16" s="585">
        <v>25019</v>
      </c>
      <c r="F16" s="1775">
        <f t="shared" si="1"/>
        <v>23006</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3158677</v>
      </c>
      <c r="C19" s="1773">
        <f>SUM(C4:C18)</f>
        <v>261463</v>
      </c>
      <c r="D19" s="1773">
        <f>SUM(D4:D18)</f>
        <v>2897214</v>
      </c>
      <c r="E19" s="1773">
        <f>SUM(E4:E18)</f>
        <v>3248437</v>
      </c>
      <c r="F19" s="1773">
        <f>SUM(F4:F18)</f>
        <v>2986974</v>
      </c>
    </row>
    <row r="20" spans="1:6" ht="13.5" thickTop="1" x14ac:dyDescent="0.2">
      <c r="B20" s="714"/>
      <c r="F20" s="717"/>
    </row>
    <row r="21" spans="1:6" x14ac:dyDescent="0.2">
      <c r="A21" s="718" t="s">
        <v>1913</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H34" sqref="H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649</v>
      </c>
      <c r="B1" s="2209"/>
      <c r="C1" s="722"/>
    </row>
    <row r="2" spans="1:7" ht="33.75" x14ac:dyDescent="0.2">
      <c r="A2" s="2217" t="s">
        <v>1903</v>
      </c>
      <c r="B2" s="2218"/>
      <c r="C2" s="1909" t="s">
        <v>2034</v>
      </c>
      <c r="D2" s="724" t="s">
        <v>2041</v>
      </c>
      <c r="E2" s="724" t="s">
        <v>2042</v>
      </c>
      <c r="F2" s="1909" t="s">
        <v>2035</v>
      </c>
    </row>
    <row r="3" spans="1:7" ht="15.75" customHeight="1" x14ac:dyDescent="0.2">
      <c r="A3" s="2221" t="s">
        <v>1175</v>
      </c>
      <c r="B3" s="2222"/>
      <c r="C3" s="2210"/>
      <c r="D3" s="2211"/>
      <c r="E3" s="2211"/>
      <c r="F3" s="2212"/>
    </row>
    <row r="4" spans="1:7" ht="12.75" customHeight="1" thickBot="1" x14ac:dyDescent="0.25">
      <c r="A4" s="2219" t="s">
        <v>650</v>
      </c>
      <c r="B4" s="2220"/>
      <c r="C4" s="581"/>
      <c r="D4" s="581"/>
      <c r="E4" s="581"/>
      <c r="F4" s="1777">
        <f>SUM(C4+D4)-E4</f>
        <v>0</v>
      </c>
    </row>
    <row r="5" spans="1:7" ht="15.75" customHeight="1" thickTop="1" x14ac:dyDescent="0.2">
      <c r="A5" s="2204" t="s">
        <v>1171</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6" t="s">
        <v>651</v>
      </c>
      <c r="B15" s="2207"/>
      <c r="C15" s="1777">
        <f>SUM(C6:C14)</f>
        <v>0</v>
      </c>
      <c r="D15" s="1777">
        <f>SUM(D6:D14)</f>
        <v>0</v>
      </c>
      <c r="E15" s="1777">
        <f>SUM(E6:E14)</f>
        <v>0</v>
      </c>
      <c r="F15" s="1777">
        <f>SUM(F6:F14)</f>
        <v>0</v>
      </c>
      <c r="G15" s="552"/>
    </row>
    <row r="16" spans="1:7" s="202" customFormat="1" ht="15.75" customHeight="1" thickTop="1" x14ac:dyDescent="0.2">
      <c r="A16" s="2216" t="s">
        <v>1172</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405</v>
      </c>
      <c r="B19" s="2230"/>
      <c r="C19" s="727"/>
      <c r="D19" s="585"/>
      <c r="E19" s="727"/>
      <c r="F19" s="1777">
        <f>SUM(C19+D19)-E19</f>
        <v>0</v>
      </c>
    </row>
    <row r="20" spans="1:11" ht="12.75" customHeight="1" thickTop="1" thickBot="1" x14ac:dyDescent="0.25">
      <c r="A20" s="2229" t="s">
        <v>467</v>
      </c>
      <c r="B20" s="2230"/>
      <c r="C20" s="727"/>
      <c r="D20" s="585"/>
      <c r="E20" s="727"/>
      <c r="F20" s="1777">
        <f>SUM(C20+D20)-E20</f>
        <v>0</v>
      </c>
    </row>
    <row r="21" spans="1:11" ht="14.25" thickTop="1" thickBot="1" x14ac:dyDescent="0.25">
      <c r="A21" s="2206" t="s">
        <v>652</v>
      </c>
      <c r="B21" s="2207"/>
      <c r="C21" s="1777">
        <f>SUM(C17:C20)</f>
        <v>0</v>
      </c>
      <c r="D21" s="1777">
        <f>SUM(D17:D20)</f>
        <v>0</v>
      </c>
      <c r="E21" s="1777">
        <f>SUM(E17:E20)</f>
        <v>0</v>
      </c>
      <c r="F21" s="1777">
        <f>SUM(F17:F20)</f>
        <v>0</v>
      </c>
      <c r="G21" s="552"/>
    </row>
    <row r="22" spans="1:11" ht="15.75" customHeight="1" thickTop="1" x14ac:dyDescent="0.2">
      <c r="A22" s="2231" t="s">
        <v>1173</v>
      </c>
      <c r="B22" s="2205"/>
      <c r="C22" s="2213"/>
      <c r="D22" s="2214"/>
      <c r="E22" s="2214"/>
      <c r="F22" s="2215"/>
    </row>
    <row r="23" spans="1:11" ht="13.5" thickBot="1" x14ac:dyDescent="0.25">
      <c r="A23" s="2219" t="s">
        <v>653</v>
      </c>
      <c r="B23" s="2220"/>
      <c r="C23" s="581"/>
      <c r="D23" s="581"/>
      <c r="E23" s="581"/>
      <c r="F23" s="1777">
        <f>SUM(C23+D23)-E23</f>
        <v>0</v>
      </c>
      <c r="G23" s="552"/>
    </row>
    <row r="24" spans="1:11" ht="15.75" customHeight="1" thickTop="1" x14ac:dyDescent="0.2">
      <c r="A24" s="2231" t="s">
        <v>1174</v>
      </c>
      <c r="B24" s="2205"/>
      <c r="C24" s="2213"/>
      <c r="D24" s="2214"/>
      <c r="E24" s="2214"/>
      <c r="F24" s="2215"/>
    </row>
    <row r="25" spans="1:11" ht="13.5" thickBot="1" x14ac:dyDescent="0.25">
      <c r="A25" s="2219" t="s">
        <v>654</v>
      </c>
      <c r="B25" s="2220"/>
      <c r="C25" s="581"/>
      <c r="D25" s="581"/>
      <c r="E25" s="581"/>
      <c r="F25" s="1777">
        <f>SUM(C25+D25)-E25</f>
        <v>0</v>
      </c>
      <c r="G25" s="552"/>
    </row>
    <row r="26" spans="1:11" ht="15.75" customHeight="1" thickTop="1" x14ac:dyDescent="0.2">
      <c r="A26" s="2204" t="s">
        <v>677</v>
      </c>
      <c r="B26" s="2205"/>
      <c r="C26" s="728"/>
      <c r="D26" s="728"/>
      <c r="E26" s="728"/>
      <c r="F26" s="729"/>
    </row>
    <row r="27" spans="1:11" ht="13.5" thickBot="1" x14ac:dyDescent="0.25">
      <c r="A27" s="2206" t="s">
        <v>1129</v>
      </c>
      <c r="B27" s="2207"/>
      <c r="C27" s="585"/>
      <c r="D27" s="585"/>
      <c r="E27" s="585"/>
      <c r="F27" s="1777">
        <f>SUM(C27+D27)-E27</f>
        <v>0</v>
      </c>
      <c r="G27" s="552"/>
    </row>
    <row r="28" spans="1:11" ht="7.5" customHeight="1" thickTop="1" x14ac:dyDescent="0.2">
      <c r="A28" s="594"/>
    </row>
    <row r="29" spans="1:11" ht="23.25" customHeight="1" x14ac:dyDescent="0.2">
      <c r="A29" s="2232" t="s">
        <v>602</v>
      </c>
      <c r="B29" s="2209"/>
      <c r="C29" s="730"/>
      <c r="D29" s="730"/>
      <c r="E29" s="730"/>
      <c r="F29" s="730"/>
      <c r="G29" s="730"/>
      <c r="H29" s="730"/>
      <c r="I29" s="730"/>
      <c r="J29" s="730"/>
    </row>
    <row r="30" spans="1:11" ht="33.75" x14ac:dyDescent="0.2">
      <c r="A30" s="1551" t="s">
        <v>1130</v>
      </c>
      <c r="B30" s="731" t="s">
        <v>1185</v>
      </c>
      <c r="C30" s="1910" t="s">
        <v>603</v>
      </c>
      <c r="D30" s="1910" t="s">
        <v>1770</v>
      </c>
      <c r="E30" s="1910" t="s">
        <v>2036</v>
      </c>
      <c r="F30" s="1910" t="s">
        <v>2037</v>
      </c>
      <c r="G30" s="1910" t="s">
        <v>2040</v>
      </c>
      <c r="H30" s="1910" t="s">
        <v>2038</v>
      </c>
      <c r="I30" s="1910" t="s">
        <v>2039</v>
      </c>
      <c r="J30" s="1911" t="s">
        <v>2</v>
      </c>
      <c r="K30" s="732"/>
    </row>
    <row r="31" spans="1:11" ht="12" customHeight="1" x14ac:dyDescent="0.2">
      <c r="A31" s="733" t="s">
        <v>2092</v>
      </c>
      <c r="B31" s="734">
        <v>40148</v>
      </c>
      <c r="C31" s="735">
        <v>555000</v>
      </c>
      <c r="D31" s="736">
        <v>2</v>
      </c>
      <c r="E31" s="735">
        <v>225000</v>
      </c>
      <c r="F31" s="735"/>
      <c r="G31" s="735"/>
      <c r="H31" s="735">
        <v>125000</v>
      </c>
      <c r="I31" s="1778">
        <f>((E31+F31)-H31)+G31</f>
        <v>100000</v>
      </c>
      <c r="J31" s="735">
        <v>35440</v>
      </c>
      <c r="K31" s="737"/>
    </row>
    <row r="32" spans="1:11" ht="12" customHeight="1" x14ac:dyDescent="0.2">
      <c r="A32" s="733" t="s">
        <v>2093</v>
      </c>
      <c r="B32" s="734">
        <v>40148</v>
      </c>
      <c r="C32" s="735">
        <v>950000</v>
      </c>
      <c r="D32" s="736">
        <v>3</v>
      </c>
      <c r="E32" s="735">
        <v>950000</v>
      </c>
      <c r="F32" s="735"/>
      <c r="G32" s="735">
        <v>-245000</v>
      </c>
      <c r="H32" s="735"/>
      <c r="I32" s="1778">
        <f>((E32+F32)-H32)+G32</f>
        <v>705000</v>
      </c>
      <c r="J32" s="735">
        <v>705000</v>
      </c>
      <c r="K32" s="737"/>
    </row>
    <row r="33" spans="1:11" ht="12" customHeight="1" x14ac:dyDescent="0.2">
      <c r="A33" s="733" t="s">
        <v>2094</v>
      </c>
      <c r="B33" s="734">
        <v>41061</v>
      </c>
      <c r="C33" s="735">
        <v>250000</v>
      </c>
      <c r="D33" s="736">
        <v>4</v>
      </c>
      <c r="E33" s="735">
        <v>95000</v>
      </c>
      <c r="F33" s="735"/>
      <c r="G33" s="735">
        <v>-95000</v>
      </c>
      <c r="H33" s="735"/>
      <c r="I33" s="1778">
        <f t="shared" ref="I33:I48" si="1">((E33+F33)-H33)+G33</f>
        <v>0</v>
      </c>
      <c r="J33" s="735"/>
      <c r="K33" s="737"/>
    </row>
    <row r="34" spans="1:11" ht="12" customHeight="1" x14ac:dyDescent="0.2">
      <c r="A34" s="733" t="s">
        <v>2095</v>
      </c>
      <c r="B34" s="734">
        <v>41852</v>
      </c>
      <c r="C34" s="735">
        <v>300000</v>
      </c>
      <c r="D34" s="736">
        <v>1</v>
      </c>
      <c r="E34" s="735">
        <v>100000</v>
      </c>
      <c r="F34" s="735"/>
      <c r="G34" s="735"/>
      <c r="H34" s="735">
        <v>100000</v>
      </c>
      <c r="I34" s="1778">
        <f t="shared" si="1"/>
        <v>0</v>
      </c>
      <c r="J34" s="735"/>
      <c r="K34" s="738"/>
    </row>
    <row r="35" spans="1:11" ht="12" customHeight="1" x14ac:dyDescent="0.2">
      <c r="A35" s="733" t="s">
        <v>2096</v>
      </c>
      <c r="B35" s="734">
        <v>42401</v>
      </c>
      <c r="C35" s="739">
        <v>480000</v>
      </c>
      <c r="D35" s="736">
        <v>1</v>
      </c>
      <c r="E35" s="739">
        <v>480000</v>
      </c>
      <c r="F35" s="739"/>
      <c r="G35" s="739"/>
      <c r="H35" s="739">
        <v>20000</v>
      </c>
      <c r="I35" s="1778">
        <f t="shared" si="1"/>
        <v>460000</v>
      </c>
      <c r="J35" s="739">
        <v>460000</v>
      </c>
      <c r="K35" s="738"/>
    </row>
    <row r="36" spans="1:11" ht="12" customHeight="1" x14ac:dyDescent="0.2">
      <c r="A36" s="733" t="s">
        <v>2097</v>
      </c>
      <c r="B36" s="734">
        <v>42852</v>
      </c>
      <c r="C36" s="735">
        <v>425000</v>
      </c>
      <c r="D36" s="736">
        <v>2</v>
      </c>
      <c r="E36" s="735">
        <v>425000</v>
      </c>
      <c r="F36" s="735"/>
      <c r="G36" s="735"/>
      <c r="H36" s="735">
        <v>425000</v>
      </c>
      <c r="I36" s="1778">
        <f t="shared" si="1"/>
        <v>0</v>
      </c>
      <c r="J36" s="735"/>
      <c r="K36" s="740"/>
    </row>
    <row r="37" spans="1:11" ht="12" customHeight="1" x14ac:dyDescent="0.2">
      <c r="A37" s="733" t="s">
        <v>2098</v>
      </c>
      <c r="B37" s="734">
        <v>42943</v>
      </c>
      <c r="C37" s="467">
        <v>1427734</v>
      </c>
      <c r="D37" s="741">
        <v>3</v>
      </c>
      <c r="E37" s="467"/>
      <c r="F37" s="467">
        <v>1427734</v>
      </c>
      <c r="G37" s="467"/>
      <c r="H37" s="467"/>
      <c r="I37" s="1778">
        <f t="shared" si="1"/>
        <v>1427734</v>
      </c>
      <c r="J37" s="467">
        <v>1427734</v>
      </c>
      <c r="K37" s="738"/>
    </row>
    <row r="38" spans="1:11" ht="12" customHeight="1" x14ac:dyDescent="0.2">
      <c r="A38" s="733" t="s">
        <v>2128</v>
      </c>
      <c r="B38" s="734">
        <v>42943</v>
      </c>
      <c r="C38" s="735">
        <v>1825000</v>
      </c>
      <c r="D38" s="742" t="s">
        <v>2129</v>
      </c>
      <c r="E38" s="743"/>
      <c r="F38" s="743">
        <v>1825000</v>
      </c>
      <c r="G38" s="743"/>
      <c r="H38" s="743"/>
      <c r="I38" s="1778">
        <f t="shared" si="1"/>
        <v>1825000</v>
      </c>
      <c r="J38" s="744">
        <v>1825000</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6212734</v>
      </c>
      <c r="D49" s="746"/>
      <c r="E49" s="1778">
        <f t="shared" ref="E49:J49" si="2">SUM(E31:E48)</f>
        <v>2275000</v>
      </c>
      <c r="F49" s="1778">
        <f t="shared" si="2"/>
        <v>3252734</v>
      </c>
      <c r="G49" s="1778">
        <f t="shared" si="2"/>
        <v>-340000</v>
      </c>
      <c r="H49" s="1778">
        <f t="shared" si="2"/>
        <v>670000</v>
      </c>
      <c r="I49" s="1778">
        <f t="shared" si="2"/>
        <v>4517734</v>
      </c>
      <c r="J49" s="1778">
        <f t="shared" si="2"/>
        <v>4453174</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967</v>
      </c>
      <c r="B52" s="2223" t="s">
        <v>604</v>
      </c>
      <c r="C52" s="2224"/>
      <c r="D52" s="2224"/>
      <c r="E52" s="750" t="s">
        <v>899</v>
      </c>
      <c r="F52" s="2225"/>
      <c r="G52" s="2226"/>
      <c r="H52" s="737"/>
      <c r="I52" s="737"/>
      <c r="J52" s="747"/>
    </row>
    <row r="53" spans="1:11" ht="11.25" customHeight="1" x14ac:dyDescent="0.2">
      <c r="A53" s="751" t="s">
        <v>968</v>
      </c>
      <c r="B53" s="752" t="s">
        <v>1007</v>
      </c>
      <c r="C53" s="747"/>
      <c r="D53" s="738"/>
      <c r="E53" s="750" t="s">
        <v>517</v>
      </c>
      <c r="F53" s="2227"/>
      <c r="G53" s="2228"/>
      <c r="H53" s="737"/>
      <c r="I53" s="737"/>
      <c r="J53" s="747"/>
    </row>
    <row r="54" spans="1:11" ht="11.25" customHeight="1" x14ac:dyDescent="0.2">
      <c r="A54" s="753" t="s">
        <v>969</v>
      </c>
      <c r="B54" s="748" t="s">
        <v>1008</v>
      </c>
      <c r="C54" s="747"/>
      <c r="D54" s="738"/>
      <c r="E54" s="750" t="s">
        <v>518</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910</v>
      </c>
      <c r="B1" s="2258"/>
      <c r="C1" s="2258"/>
      <c r="D1" s="2258"/>
      <c r="E1" s="2258"/>
      <c r="F1" s="2258"/>
      <c r="G1" s="2259"/>
      <c r="H1" s="1552"/>
      <c r="I1" s="761"/>
      <c r="J1" s="433"/>
    </row>
    <row r="2" spans="1:11" ht="26.25" x14ac:dyDescent="0.2">
      <c r="A2" s="2236" t="s">
        <v>1774</v>
      </c>
      <c r="B2" s="2237"/>
      <c r="C2" s="2237"/>
      <c r="D2" s="2237"/>
      <c r="E2" s="2238"/>
      <c r="F2" s="762" t="s">
        <v>959</v>
      </c>
      <c r="G2" s="763" t="s">
        <v>1771</v>
      </c>
      <c r="H2" s="763" t="s">
        <v>429</v>
      </c>
      <c r="I2" s="763" t="s">
        <v>1219</v>
      </c>
      <c r="J2" s="763" t="s">
        <v>1917</v>
      </c>
      <c r="K2" s="763" t="s">
        <v>140</v>
      </c>
    </row>
    <row r="3" spans="1:11" x14ac:dyDescent="0.2">
      <c r="A3" s="2239" t="s">
        <v>1696</v>
      </c>
      <c r="B3" s="2240"/>
      <c r="C3" s="2240"/>
      <c r="D3" s="2240"/>
      <c r="E3" s="2241"/>
      <c r="F3" s="764"/>
      <c r="G3" s="765"/>
      <c r="H3" s="765"/>
      <c r="I3" s="765"/>
      <c r="J3" s="766">
        <v>46653</v>
      </c>
      <c r="K3" s="766"/>
    </row>
    <row r="4" spans="1:11" x14ac:dyDescent="0.2">
      <c r="A4" s="2242" t="s">
        <v>386</v>
      </c>
      <c r="B4" s="2243"/>
      <c r="C4" s="2243"/>
      <c r="D4" s="2243"/>
      <c r="E4" s="2224"/>
      <c r="F4" s="767"/>
      <c r="G4" s="768"/>
      <c r="H4" s="769"/>
      <c r="I4" s="768"/>
      <c r="J4" s="770"/>
      <c r="K4" s="770"/>
    </row>
    <row r="5" spans="1:11" x14ac:dyDescent="0.2">
      <c r="A5" s="2260" t="s">
        <v>1128</v>
      </c>
      <c r="B5" s="2233"/>
      <c r="C5" s="2233"/>
      <c r="D5" s="2233"/>
      <c r="E5" s="2261"/>
      <c r="F5" s="771" t="s">
        <v>902</v>
      </c>
      <c r="G5" s="772"/>
      <c r="H5" s="765">
        <v>24719</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2430</v>
      </c>
    </row>
    <row r="8" spans="1:11" x14ac:dyDescent="0.2">
      <c r="A8" s="779" t="s">
        <v>362</v>
      </c>
      <c r="B8" s="780"/>
      <c r="C8" s="780"/>
      <c r="D8" s="780"/>
      <c r="E8" s="781"/>
      <c r="F8" s="771" t="s">
        <v>905</v>
      </c>
      <c r="G8" s="783"/>
      <c r="H8" s="783"/>
      <c r="I8" s="783"/>
      <c r="J8" s="766">
        <v>97538</v>
      </c>
      <c r="K8" s="770"/>
    </row>
    <row r="9" spans="1:11" x14ac:dyDescent="0.2">
      <c r="A9" s="779" t="s">
        <v>140</v>
      </c>
      <c r="B9" s="780"/>
      <c r="C9" s="780"/>
      <c r="D9" s="780"/>
      <c r="E9" s="781"/>
      <c r="F9" s="778" t="s">
        <v>907</v>
      </c>
      <c r="G9" s="783"/>
      <c r="H9" s="772"/>
      <c r="I9" s="772"/>
      <c r="J9" s="782"/>
      <c r="K9" s="766"/>
    </row>
    <row r="10" spans="1:11" x14ac:dyDescent="0.2">
      <c r="A10" s="2260" t="s">
        <v>1918</v>
      </c>
      <c r="B10" s="2233"/>
      <c r="C10" s="2233"/>
      <c r="D10" s="2233"/>
      <c r="E10" s="2262"/>
      <c r="F10" s="784" t="s">
        <v>916</v>
      </c>
      <c r="G10" s="783"/>
      <c r="H10" s="785"/>
      <c r="I10" s="765"/>
      <c r="J10" s="766"/>
      <c r="K10" s="766"/>
    </row>
    <row r="11" spans="1:11" x14ac:dyDescent="0.2">
      <c r="A11" s="2260" t="s">
        <v>162</v>
      </c>
      <c r="B11" s="2233"/>
      <c r="C11" s="2233"/>
      <c r="D11" s="2233"/>
      <c r="E11" s="2261"/>
      <c r="F11" s="771" t="s">
        <v>906</v>
      </c>
      <c r="G11" s="772"/>
      <c r="H11" s="765"/>
      <c r="I11" s="765"/>
      <c r="J11" s="766"/>
      <c r="K11" s="774"/>
    </row>
    <row r="12" spans="1:11" ht="13.5" thickBot="1" x14ac:dyDescent="0.25">
      <c r="A12" s="2250" t="s">
        <v>960</v>
      </c>
      <c r="B12" s="2251"/>
      <c r="C12" s="2251"/>
      <c r="D12" s="2251"/>
      <c r="E12" s="2252"/>
      <c r="F12" s="1779"/>
      <c r="G12" s="1780">
        <f>SUM(G5:G11)</f>
        <v>0</v>
      </c>
      <c r="H12" s="1780">
        <f>SUM(H5:H11)</f>
        <v>24719</v>
      </c>
      <c r="I12" s="1780">
        <f>SUM(I5:I11)</f>
        <v>0</v>
      </c>
      <c r="J12" s="1780">
        <f>SUM(J5:J11)</f>
        <v>97538</v>
      </c>
      <c r="K12" s="1780">
        <f>SUM(K5:K11)</f>
        <v>2430</v>
      </c>
    </row>
    <row r="13" spans="1:11" ht="13.5" thickTop="1" x14ac:dyDescent="0.2">
      <c r="A13" s="2244" t="s">
        <v>387</v>
      </c>
      <c r="B13" s="2245"/>
      <c r="C13" s="2245"/>
      <c r="D13" s="2245"/>
      <c r="E13" s="2246"/>
      <c r="F13" s="786"/>
      <c r="G13" s="787"/>
      <c r="H13" s="788"/>
      <c r="I13" s="789"/>
      <c r="J13" s="789"/>
      <c r="K13" s="789"/>
    </row>
    <row r="14" spans="1:11" x14ac:dyDescent="0.2">
      <c r="A14" s="2266" t="s">
        <v>475</v>
      </c>
      <c r="B14" s="2266"/>
      <c r="C14" s="2266"/>
      <c r="D14" s="2266"/>
      <c r="E14" s="2267"/>
      <c r="F14" s="790" t="s">
        <v>908</v>
      </c>
      <c r="G14" s="783"/>
      <c r="H14" s="765">
        <v>24719</v>
      </c>
      <c r="I14" s="772"/>
      <c r="J14" s="774"/>
      <c r="K14" s="766">
        <v>2430</v>
      </c>
    </row>
    <row r="15" spans="1:11" x14ac:dyDescent="0.2">
      <c r="A15" s="2233" t="s">
        <v>4</v>
      </c>
      <c r="B15" s="2233"/>
      <c r="C15" s="2233"/>
      <c r="D15" s="2233"/>
      <c r="E15" s="2261"/>
      <c r="F15" s="790" t="s">
        <v>909</v>
      </c>
      <c r="G15" s="772"/>
      <c r="H15" s="765"/>
      <c r="I15" s="765"/>
      <c r="J15" s="766">
        <v>59435</v>
      </c>
      <c r="K15" s="766"/>
    </row>
    <row r="16" spans="1:11" x14ac:dyDescent="0.2">
      <c r="A16" s="2233" t="s">
        <v>315</v>
      </c>
      <c r="B16" s="2233"/>
      <c r="C16" s="2233"/>
      <c r="D16" s="2233"/>
      <c r="E16" s="2261"/>
      <c r="F16" s="790" t="s">
        <v>979</v>
      </c>
      <c r="G16" s="773"/>
      <c r="H16" s="768"/>
      <c r="I16" s="768"/>
      <c r="J16" s="770"/>
      <c r="K16" s="770"/>
    </row>
    <row r="17" spans="1:11" x14ac:dyDescent="0.2">
      <c r="A17" s="2255" t="s">
        <v>991</v>
      </c>
      <c r="B17" s="2255"/>
      <c r="C17" s="2255"/>
      <c r="D17" s="2255"/>
      <c r="E17" s="2256"/>
      <c r="F17" s="791"/>
      <c r="G17" s="792"/>
      <c r="H17" s="793"/>
      <c r="I17" s="793"/>
      <c r="J17" s="794"/>
      <c r="K17" s="795"/>
    </row>
    <row r="18" spans="1:11" x14ac:dyDescent="0.2">
      <c r="A18" s="2247" t="s">
        <v>385</v>
      </c>
      <c r="B18" s="2248"/>
      <c r="C18" s="2248"/>
      <c r="D18" s="2248"/>
      <c r="E18" s="2249"/>
      <c r="F18" s="790" t="s">
        <v>988</v>
      </c>
      <c r="G18" s="783"/>
      <c r="H18" s="783"/>
      <c r="I18" s="783"/>
      <c r="J18" s="766"/>
      <c r="K18" s="796"/>
    </row>
    <row r="19" spans="1:11" ht="21.75" customHeight="1" x14ac:dyDescent="0.2">
      <c r="A19" s="2268" t="s">
        <v>1914</v>
      </c>
      <c r="B19" s="2268"/>
      <c r="C19" s="2268"/>
      <c r="D19" s="2268"/>
      <c r="E19" s="2269"/>
      <c r="F19" s="790" t="s">
        <v>989</v>
      </c>
      <c r="G19" s="783"/>
      <c r="H19" s="783"/>
      <c r="I19" s="783"/>
      <c r="J19" s="766"/>
      <c r="K19" s="796"/>
    </row>
    <row r="20" spans="1:11" x14ac:dyDescent="0.2">
      <c r="A20" s="2247" t="s">
        <v>1919</v>
      </c>
      <c r="B20" s="2248"/>
      <c r="C20" s="2248"/>
      <c r="D20" s="2248"/>
      <c r="E20" s="2249"/>
      <c r="F20" s="790" t="s">
        <v>990</v>
      </c>
      <c r="G20" s="783"/>
      <c r="H20" s="783"/>
      <c r="I20" s="783"/>
      <c r="J20" s="766"/>
      <c r="K20" s="796"/>
    </row>
    <row r="21" spans="1:11" ht="13.5" thickBot="1" x14ac:dyDescent="0.25">
      <c r="A21" s="2253" t="s">
        <v>658</v>
      </c>
      <c r="B21" s="2253"/>
      <c r="C21" s="2253"/>
      <c r="D21" s="2253"/>
      <c r="E21" s="2253"/>
      <c r="F21" s="1781"/>
      <c r="G21" s="793"/>
      <c r="H21" s="797"/>
      <c r="I21" s="797"/>
      <c r="J21" s="1782">
        <f>SUM(J18:J20)</f>
        <v>0</v>
      </c>
      <c r="K21" s="794"/>
    </row>
    <row r="22" spans="1:11" ht="13.5" thickTop="1" x14ac:dyDescent="0.2">
      <c r="A22" s="2233" t="s">
        <v>1920</v>
      </c>
      <c r="B22" s="2233"/>
      <c r="C22" s="2233"/>
      <c r="D22" s="2233"/>
      <c r="E22" s="2261"/>
      <c r="F22" s="790" t="s">
        <v>916</v>
      </c>
      <c r="G22" s="783"/>
      <c r="H22" s="765"/>
      <c r="I22" s="765"/>
      <c r="J22" s="798"/>
      <c r="K22" s="766"/>
    </row>
    <row r="23" spans="1:11" ht="13.5" thickBot="1" x14ac:dyDescent="0.25">
      <c r="A23" s="2254" t="s">
        <v>961</v>
      </c>
      <c r="B23" s="2253"/>
      <c r="C23" s="2253"/>
      <c r="D23" s="2253"/>
      <c r="E23" s="2253"/>
      <c r="F23" s="1783"/>
      <c r="G23" s="1780">
        <f>SUM(G14:G16,G21,G22)</f>
        <v>0</v>
      </c>
      <c r="H23" s="1780">
        <f>SUM(H14:H16,H21,H22)</f>
        <v>24719</v>
      </c>
      <c r="I23" s="1780">
        <f>SUM(I14:I16,I21,I22)</f>
        <v>0</v>
      </c>
      <c r="J23" s="1780">
        <f>SUM(J14:J16,J21,J22)</f>
        <v>59435</v>
      </c>
      <c r="K23" s="1780">
        <f>SUM(K14:K16,K21,K22)</f>
        <v>2430</v>
      </c>
    </row>
    <row r="24" spans="1:11" ht="14.25" thickTop="1" thickBot="1" x14ac:dyDescent="0.25">
      <c r="A24" s="2254" t="s">
        <v>2022</v>
      </c>
      <c r="B24" s="2253"/>
      <c r="C24" s="2253"/>
      <c r="D24" s="2253"/>
      <c r="E24" s="2253"/>
      <c r="F24" s="1784"/>
      <c r="G24" s="1785">
        <f>SUM(G3,G12)-G23</f>
        <v>0</v>
      </c>
      <c r="H24" s="1785">
        <f>SUM(H3,H12)-H23</f>
        <v>0</v>
      </c>
      <c r="I24" s="1785">
        <f>SUM(I3,I12)-I23</f>
        <v>0</v>
      </c>
      <c r="J24" s="1785">
        <f>SUM(J3,J12)-J23</f>
        <v>84756</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84756</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3"/>
      <c r="I31" s="2264"/>
      <c r="J31" s="2264"/>
      <c r="K31" s="2264"/>
    </row>
    <row r="32" spans="1:11" x14ac:dyDescent="0.2">
      <c r="A32" s="810"/>
      <c r="B32" s="237"/>
      <c r="C32" s="237"/>
      <c r="D32" s="237"/>
      <c r="E32" s="806"/>
      <c r="F32" s="812" t="s">
        <v>560</v>
      </c>
      <c r="G32" s="765"/>
      <c r="H32" s="2265"/>
      <c r="I32" s="2264"/>
      <c r="J32" s="2264"/>
      <c r="K32" s="2264"/>
    </row>
    <row r="33" spans="1:11" ht="1.5" customHeight="1" x14ac:dyDescent="0.2">
      <c r="A33" s="813" t="s">
        <v>1230</v>
      </c>
      <c r="B33" s="364"/>
      <c r="C33" s="364"/>
      <c r="D33" s="364"/>
      <c r="E33" s="364"/>
      <c r="F33" s="364"/>
      <c r="G33" s="814"/>
      <c r="H33" s="2265"/>
      <c r="I33" s="2264"/>
      <c r="J33" s="2264"/>
      <c r="K33" s="2264"/>
    </row>
    <row r="34" spans="1:11" x14ac:dyDescent="0.2">
      <c r="A34" s="815" t="s">
        <v>1921</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3" t="s">
        <v>561</v>
      </c>
      <c r="B41" s="2234"/>
      <c r="C41" s="2234"/>
      <c r="D41" s="2234"/>
      <c r="E41" s="2234"/>
      <c r="F41" s="2235"/>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1915</v>
      </c>
      <c r="B46" s="408" t="s">
        <v>1772</v>
      </c>
    </row>
    <row r="47" spans="1:11" s="824" customFormat="1" ht="12.75" customHeight="1" x14ac:dyDescent="0.2">
      <c r="A47" s="822"/>
      <c r="B47" s="823" t="s">
        <v>1773</v>
      </c>
      <c r="E47" s="823"/>
      <c r="K47" s="825"/>
    </row>
    <row r="48" spans="1:11" ht="12.75" customHeight="1" x14ac:dyDescent="0.2">
      <c r="A48" s="1554" t="s">
        <v>1916</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2031</v>
      </c>
      <c r="B1" s="2273"/>
      <c r="C1" s="2274"/>
      <c r="D1" s="827"/>
      <c r="E1" s="828"/>
      <c r="F1" s="828"/>
      <c r="G1" s="829"/>
      <c r="H1" s="830"/>
      <c r="I1" s="831"/>
      <c r="J1" s="2270"/>
      <c r="K1" s="2271"/>
      <c r="L1" s="2271"/>
    </row>
    <row r="2" spans="1:14" ht="69.75" customHeight="1" x14ac:dyDescent="0.2">
      <c r="A2" s="832" t="s">
        <v>1775</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17419</v>
      </c>
      <c r="D5" s="842"/>
      <c r="E5" s="842"/>
      <c r="F5" s="1782">
        <f>(C5+D5)-E5</f>
        <v>17419</v>
      </c>
      <c r="G5" s="838"/>
      <c r="H5" s="843"/>
      <c r="I5" s="843"/>
      <c r="J5" s="843"/>
      <c r="K5" s="794"/>
      <c r="L5" s="1791">
        <f>F5-K5</f>
        <v>17419</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3915790</v>
      </c>
      <c r="D8" s="845"/>
      <c r="E8" s="845"/>
      <c r="F8" s="1782">
        <f>(C8+D8)-E8</f>
        <v>3915790</v>
      </c>
      <c r="G8" s="844">
        <v>50</v>
      </c>
      <c r="H8" s="766">
        <v>2714173</v>
      </c>
      <c r="I8" s="766">
        <v>78025</v>
      </c>
      <c r="J8" s="766"/>
      <c r="K8" s="1791">
        <f>(H8+I8)-J8</f>
        <v>2792198</v>
      </c>
      <c r="L8" s="1791">
        <f>F8-K8</f>
        <v>1123592</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526664</v>
      </c>
      <c r="D10" s="847">
        <v>59435</v>
      </c>
      <c r="E10" s="847"/>
      <c r="F10" s="1786">
        <f>(C10+D10)-E10</f>
        <v>586099</v>
      </c>
      <c r="G10" s="844">
        <v>20</v>
      </c>
      <c r="H10" s="848">
        <v>26333</v>
      </c>
      <c r="I10" s="848">
        <v>29305</v>
      </c>
      <c r="J10" s="848"/>
      <c r="K10" s="1791">
        <f>(H10+I10)-J10</f>
        <v>55638</v>
      </c>
      <c r="L10" s="1791">
        <f>F10-K10</f>
        <v>530461</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1396959</v>
      </c>
      <c r="D12" s="845">
        <v>4257</v>
      </c>
      <c r="E12" s="845"/>
      <c r="F12" s="1782">
        <f>(C12+D12)-E12</f>
        <v>1401216</v>
      </c>
      <c r="G12" s="844">
        <v>10</v>
      </c>
      <c r="H12" s="766">
        <v>1271465</v>
      </c>
      <c r="I12" s="766">
        <v>71453</v>
      </c>
      <c r="J12" s="766"/>
      <c r="K12" s="1791">
        <f>(H12+I12)-J12</f>
        <v>1342918</v>
      </c>
      <c r="L12" s="1791">
        <f>F12-K12</f>
        <v>58298</v>
      </c>
    </row>
    <row r="13" spans="1:14" ht="14.25" thickTop="1" thickBot="1" x14ac:dyDescent="0.25">
      <c r="A13" s="849" t="s">
        <v>1183</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5856832</v>
      </c>
      <c r="D16" s="1782">
        <f>SUM(D3,D5:D6,D8:D10,D12:D15)</f>
        <v>63692</v>
      </c>
      <c r="E16" s="1782">
        <f>SUM(E3,E5:E6,E8:E10,E12:E15)</f>
        <v>0</v>
      </c>
      <c r="F16" s="1782">
        <f>SUM(F3,F5:F6,F8:F10,F12:F15)</f>
        <v>5920524</v>
      </c>
      <c r="G16" s="844"/>
      <c r="H16" s="1782">
        <f>SUM(H3,H6,H8:H10,H12:H14,)</f>
        <v>4011971</v>
      </c>
      <c r="I16" s="1782">
        <f>SUM(I3,I6,I8:I10,I12:I14,)</f>
        <v>178783</v>
      </c>
      <c r="J16" s="1782">
        <f>SUM(J3,J6,J8:J10,J12:J14,)</f>
        <v>0</v>
      </c>
      <c r="K16" s="1782">
        <f>(H16+I16)-J16</f>
        <v>4190754</v>
      </c>
      <c r="L16" s="1782">
        <f>F16-K16</f>
        <v>1729770</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178783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1697</v>
      </c>
      <c r="B1" s="2279"/>
      <c r="C1" s="2279"/>
      <c r="D1" s="2279"/>
      <c r="E1" s="2279"/>
      <c r="F1" s="2280"/>
      <c r="G1" s="856"/>
    </row>
    <row r="2" spans="1:7" ht="15" customHeight="1" thickBot="1" x14ac:dyDescent="0.25">
      <c r="A2" s="2281" t="s">
        <v>497</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4"/>
      <c r="B5" s="2285"/>
      <c r="C5" s="2285"/>
      <c r="D5" s="2285"/>
      <c r="E5" s="2285"/>
      <c r="F5" s="2285"/>
    </row>
    <row r="6" spans="1:7" ht="13.5" customHeight="1" thickBot="1" x14ac:dyDescent="0.25">
      <c r="A6" s="2275" t="s">
        <v>1165</v>
      </c>
      <c r="B6" s="2276"/>
      <c r="C6" s="2276"/>
      <c r="D6" s="2276"/>
      <c r="E6" s="2276"/>
      <c r="F6" s="2277"/>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2645720</v>
      </c>
      <c r="G8" s="866"/>
    </row>
    <row r="9" spans="1:7" x14ac:dyDescent="0.2">
      <c r="A9" s="870" t="s">
        <v>479</v>
      </c>
      <c r="B9" s="871" t="s">
        <v>1986</v>
      </c>
      <c r="C9" s="872"/>
      <c r="D9" s="870" t="s">
        <v>521</v>
      </c>
      <c r="E9" s="869"/>
      <c r="F9" s="1935">
        <f>'Expenditures 15-22'!K151</f>
        <v>290572</v>
      </c>
      <c r="G9" s="873"/>
    </row>
    <row r="10" spans="1:7" x14ac:dyDescent="0.2">
      <c r="A10" s="870" t="s">
        <v>519</v>
      </c>
      <c r="B10" s="871" t="s">
        <v>1987</v>
      </c>
      <c r="C10" s="872"/>
      <c r="D10" s="870" t="s">
        <v>521</v>
      </c>
      <c r="E10" s="869"/>
      <c r="F10" s="1935">
        <f>'Expenditures 15-22'!K174</f>
        <v>343612</v>
      </c>
      <c r="G10" s="873"/>
    </row>
    <row r="11" spans="1:7" x14ac:dyDescent="0.2">
      <c r="A11" s="870" t="s">
        <v>480</v>
      </c>
      <c r="B11" s="871" t="s">
        <v>1988</v>
      </c>
      <c r="C11" s="872"/>
      <c r="D11" s="870" t="s">
        <v>521</v>
      </c>
      <c r="E11" s="869"/>
      <c r="F11" s="1935">
        <f>'Expenditures 15-22'!K210</f>
        <v>257071</v>
      </c>
      <c r="G11" s="873"/>
    </row>
    <row r="12" spans="1:7" x14ac:dyDescent="0.2">
      <c r="A12" s="870" t="s">
        <v>481</v>
      </c>
      <c r="B12" s="871" t="s">
        <v>1989</v>
      </c>
      <c r="C12" s="872"/>
      <c r="D12" s="870" t="s">
        <v>521</v>
      </c>
      <c r="E12" s="869"/>
      <c r="F12" s="1935">
        <f>'Expenditures 15-22'!K295</f>
        <v>73300</v>
      </c>
      <c r="G12" s="873"/>
    </row>
    <row r="13" spans="1:7" x14ac:dyDescent="0.2">
      <c r="A13" s="870" t="s">
        <v>108</v>
      </c>
      <c r="B13" s="871" t="s">
        <v>1990</v>
      </c>
      <c r="C13" s="872"/>
      <c r="D13" s="870" t="s">
        <v>521</v>
      </c>
      <c r="E13" s="869"/>
      <c r="F13" s="1935">
        <f>'Expenditures 15-22'!K342</f>
        <v>209447</v>
      </c>
      <c r="G13" s="874"/>
    </row>
    <row r="14" spans="1:7" ht="12" customHeight="1" thickBot="1" x14ac:dyDescent="0.25">
      <c r="A14" s="1792"/>
      <c r="B14" s="1793"/>
      <c r="C14" s="1794"/>
      <c r="D14" s="1795" t="s">
        <v>521</v>
      </c>
      <c r="E14" s="1796" t="s">
        <v>1014</v>
      </c>
      <c r="F14" s="1797">
        <f>SUM(F8:F13)</f>
        <v>3819722</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9-14'!D148,F148)</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92189</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0</v>
      </c>
      <c r="G52" s="866"/>
    </row>
    <row r="53" spans="1:7" x14ac:dyDescent="0.2">
      <c r="A53" s="870" t="s">
        <v>478</v>
      </c>
      <c r="B53" s="870" t="s">
        <v>1550</v>
      </c>
      <c r="C53" s="890">
        <f>'Expenditures 15-22'!B102</f>
        <v>4000</v>
      </c>
      <c r="D53" s="889" t="str">
        <f>'Expenditures 15-22'!A102</f>
        <v>Total Payments to Other Govt Units</v>
      </c>
      <c r="E53" s="869"/>
      <c r="F53" s="1939">
        <f>'Expenditures 15-22'!K102</f>
        <v>87802</v>
      </c>
      <c r="G53" s="866"/>
    </row>
    <row r="54" spans="1:7" x14ac:dyDescent="0.2">
      <c r="A54" s="870" t="s">
        <v>478</v>
      </c>
      <c r="B54" s="870" t="s">
        <v>1551</v>
      </c>
      <c r="C54" s="890" t="s">
        <v>1038</v>
      </c>
      <c r="D54" s="886" t="s">
        <v>1156</v>
      </c>
      <c r="E54" s="869"/>
      <c r="F54" s="1939">
        <f>'Expenditures 15-22'!G114</f>
        <v>4257</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1991</v>
      </c>
      <c r="C57" s="890">
        <f>'Expenditures 15-22'!B139</f>
        <v>4000</v>
      </c>
      <c r="D57" s="888" t="str">
        <f>'Expenditures 15-22'!A139</f>
        <v>Total Payments to Other Govt Units</v>
      </c>
      <c r="E57" s="869"/>
      <c r="F57" s="1939">
        <f>'Expenditures 15-22'!K139</f>
        <v>0</v>
      </c>
      <c r="G57" s="866"/>
    </row>
    <row r="58" spans="1:7" x14ac:dyDescent="0.2">
      <c r="A58" s="870" t="s">
        <v>479</v>
      </c>
      <c r="B58" s="870" t="s">
        <v>1992</v>
      </c>
      <c r="C58" s="887" t="s">
        <v>1038</v>
      </c>
      <c r="D58" s="886" t="s">
        <v>1156</v>
      </c>
      <c r="E58" s="869"/>
      <c r="F58" s="1941">
        <f>'Expenditures 15-22'!G151</f>
        <v>0</v>
      </c>
      <c r="G58" s="866"/>
    </row>
    <row r="59" spans="1:7" x14ac:dyDescent="0.2">
      <c r="A59" s="894" t="s">
        <v>479</v>
      </c>
      <c r="B59" s="857" t="s">
        <v>1993</v>
      </c>
      <c r="C59" s="895" t="s">
        <v>1038</v>
      </c>
      <c r="D59" s="857" t="s">
        <v>308</v>
      </c>
      <c r="F59" s="1942">
        <f>'Expenditures 15-22'!I151</f>
        <v>0</v>
      </c>
      <c r="G59" s="866"/>
    </row>
    <row r="60" spans="1:7" x14ac:dyDescent="0.2">
      <c r="A60" s="894" t="s">
        <v>519</v>
      </c>
      <c r="B60" s="857" t="s">
        <v>1994</v>
      </c>
      <c r="C60" s="895">
        <v>4000</v>
      </c>
      <c r="D60" s="857" t="s">
        <v>329</v>
      </c>
      <c r="F60" s="1940">
        <f>'Expenditures 15-22'!K160</f>
        <v>0</v>
      </c>
      <c r="G60" s="866"/>
    </row>
    <row r="61" spans="1:7" x14ac:dyDescent="0.2">
      <c r="A61" s="896" t="s">
        <v>519</v>
      </c>
      <c r="B61" s="896" t="s">
        <v>1995</v>
      </c>
      <c r="C61" s="897" t="str">
        <f>'Expenditures 15-22'!B170</f>
        <v>5300</v>
      </c>
      <c r="D61" s="898" t="s">
        <v>328</v>
      </c>
      <c r="E61" s="880"/>
      <c r="F61" s="1939">
        <f>'Expenditures 15-22'!K170</f>
        <v>245000</v>
      </c>
      <c r="G61" s="866"/>
    </row>
    <row r="62" spans="1:7" x14ac:dyDescent="0.2">
      <c r="A62" s="870" t="s">
        <v>480</v>
      </c>
      <c r="B62" s="870" t="s">
        <v>1996</v>
      </c>
      <c r="C62" s="887">
        <f>'Expenditures 15-22'!B185</f>
        <v>3000</v>
      </c>
      <c r="D62" s="877" t="s">
        <v>468</v>
      </c>
      <c r="E62" s="869"/>
      <c r="F62" s="1939">
        <f>'Expenditures 15-22'!K185-SUM('Expenditures 15-22'!G185,'Expenditures 15-22'!I185)</f>
        <v>0</v>
      </c>
      <c r="G62" s="866"/>
    </row>
    <row r="63" spans="1:7" x14ac:dyDescent="0.2">
      <c r="A63" s="870" t="s">
        <v>480</v>
      </c>
      <c r="B63" s="870" t="s">
        <v>1997</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1998</v>
      </c>
      <c r="C64" s="897" t="str">
        <f>'Expenditures 15-22'!B206</f>
        <v>5300</v>
      </c>
      <c r="D64" s="893" t="s">
        <v>328</v>
      </c>
      <c r="E64" s="869"/>
      <c r="F64" s="1939">
        <f>'Expenditures 15-22'!K206</f>
        <v>0</v>
      </c>
      <c r="G64" s="866"/>
    </row>
    <row r="65" spans="1:8" x14ac:dyDescent="0.2">
      <c r="A65" s="870" t="s">
        <v>480</v>
      </c>
      <c r="B65" s="870" t="s">
        <v>1999</v>
      </c>
      <c r="C65" s="887" t="s">
        <v>1038</v>
      </c>
      <c r="D65" s="886" t="s">
        <v>1156</v>
      </c>
      <c r="E65" s="869"/>
      <c r="F65" s="1939">
        <f>'Expenditures 15-22'!G210</f>
        <v>0</v>
      </c>
      <c r="G65" s="866"/>
    </row>
    <row r="66" spans="1:8" x14ac:dyDescent="0.2">
      <c r="A66" s="870" t="s">
        <v>480</v>
      </c>
      <c r="B66" s="870" t="s">
        <v>2000</v>
      </c>
      <c r="C66" s="887" t="s">
        <v>1038</v>
      </c>
      <c r="D66" s="886" t="s">
        <v>308</v>
      </c>
      <c r="E66" s="869"/>
      <c r="F66" s="1939">
        <f>'Expenditures 15-22'!I210</f>
        <v>0</v>
      </c>
      <c r="G66" s="866"/>
    </row>
    <row r="67" spans="1:8" x14ac:dyDescent="0.2">
      <c r="A67" s="870" t="s">
        <v>481</v>
      </c>
      <c r="B67" s="870" t="s">
        <v>2001</v>
      </c>
      <c r="C67" s="887" t="str">
        <f>'Expenditures 15-22'!B216</f>
        <v>1125</v>
      </c>
      <c r="D67" s="893" t="str">
        <f>'Expenditures 15-22'!A216</f>
        <v>Pre-K Programs</v>
      </c>
      <c r="E67" s="869"/>
      <c r="F67" s="1939">
        <f>'Expenditures 15-22'!K216</f>
        <v>2797</v>
      </c>
      <c r="G67" s="866"/>
    </row>
    <row r="68" spans="1:8" x14ac:dyDescent="0.2">
      <c r="A68" s="870" t="s">
        <v>481</v>
      </c>
      <c r="B68" s="870" t="s">
        <v>1554</v>
      </c>
      <c r="C68" s="887" t="str">
        <f>'Expenditures 15-22'!B218</f>
        <v>1225</v>
      </c>
      <c r="D68" s="893" t="str">
        <f>'Expenditures 15-22'!A218</f>
        <v>Special Education Programs - Pre-K</v>
      </c>
      <c r="E68" s="869"/>
      <c r="F68" s="1939">
        <f>'Expenditures 15-22'!K218</f>
        <v>0</v>
      </c>
      <c r="G68" s="866"/>
    </row>
    <row r="69" spans="1:8" x14ac:dyDescent="0.2">
      <c r="A69" s="870" t="s">
        <v>481</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2003</v>
      </c>
      <c r="C70" s="887">
        <f>'Expenditures 15-22'!B221</f>
        <v>1300</v>
      </c>
      <c r="D70" s="888" t="str">
        <f>'Expenditures 15-22'!A221</f>
        <v>Adult/Continuing Education Programs</v>
      </c>
      <c r="E70" s="869"/>
      <c r="F70" s="1939">
        <f>'Expenditures 15-22'!K221</f>
        <v>0</v>
      </c>
      <c r="G70" s="866"/>
    </row>
    <row r="71" spans="1:8" x14ac:dyDescent="0.2">
      <c r="A71" s="870" t="s">
        <v>481</v>
      </c>
      <c r="B71" s="870" t="s">
        <v>2004</v>
      </c>
      <c r="C71" s="887">
        <f>'Expenditures 15-22'!B224</f>
        <v>1600</v>
      </c>
      <c r="D71" s="888" t="str">
        <f>'Expenditures 15-22'!A224</f>
        <v>Summer School Programs</v>
      </c>
      <c r="E71" s="869"/>
      <c r="F71" s="1939">
        <f>'Expenditures 15-22'!K224</f>
        <v>0</v>
      </c>
      <c r="G71" s="866"/>
    </row>
    <row r="72" spans="1:8" x14ac:dyDescent="0.2">
      <c r="A72" s="870" t="s">
        <v>481</v>
      </c>
      <c r="B72" s="870" t="s">
        <v>2005</v>
      </c>
      <c r="C72" s="887">
        <f>'Expenditures 15-22'!B280</f>
        <v>3000</v>
      </c>
      <c r="D72" s="877" t="s">
        <v>468</v>
      </c>
      <c r="E72" s="869"/>
      <c r="F72" s="1939">
        <f>'Expenditures 15-22'!K280</f>
        <v>0</v>
      </c>
      <c r="G72" s="866"/>
    </row>
    <row r="73" spans="1:8" x14ac:dyDescent="0.2">
      <c r="A73" s="870" t="s">
        <v>481</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2007</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1014</v>
      </c>
      <c r="F76" s="1800">
        <f>SUM(F18:F74)</f>
        <v>432045</v>
      </c>
      <c r="G76" s="866"/>
    </row>
    <row r="77" spans="1:8" s="894" customFormat="1" ht="12" customHeight="1" thickTop="1" thickBot="1" x14ac:dyDescent="0.25">
      <c r="A77" s="1801"/>
      <c r="B77" s="1798"/>
      <c r="C77" s="1794"/>
      <c r="D77" s="1799" t="s">
        <v>2009</v>
      </c>
      <c r="E77" s="1796"/>
      <c r="F77" s="1802">
        <f>(F14-F76)</f>
        <v>3387677</v>
      </c>
      <c r="G77" s="870"/>
    </row>
    <row r="78" spans="1:8" s="894" customFormat="1" ht="12" customHeight="1" thickTop="1" x14ac:dyDescent="0.2">
      <c r="A78" s="1803"/>
      <c r="B78" s="1798"/>
      <c r="C78" s="1794"/>
      <c r="D78" s="1799" t="s">
        <v>2055</v>
      </c>
      <c r="E78" s="1796"/>
      <c r="F78" s="899">
        <v>288.2</v>
      </c>
      <c r="G78" s="900"/>
      <c r="H78" s="870"/>
    </row>
    <row r="79" spans="1:8" s="894" customFormat="1" ht="12" customHeight="1" thickBot="1" x14ac:dyDescent="0.25">
      <c r="A79" s="1804"/>
      <c r="B79" s="1798"/>
      <c r="C79" s="1794"/>
      <c r="D79" s="1799" t="s">
        <v>2010</v>
      </c>
      <c r="E79" s="1796" t="s">
        <v>1014</v>
      </c>
      <c r="F79" s="1805">
        <f>IF(F78&gt;0,F77/F78," Complete Line 78")</f>
        <v>11754.604441360167</v>
      </c>
      <c r="G79" s="870"/>
    </row>
    <row r="80" spans="1:8" s="894" customFormat="1" ht="8.25" customHeight="1" thickTop="1" x14ac:dyDescent="0.2">
      <c r="A80" s="901"/>
      <c r="B80" s="870"/>
      <c r="C80" s="872"/>
      <c r="D80" s="902"/>
      <c r="E80" s="869"/>
      <c r="F80" s="903"/>
      <c r="G80" s="870"/>
    </row>
    <row r="81" spans="1:7" s="894" customFormat="1" ht="12" thickBot="1" x14ac:dyDescent="0.25">
      <c r="A81" s="2275" t="s">
        <v>1166</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27282</v>
      </c>
      <c r="G94" s="913"/>
    </row>
    <row r="95" spans="1:7" x14ac:dyDescent="0.2">
      <c r="A95" s="909" t="s">
        <v>142</v>
      </c>
      <c r="B95" s="909" t="s">
        <v>177</v>
      </c>
      <c r="C95" s="911">
        <v>1700</v>
      </c>
      <c r="D95" s="919" t="str">
        <f>'Revenues 9-14'!A82</f>
        <v>Total District/School Activity Income</v>
      </c>
      <c r="E95" s="907"/>
      <c r="F95" s="1811">
        <f>SUM('Revenues 9-14'!C82,'Revenues 9-14'!D82)</f>
        <v>29501</v>
      </c>
      <c r="G95" s="913"/>
    </row>
    <row r="96" spans="1:7" x14ac:dyDescent="0.2">
      <c r="A96" s="909" t="s">
        <v>478</v>
      </c>
      <c r="B96" s="909" t="s">
        <v>178</v>
      </c>
      <c r="C96" s="911">
        <f>'Revenues 9-14'!B84</f>
        <v>1811</v>
      </c>
      <c r="D96" s="912" t="str">
        <f>'Revenues 9-14'!A84</f>
        <v>Rentals - Regular Textbooks</v>
      </c>
      <c r="E96" s="907"/>
      <c r="F96" s="1811">
        <f>'Revenues 9-14'!C84</f>
        <v>8227</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68528</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24358</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9989</v>
      </c>
      <c r="G106" s="913"/>
    </row>
    <row r="107" spans="1:7" x14ac:dyDescent="0.2">
      <c r="A107" s="922" t="s">
        <v>684</v>
      </c>
      <c r="B107" s="909" t="s">
        <v>842</v>
      </c>
      <c r="C107" s="921">
        <v>3300</v>
      </c>
      <c r="D107" s="912" t="str">
        <f>'Revenues 9-14'!A144</f>
        <v>Total Bilingual Ed</v>
      </c>
      <c r="E107" s="907"/>
      <c r="F107" s="181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1">
        <f>'Revenues 9-14'!C145</f>
        <v>862</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5687</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166324</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1500</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19494</v>
      </c>
      <c r="G128" s="931"/>
    </row>
    <row r="129" spans="1:7" x14ac:dyDescent="0.2">
      <c r="A129" s="928" t="s">
        <v>684</v>
      </c>
      <c r="B129" s="928" t="s">
        <v>802</v>
      </c>
      <c r="C129" s="933">
        <v>4200</v>
      </c>
      <c r="D129" s="930" t="str">
        <f>'Revenues 9-14'!A201</f>
        <v>Total Food Service</v>
      </c>
      <c r="E129" s="907"/>
      <c r="F129" s="1811">
        <f>SUM('Revenues 9-14'!C201,'Revenues 9-14'!G201)</f>
        <v>63145</v>
      </c>
      <c r="G129" s="931"/>
    </row>
    <row r="130" spans="1:7" x14ac:dyDescent="0.2">
      <c r="A130" s="928" t="s">
        <v>688</v>
      </c>
      <c r="B130" s="928" t="s">
        <v>803</v>
      </c>
      <c r="C130" s="933">
        <v>4300</v>
      </c>
      <c r="D130" s="934" t="str">
        <f>'Revenues 9-14'!A211</f>
        <v>Total Title I</v>
      </c>
      <c r="E130" s="907"/>
      <c r="F130" s="1811">
        <f>SUM('Revenues 9-14'!C211,'Revenues 9-14'!D211,'Revenues 9-14'!F211,'Revenues 9-14'!G211)</f>
        <v>67385</v>
      </c>
      <c r="G130" s="931"/>
    </row>
    <row r="131" spans="1:7" x14ac:dyDescent="0.2">
      <c r="A131" s="928" t="s">
        <v>688</v>
      </c>
      <c r="B131" s="928" t="s">
        <v>804</v>
      </c>
      <c r="C131" s="933">
        <v>4400</v>
      </c>
      <c r="D131" s="934" t="str">
        <f>'Revenues 9-14'!A216</f>
        <v>Total Title IV</v>
      </c>
      <c r="E131" s="907"/>
      <c r="F131" s="1811">
        <f>SUM('Revenues 9-14'!C216,'Revenues 9-14'!D216,'Revenues 9-14'!F216,'Revenues 9-14'!G216)</f>
        <v>7508</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6182</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15376</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684</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1014</v>
      </c>
      <c r="F178" s="1810">
        <f>SUM(F84:F136,F161:F176)</f>
        <v>521348</v>
      </c>
    </row>
    <row r="179" spans="1:7" ht="12" customHeight="1" x14ac:dyDescent="0.2">
      <c r="A179" s="1792"/>
      <c r="B179" s="1806"/>
      <c r="C179" s="1807"/>
      <c r="D179" s="1808" t="s">
        <v>2012</v>
      </c>
      <c r="E179" s="1809"/>
      <c r="F179" s="1811">
        <f>'PCTC-OEPP 27-28'!F77-F178</f>
        <v>2866329</v>
      </c>
    </row>
    <row r="180" spans="1:7" ht="12" customHeight="1" x14ac:dyDescent="0.2">
      <c r="A180" s="1792"/>
      <c r="B180" s="1806"/>
      <c r="C180" s="1807"/>
      <c r="D180" s="1808" t="s">
        <v>1922</v>
      </c>
      <c r="E180" s="1809"/>
      <c r="F180" s="1811">
        <f>'Cap Outlay Deprec 26'!I18</f>
        <v>178783</v>
      </c>
    </row>
    <row r="181" spans="1:7" ht="12" customHeight="1" x14ac:dyDescent="0.2">
      <c r="A181" s="1792"/>
      <c r="B181" s="1806"/>
      <c r="C181" s="1807"/>
      <c r="D181" s="1808" t="s">
        <v>2013</v>
      </c>
      <c r="E181" s="1809"/>
      <c r="F181" s="1811">
        <f>F179+F180</f>
        <v>3045112</v>
      </c>
    </row>
    <row r="182" spans="1:7" ht="12" customHeight="1" x14ac:dyDescent="0.2">
      <c r="A182" s="1792"/>
      <c r="B182" s="1812"/>
      <c r="C182" s="1807"/>
      <c r="D182" s="1808" t="str">
        <f>D78</f>
        <v>9 Month ADA from District Average Daily Attendance/Prior General State Aid Inquiry 2017-2018</v>
      </c>
      <c r="E182" s="1809"/>
      <c r="F182" s="1813">
        <f>'PCTC-OEPP 27-28'!F78</f>
        <v>288.2</v>
      </c>
      <c r="G182" s="931"/>
    </row>
    <row r="183" spans="1:7" ht="12" customHeight="1" thickBot="1" x14ac:dyDescent="0.25">
      <c r="A183" s="1792"/>
      <c r="B183" s="1812"/>
      <c r="C183" s="1807"/>
      <c r="D183" s="1808" t="s">
        <v>2014</v>
      </c>
      <c r="E183" s="1809" t="s">
        <v>1625</v>
      </c>
      <c r="F183" s="1814">
        <f>F181/F182</f>
        <v>10565.968077723803</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89" t="s">
        <v>1923</v>
      </c>
      <c r="B4" s="2290"/>
      <c r="C4" s="2290"/>
      <c r="D4" s="2290"/>
      <c r="E4" s="2290"/>
      <c r="F4" s="2290"/>
      <c r="G4" s="2291"/>
    </row>
    <row r="5" spans="1:7" x14ac:dyDescent="0.25">
      <c r="A5" s="2292"/>
      <c r="B5" s="2293"/>
      <c r="C5" s="2293"/>
      <c r="D5" s="2293"/>
      <c r="E5" s="2293"/>
      <c r="F5" s="2293"/>
      <c r="G5" s="2294"/>
    </row>
    <row r="6" spans="1:7" ht="18.75" x14ac:dyDescent="0.25">
      <c r="A6" s="1556" t="s">
        <v>1924</v>
      </c>
      <c r="B6" s="1557"/>
      <c r="C6" s="1557"/>
      <c r="D6" s="1557"/>
      <c r="E6" s="1557"/>
      <c r="F6" s="1557"/>
      <c r="G6" s="1558"/>
    </row>
    <row r="7" spans="1:7" ht="30.75" customHeight="1" x14ac:dyDescent="0.25">
      <c r="A7" s="2295" t="s">
        <v>2071</v>
      </c>
      <c r="B7" s="2296"/>
      <c r="C7" s="2296"/>
      <c r="D7" s="2296"/>
      <c r="E7" s="2296"/>
      <c r="F7" s="2296"/>
      <c r="G7" s="2297"/>
    </row>
    <row r="8" spans="1:7" ht="15.75" customHeight="1" x14ac:dyDescent="0.25">
      <c r="A8" s="2298" t="s">
        <v>2020</v>
      </c>
      <c r="B8" s="2299"/>
      <c r="C8" s="2299"/>
      <c r="D8" s="2299"/>
      <c r="E8" s="2299"/>
      <c r="F8" s="2299"/>
      <c r="G8" s="2300"/>
    </row>
    <row r="9" spans="1:7" ht="35.25" customHeight="1" x14ac:dyDescent="0.25">
      <c r="A9" s="2295" t="s">
        <v>2074</v>
      </c>
      <c r="B9" s="2296"/>
      <c r="C9" s="2296"/>
      <c r="D9" s="2296"/>
      <c r="E9" s="2296"/>
      <c r="F9" s="2296"/>
      <c r="G9" s="2297"/>
    </row>
    <row r="10" spans="1:7" ht="15" customHeight="1" x14ac:dyDescent="0.25">
      <c r="A10" s="1559" t="s">
        <v>1925</v>
      </c>
      <c r="B10" s="1560"/>
      <c r="C10" s="1560"/>
      <c r="D10" s="1560"/>
      <c r="E10" s="1560"/>
      <c r="F10" s="1560"/>
      <c r="G10" s="1561"/>
    </row>
    <row r="11" spans="1:7" ht="17.25" customHeight="1" x14ac:dyDescent="0.25">
      <c r="A11" s="2295" t="s">
        <v>2073</v>
      </c>
      <c r="B11" s="2296"/>
      <c r="C11" s="2296"/>
      <c r="D11" s="2296"/>
      <c r="E11" s="2296"/>
      <c r="F11" s="2296"/>
      <c r="G11" s="2297"/>
    </row>
    <row r="12" spans="1:7" ht="15" customHeight="1" x14ac:dyDescent="0.25">
      <c r="A12" s="1559" t="s">
        <v>1930</v>
      </c>
      <c r="B12" s="1560"/>
      <c r="C12" s="1560"/>
      <c r="D12" s="1560"/>
      <c r="E12" s="1560"/>
      <c r="F12" s="1560"/>
      <c r="G12" s="1561"/>
    </row>
    <row r="13" spans="1:7" ht="32.25" customHeight="1" x14ac:dyDescent="0.25">
      <c r="A13" s="2286" t="s">
        <v>1931</v>
      </c>
      <c r="B13" s="2287"/>
      <c r="C13" s="2287"/>
      <c r="D13" s="2287"/>
      <c r="E13" s="2287"/>
      <c r="F13" s="2287"/>
      <c r="G13" s="2288"/>
    </row>
    <row r="14" spans="1:7" x14ac:dyDescent="0.25">
      <c r="A14" s="1683" t="s">
        <v>1939</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1940</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2099</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1" t="s">
        <v>1776</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c r="F10" s="975"/>
      <c r="G10" s="976"/>
      <c r="H10" s="162"/>
      <c r="I10" s="162"/>
    </row>
    <row r="11" spans="1:9" s="669" customFormat="1" ht="22.5" customHeight="1" x14ac:dyDescent="0.2">
      <c r="A11" s="2306" t="s">
        <v>1942</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1846567</v>
      </c>
      <c r="F19" s="1822"/>
      <c r="G19" s="1824">
        <f>'Expenditures 15-22'!K33-SUM('Expenditures 15-22'!G33,'Expenditures 15-22'!I33)+'Expenditures 15-22'!D229</f>
        <v>1846567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60434</v>
      </c>
      <c r="F21" s="1825"/>
      <c r="G21" s="1828">
        <f>'Expenditures 15-22'!K42-SUM('Expenditures 15-22'!G42,'Expenditures 15-22'!I42)+'Expenditures 15-22'!K120-SUM('Expenditures 15-22'!G120,'Expenditures 15-22'!I120)+'Expenditures 15-22'!K180-SUM('Expenditures 15-22'!G180,'Expenditures 15-22'!I180)+'Expenditures 15-22'!D238</f>
        <v>60434</v>
      </c>
      <c r="H21" s="988"/>
      <c r="I21" s="162"/>
    </row>
    <row r="22" spans="1:9" s="669" customFormat="1" ht="12" customHeight="1" x14ac:dyDescent="0.2">
      <c r="A22" s="995" t="s">
        <v>584</v>
      </c>
      <c r="B22" s="996"/>
      <c r="C22" s="994">
        <v>2200</v>
      </c>
      <c r="D22" s="1825"/>
      <c r="E22" s="1827">
        <f>'Expenditures 15-22'!K47-SUM('Expenditures 15-22'!G47,'Expenditures 15-22'!I47)+'Expenditures 15-22'!D243</f>
        <v>64686</v>
      </c>
      <c r="F22" s="1825"/>
      <c r="G22" s="1828">
        <f>'Expenditures 15-22'!K47-SUM('Expenditures 15-22'!G47,'Expenditures 15-22'!I47)+'Expenditures 15-22'!D243</f>
        <v>64686</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362714</v>
      </c>
      <c r="F23" s="1825"/>
      <c r="G23" s="1827">
        <f>'Expenditures 15-22'!K53-SUM('Expenditures 15-22'!G53,'Expenditures 15-22'!I53)+'Expenditures 15-22'!D257+'Expenditures 15-22'!K330-SUM('Expenditures 15-22'!G330,'Expenditures 15-22'!I330)</f>
        <v>362714</v>
      </c>
      <c r="H23" s="988"/>
      <c r="I23" s="162"/>
    </row>
    <row r="24" spans="1:9" s="669" customFormat="1" ht="12" customHeight="1" x14ac:dyDescent="0.2">
      <c r="A24" s="995" t="s">
        <v>586</v>
      </c>
      <c r="B24" s="996"/>
      <c r="C24" s="994">
        <v>2400</v>
      </c>
      <c r="D24" s="1825"/>
      <c r="E24" s="1827">
        <f>'Expenditures 15-22'!K57-SUM('Expenditures 15-22'!G57,'Expenditures 15-22'!I57)+'Expenditures 15-22'!D261</f>
        <v>301026</v>
      </c>
      <c r="F24" s="1825"/>
      <c r="G24" s="1828">
        <f>'Expenditures 15-22'!K57-SUM('Expenditures 15-22'!G57,'Expenditures 15-22'!I57)+'Expenditures 15-22'!D261</f>
        <v>301026</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85803</v>
      </c>
      <c r="E27" s="1827">
        <f>E8</f>
        <v>0</v>
      </c>
      <c r="F27" s="1827">
        <f>'Expenditures 15-22'!K60-SUM('Expenditures 15-22'!G60,'Expenditures 15-22'!I60)+'Expenditures 15-22'!D264-E8</f>
        <v>85803</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312026</v>
      </c>
      <c r="F28" s="1829">
        <f>'Expenditures 15-22'!K61-SUM('Expenditures 15-22'!G61,'Expenditures 15-22'!I61)+'Expenditures 15-22'!K124-SUM('Expenditures 15-22'!G124,'Expenditures 15-22'!I124)+'Expenditures 15-22'!D266-E9</f>
        <v>312026</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257071</v>
      </c>
      <c r="F29" s="1825"/>
      <c r="G29" s="1828">
        <f>'Expenditures 15-22'!K62-SUM('Expenditures 15-22'!G62,'Expenditures 15-22'!I62)+'Expenditures 15-22'!K125-SUM('Expenditures 15-22'!G125,'Expenditures 15-22'!I125)+'Expenditures 15-22'!K182-SUM('Expenditures 15-22'!G182,'Expenditures 15-22'!I182)+'Expenditures 15-22'!D267</f>
        <v>257071</v>
      </c>
      <c r="H29" s="986"/>
    </row>
    <row r="30" spans="1:9" ht="12" customHeight="1" x14ac:dyDescent="0.2">
      <c r="A30" s="995" t="s">
        <v>102</v>
      </c>
      <c r="B30" s="998"/>
      <c r="C30" s="994">
        <v>2560</v>
      </c>
      <c r="D30" s="1825"/>
      <c r="E30" s="1827">
        <f>'Expenditures 15-22'!K63-SUM('Expenditures 15-22'!G63,'Expenditures 15-22'!I63)+'Expenditures 15-22'!D268-E10</f>
        <v>93724</v>
      </c>
      <c r="F30" s="1825"/>
      <c r="G30" s="1827">
        <f>'Expenditures 15-22'!K63-SUM('Expenditures 15-22'!G63,'Expenditures 15-22'!I63)+'Expenditures 15-22'!D268-E10</f>
        <v>93724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85803</v>
      </c>
      <c r="E41" s="1829">
        <f>SUM(E19:E40)</f>
        <v>3298248</v>
      </c>
      <c r="F41" s="1829">
        <f>SUM(F19:F39)</f>
        <v>397829</v>
      </c>
      <c r="G41" s="1829">
        <f>SUM(G19:G40)</f>
        <v>2986222</v>
      </c>
    </row>
    <row r="42" spans="1:7" x14ac:dyDescent="0.2">
      <c r="A42" s="988"/>
      <c r="B42" s="162"/>
      <c r="C42" s="1002"/>
      <c r="D42" s="2304" t="s">
        <v>542</v>
      </c>
      <c r="E42" s="2305"/>
      <c r="F42" s="1003" t="s">
        <v>543</v>
      </c>
      <c r="G42" s="1004"/>
    </row>
    <row r="43" spans="1:7" ht="12" customHeight="1" x14ac:dyDescent="0.2">
      <c r="A43" s="988"/>
      <c r="B43" s="162"/>
      <c r="C43" s="1002"/>
      <c r="D43" s="1830" t="s">
        <v>492</v>
      </c>
      <c r="E43" s="1831">
        <f>D41</f>
        <v>85803</v>
      </c>
      <c r="F43" s="1830" t="s">
        <v>494</v>
      </c>
      <c r="G43" s="1831">
        <f>F41</f>
        <v>397829</v>
      </c>
    </row>
    <row r="44" spans="1:7" ht="12" customHeight="1" x14ac:dyDescent="0.2">
      <c r="A44" s="988"/>
      <c r="B44" s="162"/>
      <c r="C44" s="1002"/>
      <c r="D44" s="1830" t="s">
        <v>493</v>
      </c>
      <c r="E44" s="1831">
        <f>E41</f>
        <v>3298248</v>
      </c>
      <c r="F44" s="1830" t="s">
        <v>493</v>
      </c>
      <c r="G44" s="1831">
        <f>G41</f>
        <v>2986222</v>
      </c>
    </row>
    <row r="45" spans="1:7" ht="12" customHeight="1" x14ac:dyDescent="0.2">
      <c r="A45" s="988"/>
      <c r="B45" s="162"/>
      <c r="C45" s="162"/>
      <c r="D45" s="1832" t="s">
        <v>1062</v>
      </c>
      <c r="E45" s="1833">
        <f>(E43/E44)</f>
        <v>2.6014720542542585E-2</v>
      </c>
      <c r="F45" s="1832" t="s">
        <v>1062</v>
      </c>
      <c r="G45" s="1833">
        <f>(G43/G44)</f>
        <v>0.1332215086487207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2" t="s">
        <v>1445</v>
      </c>
      <c r="B1" s="2312"/>
      <c r="C1" s="2312"/>
      <c r="D1" s="2312"/>
      <c r="E1" s="2312"/>
      <c r="F1" s="2312"/>
    </row>
    <row r="2" spans="1:10" x14ac:dyDescent="0.2">
      <c r="A2" s="1912" t="s">
        <v>2044</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13" t="s">
        <v>1626</v>
      </c>
      <c r="B5" s="2314"/>
      <c r="C5" s="2315"/>
      <c r="D5" s="2315"/>
      <c r="E5" s="2315"/>
      <c r="F5" s="2315"/>
    </row>
    <row r="6" spans="1:10" ht="12" customHeight="1" x14ac:dyDescent="0.25">
      <c r="A6" s="1875"/>
      <c r="B6" s="1876"/>
      <c r="C6" s="2316" t="str">
        <f>COVER!A17</f>
        <v>Bement CUSD 5</v>
      </c>
      <c r="D6" s="2316"/>
      <c r="E6" s="2316"/>
      <c r="F6" s="1877"/>
    </row>
    <row r="7" spans="1:10" ht="11.25" customHeight="1" thickBot="1" x14ac:dyDescent="0.3">
      <c r="A7" s="1875"/>
      <c r="B7" s="1876"/>
      <c r="C7" s="2317">
        <f>COVER!A13</f>
        <v>39074005026</v>
      </c>
      <c r="D7" s="2317"/>
      <c r="E7" s="2317"/>
      <c r="F7" s="1877"/>
    </row>
    <row r="8" spans="1:10" ht="25.5" customHeight="1" thickBot="1" x14ac:dyDescent="0.25">
      <c r="A8" s="1918" t="s">
        <v>2021</v>
      </c>
      <c r="B8" s="1878"/>
      <c r="C8" s="1914" t="s">
        <v>1778</v>
      </c>
      <c r="D8" s="1913" t="s">
        <v>1779</v>
      </c>
      <c r="E8" s="1915" t="s">
        <v>1446</v>
      </c>
      <c r="F8" s="1913" t="s">
        <v>1780</v>
      </c>
      <c r="H8" s="1879" t="b">
        <v>0</v>
      </c>
    </row>
    <row r="9" spans="1:10" ht="15.75" customHeight="1" x14ac:dyDescent="0.2">
      <c r="A9" s="1880" t="s">
        <v>1622</v>
      </c>
      <c r="B9" s="1881"/>
      <c r="C9" s="1882"/>
      <c r="D9" s="1882"/>
      <c r="E9" s="1883"/>
      <c r="F9" s="1884"/>
    </row>
    <row r="10" spans="1:10" ht="27.75" customHeight="1" x14ac:dyDescent="0.2">
      <c r="A10" s="1885" t="s">
        <v>1777</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t="s">
        <v>2076</v>
      </c>
      <c r="D13" s="1890" t="s">
        <v>2076</v>
      </c>
      <c r="E13" s="1893" t="s">
        <v>2076</v>
      </c>
      <c r="F13" s="1892" t="s">
        <v>2100</v>
      </c>
      <c r="H13" s="1903">
        <f t="shared" si="0"/>
        <v>5</v>
      </c>
      <c r="I13" s="1903">
        <f t="shared" si="1"/>
        <v>5</v>
      </c>
      <c r="J13" s="1903">
        <f t="shared" si="2"/>
        <v>5</v>
      </c>
    </row>
    <row r="14" spans="1:10" ht="12" customHeight="1" x14ac:dyDescent="0.2">
      <c r="A14" s="1888" t="s">
        <v>1452</v>
      </c>
      <c r="B14" s="1889"/>
      <c r="C14" s="1890" t="s">
        <v>2076</v>
      </c>
      <c r="D14" s="1890" t="s">
        <v>2076</v>
      </c>
      <c r="E14" s="1893" t="s">
        <v>2076</v>
      </c>
      <c r="F14" s="1892" t="s">
        <v>2100</v>
      </c>
      <c r="H14" s="1903">
        <f t="shared" si="0"/>
        <v>5</v>
      </c>
      <c r="I14" s="1903">
        <f t="shared" si="1"/>
        <v>5</v>
      </c>
      <c r="J14" s="1903">
        <f t="shared" si="2"/>
        <v>5</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t="s">
        <v>2076</v>
      </c>
      <c r="D16" s="1890" t="s">
        <v>2076</v>
      </c>
      <c r="E16" s="1893" t="s">
        <v>2076</v>
      </c>
      <c r="F16" s="1892" t="s">
        <v>2102</v>
      </c>
      <c r="H16" s="1903">
        <f t="shared" si="0"/>
        <v>5</v>
      </c>
      <c r="I16" s="1903">
        <f t="shared" si="1"/>
        <v>5</v>
      </c>
      <c r="J16" s="1903">
        <f t="shared" si="2"/>
        <v>5</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c r="D19" s="1890"/>
      <c r="E19" s="1893"/>
      <c r="F19" s="1892"/>
      <c r="H19" s="1903">
        <f t="shared" si="0"/>
        <v>0</v>
      </c>
      <c r="I19" s="1903">
        <f t="shared" si="1"/>
        <v>0</v>
      </c>
      <c r="J19" s="1903">
        <f t="shared" si="2"/>
        <v>0</v>
      </c>
    </row>
    <row r="20" spans="1:12" ht="12" customHeight="1" x14ac:dyDescent="0.2">
      <c r="A20" s="1888" t="s">
        <v>1608</v>
      </c>
      <c r="B20" s="1889"/>
      <c r="C20" s="1890"/>
      <c r="D20" s="1890"/>
      <c r="E20" s="1893"/>
      <c r="F20" s="1892"/>
      <c r="H20" s="1903">
        <f t="shared" si="0"/>
        <v>0</v>
      </c>
      <c r="I20" s="1903">
        <f t="shared" si="1"/>
        <v>0</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t="s">
        <v>2076</v>
      </c>
      <c r="D25" s="1890" t="s">
        <v>2076</v>
      </c>
      <c r="E25" s="1893" t="s">
        <v>2076</v>
      </c>
      <c r="F25" s="1892" t="s">
        <v>2100</v>
      </c>
      <c r="H25" s="1903">
        <f t="shared" si="0"/>
        <v>5</v>
      </c>
      <c r="I25" s="1903">
        <f t="shared" si="1"/>
        <v>5</v>
      </c>
      <c r="J25" s="1903">
        <f t="shared" si="2"/>
        <v>5</v>
      </c>
    </row>
    <row r="26" spans="1:12" ht="12" customHeight="1" x14ac:dyDescent="0.2">
      <c r="A26" s="1888" t="s">
        <v>1614</v>
      </c>
      <c r="B26" s="1889"/>
      <c r="C26" s="1890" t="s">
        <v>2076</v>
      </c>
      <c r="D26" s="1890" t="s">
        <v>2076</v>
      </c>
      <c r="E26" s="1893" t="s">
        <v>2076</v>
      </c>
      <c r="F26" s="1892" t="s">
        <v>2103</v>
      </c>
      <c r="H26" s="1903">
        <f t="shared" si="0"/>
        <v>5</v>
      </c>
      <c r="I26" s="1903">
        <f t="shared" si="1"/>
        <v>5</v>
      </c>
      <c r="J26" s="1903">
        <f t="shared" si="2"/>
        <v>5</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c r="D28" s="1890"/>
      <c r="E28" s="1893"/>
      <c r="F28" s="1892"/>
      <c r="H28" s="1903">
        <f t="shared" si="0"/>
        <v>0</v>
      </c>
      <c r="I28" s="1903">
        <f t="shared" si="1"/>
        <v>0</v>
      </c>
      <c r="J28" s="1903">
        <f t="shared" si="2"/>
        <v>0</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t="s">
        <v>2076</v>
      </c>
      <c r="D30" s="1890" t="s">
        <v>2076</v>
      </c>
      <c r="E30" s="1893" t="s">
        <v>2076</v>
      </c>
      <c r="F30" s="1892" t="s">
        <v>2100</v>
      </c>
      <c r="H30" s="1903">
        <f t="shared" si="0"/>
        <v>5</v>
      </c>
      <c r="I30" s="1903">
        <f t="shared" si="1"/>
        <v>5</v>
      </c>
      <c r="J30" s="1903">
        <f t="shared" si="2"/>
        <v>5</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t="s">
        <v>2076</v>
      </c>
      <c r="D32" s="1890" t="s">
        <v>2076</v>
      </c>
      <c r="E32" s="1893" t="s">
        <v>2076</v>
      </c>
      <c r="F32" s="1892" t="s">
        <v>2101</v>
      </c>
      <c r="H32" s="1903">
        <f t="shared" si="0"/>
        <v>5</v>
      </c>
      <c r="I32" s="1903">
        <f t="shared" si="1"/>
        <v>5</v>
      </c>
      <c r="J32" s="1903">
        <f t="shared" si="2"/>
        <v>5</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35</v>
      </c>
      <c r="I34" s="1903">
        <f>SUM(I11:I32)</f>
        <v>35</v>
      </c>
      <c r="J34" s="1903">
        <f>SUM(J11:J32)</f>
        <v>35</v>
      </c>
      <c r="K34" s="1903">
        <f>SUM(H34:J34)</f>
        <v>105</v>
      </c>
    </row>
    <row r="35" spans="1:11" ht="12" customHeight="1" x14ac:dyDescent="0.2">
      <c r="A35" s="1896" t="s">
        <v>1458</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1457</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36" t="str">
        <f>COVER!A17</f>
        <v>Bement CUSD 5</v>
      </c>
      <c r="J6" s="2337"/>
      <c r="Q6" s="1686"/>
    </row>
    <row r="7" spans="1:17" x14ac:dyDescent="0.2">
      <c r="A7" s="2338" t="s">
        <v>923</v>
      </c>
      <c r="B7" s="2339"/>
      <c r="C7" s="2339"/>
      <c r="D7" s="2339"/>
      <c r="E7" s="2340"/>
      <c r="F7" s="1018"/>
      <c r="G7" s="1010"/>
      <c r="H7" s="1017" t="s">
        <v>389</v>
      </c>
      <c r="I7" s="2341">
        <f>COVER!A13</f>
        <v>39074005026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1699</v>
      </c>
      <c r="F9" s="1024"/>
      <c r="G9" s="1024"/>
      <c r="H9" s="1921" t="s">
        <v>1700</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2" t="s">
        <v>501</v>
      </c>
      <c r="B11" s="2343"/>
      <c r="C11" s="2344"/>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135013</v>
      </c>
      <c r="F12" s="1040"/>
      <c r="G12" s="1834">
        <f t="shared" ref="G12:G18" si="0">SUM(E12:F12)</f>
        <v>135013</v>
      </c>
      <c r="H12" s="1041">
        <v>141000</v>
      </c>
      <c r="I12" s="1040"/>
      <c r="J12" s="1834">
        <f t="shared" ref="J12:J18" si="1">SUM(H12:I12)</f>
        <v>141000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135013</v>
      </c>
      <c r="F19" s="1836">
        <f t="shared" si="2"/>
        <v>0</v>
      </c>
      <c r="G19" s="1836">
        <f t="shared" si="2"/>
        <v>135013</v>
      </c>
      <c r="H19" s="1836">
        <f t="shared" si="2"/>
        <v>141000</v>
      </c>
      <c r="I19" s="1836">
        <f t="shared" si="2"/>
        <v>0</v>
      </c>
      <c r="J19" s="1836">
        <f t="shared" si="2"/>
        <v>141000</v>
      </c>
    </row>
    <row r="20" spans="1:10" ht="13.5" thickTop="1" x14ac:dyDescent="0.2">
      <c r="A20" s="1036">
        <v>9</v>
      </c>
      <c r="B20" s="2348" t="s">
        <v>1701</v>
      </c>
      <c r="C20" s="2348"/>
      <c r="D20" s="2349"/>
      <c r="E20" s="1047"/>
      <c r="F20" s="1047"/>
      <c r="G20" s="1047"/>
      <c r="H20" s="1047"/>
      <c r="I20" s="1047"/>
      <c r="J20" s="1837">
        <f>IF(AND(G19&gt;0,J19&gt;0),(((J19-G19)/G19)),"Enter Budget Data")</f>
        <v>4.434387799693363E-2</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1092</v>
      </c>
      <c r="D27" s="1053"/>
      <c r="E27" s="1054"/>
      <c r="F27" s="2350" t="s">
        <v>1588</v>
      </c>
      <c r="G27" s="2350"/>
    </row>
    <row r="28" spans="1:10" ht="28.5" customHeight="1" x14ac:dyDescent="0.2">
      <c r="B28" s="1048"/>
      <c r="C28" s="2352"/>
      <c r="D28" s="2352"/>
      <c r="E28" s="1055"/>
      <c r="F28" s="2352"/>
      <c r="G28" s="2352"/>
    </row>
    <row r="29" spans="1:10" x14ac:dyDescent="0.2">
      <c r="B29" s="1048"/>
      <c r="C29" s="1056" t="s">
        <v>1641</v>
      </c>
      <c r="E29" s="1057"/>
      <c r="F29" s="2351" t="s">
        <v>1589</v>
      </c>
      <c r="G29" s="2351"/>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1941</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936</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96"/>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958" t="s">
        <v>2125</v>
      </c>
    </row>
    <row r="6" spans="1:2" x14ac:dyDescent="0.2">
      <c r="A6" s="1069"/>
    </row>
    <row r="7" spans="1:2" x14ac:dyDescent="0.2">
      <c r="A7" s="1069"/>
      <c r="B7" s="329" t="s">
        <v>2126</v>
      </c>
    </row>
    <row r="8" spans="1:2" x14ac:dyDescent="0.2">
      <c r="A8" s="1069"/>
      <c r="B8" s="329" t="s">
        <v>2127</v>
      </c>
    </row>
    <row r="9" spans="1:2" x14ac:dyDescent="0.2">
      <c r="A9" s="1069"/>
    </row>
    <row r="10" spans="1:2" x14ac:dyDescent="0.2">
      <c r="A10" s="1069">
        <v>2</v>
      </c>
      <c r="B10" s="1958" t="s">
        <v>2130</v>
      </c>
    </row>
    <row r="11" spans="1:2" x14ac:dyDescent="0.2">
      <c r="A11" s="1069"/>
      <c r="B11" s="1957" t="s">
        <v>2131</v>
      </c>
    </row>
    <row r="12" spans="1:2" x14ac:dyDescent="0.2">
      <c r="A12" s="1069"/>
      <c r="B12" s="329" t="s">
        <v>2138</v>
      </c>
    </row>
    <row r="13" spans="1:2" x14ac:dyDescent="0.2">
      <c r="A13" s="1069"/>
      <c r="B13" s="329" t="s">
        <v>2137</v>
      </c>
    </row>
    <row r="14" spans="1:2" x14ac:dyDescent="0.2">
      <c r="A14" s="1069"/>
    </row>
    <row r="15" spans="1:2" x14ac:dyDescent="0.2">
      <c r="A15" s="1069">
        <v>2</v>
      </c>
      <c r="B15" s="1958" t="s">
        <v>2104</v>
      </c>
    </row>
    <row r="16" spans="1:2" x14ac:dyDescent="0.2">
      <c r="A16" s="1069"/>
      <c r="B16" s="1957" t="s">
        <v>2105</v>
      </c>
    </row>
    <row r="17" spans="1:2" x14ac:dyDescent="0.2">
      <c r="A17" s="1069"/>
      <c r="B17" s="329" t="s">
        <v>2106</v>
      </c>
    </row>
    <row r="18" spans="1:2" x14ac:dyDescent="0.2">
      <c r="A18" s="1069"/>
    </row>
    <row r="19" spans="1:2" x14ac:dyDescent="0.2">
      <c r="A19" s="1069">
        <v>3</v>
      </c>
      <c r="B19" s="1958" t="s">
        <v>2107</v>
      </c>
    </row>
    <row r="20" spans="1:2" x14ac:dyDescent="0.2">
      <c r="A20" s="1069"/>
      <c r="B20" s="1957" t="s">
        <v>2105</v>
      </c>
    </row>
    <row r="21" spans="1:2" x14ac:dyDescent="0.2">
      <c r="A21" s="1069"/>
      <c r="B21" s="329" t="s">
        <v>2108</v>
      </c>
    </row>
    <row r="22" spans="1:2" x14ac:dyDescent="0.2">
      <c r="A22" s="1069"/>
    </row>
    <row r="23" spans="1:2" x14ac:dyDescent="0.2">
      <c r="A23" s="1069"/>
      <c r="B23" s="1957" t="s">
        <v>2109</v>
      </c>
    </row>
    <row r="24" spans="1:2" x14ac:dyDescent="0.2">
      <c r="A24" s="1069"/>
      <c r="B24" s="329" t="s">
        <v>2110</v>
      </c>
    </row>
    <row r="25" spans="1:2" x14ac:dyDescent="0.2">
      <c r="A25" s="1069"/>
    </row>
    <row r="26" spans="1:2" x14ac:dyDescent="0.2">
      <c r="A26" s="1069"/>
      <c r="B26" s="1957" t="s">
        <v>2111</v>
      </c>
    </row>
    <row r="27" spans="1:2" x14ac:dyDescent="0.2">
      <c r="A27" s="1069"/>
      <c r="B27" s="329" t="s">
        <v>2112</v>
      </c>
    </row>
    <row r="28" spans="1:2" x14ac:dyDescent="0.2">
      <c r="A28" s="1069"/>
    </row>
    <row r="29" spans="1:2" x14ac:dyDescent="0.2">
      <c r="A29" s="1069"/>
      <c r="B29" s="1957" t="s">
        <v>2113</v>
      </c>
    </row>
    <row r="30" spans="1:2" x14ac:dyDescent="0.2">
      <c r="A30" s="1069"/>
      <c r="B30" s="329" t="s">
        <v>2114</v>
      </c>
    </row>
    <row r="31" spans="1:2" x14ac:dyDescent="0.2">
      <c r="A31" s="1069"/>
    </row>
    <row r="32" spans="1:2" x14ac:dyDescent="0.2">
      <c r="A32" s="1069"/>
      <c r="B32" s="1957" t="s">
        <v>2115</v>
      </c>
    </row>
    <row r="33" spans="1:2" x14ac:dyDescent="0.2">
      <c r="A33" s="1069"/>
      <c r="B33" s="329" t="s">
        <v>2116</v>
      </c>
    </row>
    <row r="34" spans="1:2" x14ac:dyDescent="0.2">
      <c r="A34" s="1069"/>
    </row>
    <row r="35" spans="1:2" x14ac:dyDescent="0.2">
      <c r="A35" s="1069">
        <v>4</v>
      </c>
      <c r="B35" s="1958" t="s">
        <v>2117</v>
      </c>
    </row>
    <row r="36" spans="1:2" x14ac:dyDescent="0.2">
      <c r="A36" s="1069"/>
      <c r="B36" s="1957" t="s">
        <v>2105</v>
      </c>
    </row>
    <row r="37" spans="1:2" x14ac:dyDescent="0.2">
      <c r="A37" s="1069"/>
      <c r="B37" s="329" t="s">
        <v>2118</v>
      </c>
    </row>
    <row r="38" spans="1:2" x14ac:dyDescent="0.2">
      <c r="A38" s="1069"/>
    </row>
    <row r="39" spans="1:2" x14ac:dyDescent="0.2">
      <c r="A39" s="1069">
        <v>5</v>
      </c>
      <c r="B39" s="1958" t="s">
        <v>2119</v>
      </c>
    </row>
    <row r="40" spans="1:2" x14ac:dyDescent="0.2">
      <c r="A40" s="1070"/>
      <c r="B40" s="1957" t="s">
        <v>2105</v>
      </c>
    </row>
    <row r="41" spans="1:2" x14ac:dyDescent="0.2">
      <c r="A41" s="1070"/>
      <c r="B41" s="329" t="s">
        <v>2120</v>
      </c>
    </row>
    <row r="42" spans="1:2" x14ac:dyDescent="0.2">
      <c r="A42" s="1070"/>
    </row>
    <row r="43" spans="1:2" x14ac:dyDescent="0.2">
      <c r="A43" s="1069">
        <v>5</v>
      </c>
      <c r="B43" s="1958" t="s">
        <v>2132</v>
      </c>
    </row>
    <row r="44" spans="1:2" x14ac:dyDescent="0.2">
      <c r="A44" s="1070"/>
      <c r="B44" s="329" t="s">
        <v>2133</v>
      </c>
    </row>
    <row r="45" spans="1:2" x14ac:dyDescent="0.2">
      <c r="A45" s="1070"/>
    </row>
    <row r="46" spans="1:2" x14ac:dyDescent="0.2">
      <c r="A46" s="1069">
        <v>6</v>
      </c>
      <c r="B46" s="1958" t="s">
        <v>2121</v>
      </c>
    </row>
    <row r="47" spans="1:2" x14ac:dyDescent="0.2">
      <c r="A47" s="1070"/>
      <c r="B47" s="329" t="s">
        <v>2136</v>
      </c>
    </row>
    <row r="48" spans="1:2" x14ac:dyDescent="0.2">
      <c r="A48" s="1070"/>
    </row>
    <row r="49" spans="1:2" x14ac:dyDescent="0.2">
      <c r="A49" s="1069">
        <v>7</v>
      </c>
      <c r="B49" s="1958" t="s">
        <v>2122</v>
      </c>
    </row>
    <row r="50" spans="1:2" x14ac:dyDescent="0.2">
      <c r="A50" s="1070"/>
      <c r="B50" s="329" t="s">
        <v>2123</v>
      </c>
    </row>
    <row r="51" spans="1:2" x14ac:dyDescent="0.2">
      <c r="A51" s="1070"/>
    </row>
    <row r="52" spans="1:2" x14ac:dyDescent="0.2">
      <c r="A52" s="1069">
        <v>7</v>
      </c>
      <c r="B52" s="1958" t="s">
        <v>2134</v>
      </c>
    </row>
    <row r="53" spans="1:2" x14ac:dyDescent="0.2">
      <c r="A53" s="1070"/>
      <c r="B53" s="329" t="s">
        <v>2135</v>
      </c>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row>
    <row r="65" spans="1:1" x14ac:dyDescent="0.2">
      <c r="A65" s="1070"/>
    </row>
    <row r="66" spans="1:1" x14ac:dyDescent="0.2">
      <c r="A66" s="1070"/>
    </row>
    <row r="67" spans="1:1" x14ac:dyDescent="0.2">
      <c r="A67" s="1070"/>
    </row>
    <row r="68" spans="1:1" x14ac:dyDescent="0.2">
      <c r="A68" s="1070"/>
    </row>
    <row r="69" spans="1:1" x14ac:dyDescent="0.2">
      <c r="A69" s="1070"/>
    </row>
    <row r="70" spans="1:1" x14ac:dyDescent="0.2">
      <c r="A70" s="1070"/>
    </row>
    <row r="71" spans="1:1" x14ac:dyDescent="0.2">
      <c r="A71" s="1070"/>
    </row>
    <row r="72" spans="1:1" x14ac:dyDescent="0.2">
      <c r="A72" s="1070"/>
    </row>
    <row r="73" spans="1:1" x14ac:dyDescent="0.2">
      <c r="A73" s="1070"/>
    </row>
    <row r="74" spans="1:1" x14ac:dyDescent="0.2">
      <c r="A74" s="1070"/>
    </row>
    <row r="75" spans="1:1" x14ac:dyDescent="0.2">
      <c r="A75" s="1070"/>
    </row>
    <row r="76" spans="1:1" x14ac:dyDescent="0.2">
      <c r="A76" s="1070"/>
    </row>
    <row r="77" spans="1:1" x14ac:dyDescent="0.2">
      <c r="A77" s="1070"/>
    </row>
    <row r="78" spans="1:1" x14ac:dyDescent="0.2">
      <c r="A78" s="1070"/>
    </row>
    <row r="79" spans="1:1" x14ac:dyDescent="0.2">
      <c r="A79" s="1070"/>
    </row>
    <row r="80" spans="1:1" x14ac:dyDescent="0.2">
      <c r="A80" s="1070"/>
    </row>
    <row r="81" spans="1:2" x14ac:dyDescent="0.2">
      <c r="A81" s="1070"/>
    </row>
    <row r="82" spans="1:2" x14ac:dyDescent="0.2">
      <c r="A82" s="1070"/>
    </row>
    <row r="83" spans="1:2" x14ac:dyDescent="0.2">
      <c r="A83" s="1070"/>
    </row>
    <row r="84" spans="1:2" x14ac:dyDescent="0.2">
      <c r="A84" s="1070"/>
    </row>
    <row r="85" spans="1:2" x14ac:dyDescent="0.2">
      <c r="A85" s="1070"/>
    </row>
    <row r="86" spans="1:2" x14ac:dyDescent="0.2">
      <c r="A86" s="1070"/>
    </row>
    <row r="87" spans="1:2" x14ac:dyDescent="0.2">
      <c r="A87" s="1070"/>
    </row>
    <row r="88" spans="1:2" x14ac:dyDescent="0.2">
      <c r="A88" s="1070"/>
    </row>
    <row r="89" spans="1:2" x14ac:dyDescent="0.2">
      <c r="A89" s="1070"/>
    </row>
    <row r="90" spans="1:2" x14ac:dyDescent="0.2">
      <c r="A90" s="1070"/>
    </row>
    <row r="91" spans="1:2" x14ac:dyDescent="0.2">
      <c r="A91" s="1070"/>
    </row>
    <row r="92" spans="1:2" x14ac:dyDescent="0.2">
      <c r="A92" s="1070"/>
    </row>
    <row r="93" spans="1:2" x14ac:dyDescent="0.2">
      <c r="A93" s="1070"/>
    </row>
    <row r="94" spans="1:2" x14ac:dyDescent="0.2">
      <c r="A94" s="1070"/>
    </row>
    <row r="95" spans="1:2" x14ac:dyDescent="0.2">
      <c r="A95" s="1070"/>
      <c r="B95" s="258" t="str">
        <f>COVER!A17</f>
        <v>Bement CUSD 5</v>
      </c>
    </row>
    <row r="96" spans="1:2" x14ac:dyDescent="0.2">
      <c r="B96" s="1071">
        <f>COVER!A13</f>
        <v>39074005026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1781</v>
      </c>
    </row>
    <row r="17" spans="1:2" ht="6" customHeight="1" x14ac:dyDescent="0.2"/>
    <row r="18" spans="1:2" ht="24.75" customHeight="1" x14ac:dyDescent="0.2">
      <c r="A18" s="2355" t="s">
        <v>1782</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485775</xdr:colOff>
                <xdr:row>3</xdr:row>
                <xdr:rowOff>47625</xdr:rowOff>
              </from>
              <to>
                <xdr:col>1</xdr:col>
                <xdr:colOff>1400175</xdr:colOff>
                <xdr:row>7</xdr:row>
                <xdr:rowOff>85725</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1788</v>
      </c>
      <c r="B1" s="2357"/>
      <c r="C1" s="2357"/>
      <c r="D1" s="2357"/>
      <c r="E1" s="2357"/>
      <c r="F1" s="2358"/>
    </row>
    <row r="2" spans="1:8" ht="45" customHeight="1" x14ac:dyDescent="0.2">
      <c r="A2" s="2366" t="s">
        <v>1789</v>
      </c>
      <c r="B2" s="2367"/>
      <c r="C2" s="2367"/>
      <c r="D2" s="2367"/>
      <c r="E2" s="2367"/>
      <c r="F2" s="2368"/>
      <c r="G2" s="1075"/>
      <c r="H2" s="1075"/>
    </row>
    <row r="3" spans="1:8" ht="57" customHeight="1" x14ac:dyDescent="0.2">
      <c r="A3" s="2369" t="s">
        <v>1784</v>
      </c>
      <c r="B3" s="2370"/>
      <c r="C3" s="2370"/>
      <c r="D3" s="2370"/>
      <c r="E3" s="2370"/>
      <c r="F3" s="2371"/>
      <c r="G3" s="1075"/>
      <c r="H3" s="1075"/>
    </row>
    <row r="4" spans="1:8" ht="14.25" customHeight="1" x14ac:dyDescent="0.2">
      <c r="A4" s="2375" t="s">
        <v>2052</v>
      </c>
      <c r="B4" s="2376"/>
      <c r="C4" s="2376"/>
      <c r="D4" s="2376"/>
      <c r="E4" s="2376"/>
      <c r="F4" s="2377"/>
      <c r="G4" s="1075"/>
      <c r="H4" s="1075"/>
    </row>
    <row r="5" spans="1:8" ht="14.25" customHeight="1" x14ac:dyDescent="0.2">
      <c r="A5" s="2378" t="s">
        <v>2053</v>
      </c>
      <c r="B5" s="2379"/>
      <c r="C5" s="2379"/>
      <c r="D5" s="2379"/>
      <c r="E5" s="2379"/>
      <c r="F5" s="2380"/>
      <c r="G5" s="1075"/>
      <c r="H5" s="1075"/>
    </row>
    <row r="6" spans="1:8" s="1076" customFormat="1" ht="41.25" customHeight="1" x14ac:dyDescent="0.2">
      <c r="A6" s="2372" t="s">
        <v>1790</v>
      </c>
      <c r="B6" s="2373"/>
      <c r="C6" s="2373"/>
      <c r="D6" s="2373"/>
      <c r="E6" s="2373"/>
      <c r="F6" s="2374"/>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3020524</v>
      </c>
      <c r="C8" s="1838">
        <f>'Acct Summary 7-8'!D8</f>
        <v>335252</v>
      </c>
      <c r="D8" s="1838">
        <f>'Acct Summary 7-8'!F8</f>
        <v>290614</v>
      </c>
      <c r="E8" s="1838">
        <f>'Acct Summary 7-8'!I8</f>
        <v>30913</v>
      </c>
      <c r="F8" s="1838">
        <f>SUM(B8:E8)</f>
        <v>3677303</v>
      </c>
    </row>
    <row r="9" spans="1:8" s="1080" customFormat="1" ht="14.25" customHeight="1" thickBot="1" x14ac:dyDescent="0.25">
      <c r="A9" s="1079" t="s">
        <v>1435</v>
      </c>
      <c r="B9" s="1839">
        <f>'Acct Summary 7-8'!C17</f>
        <v>2645720</v>
      </c>
      <c r="C9" s="1839">
        <f>'Acct Summary 7-8'!D17</f>
        <v>290572</v>
      </c>
      <c r="D9" s="1839">
        <f>'Acct Summary 7-8'!F17</f>
        <v>257071</v>
      </c>
      <c r="E9" s="1838"/>
      <c r="F9" s="1838">
        <f>SUM(B9:E9)</f>
        <v>3193363</v>
      </c>
    </row>
    <row r="10" spans="1:8" s="1080" customFormat="1" ht="14.25" thickTop="1" thickBot="1" x14ac:dyDescent="0.25">
      <c r="A10" s="1081" t="s">
        <v>1436</v>
      </c>
      <c r="B10" s="1840">
        <f>(B8-B9)</f>
        <v>374804</v>
      </c>
      <c r="C10" s="1840">
        <f>(C8-C9)</f>
        <v>44680</v>
      </c>
      <c r="D10" s="1840">
        <f>(D8-D9)</f>
        <v>33543</v>
      </c>
      <c r="E10" s="1839">
        <f>(E8-E9)</f>
        <v>30913</v>
      </c>
      <c r="F10" s="1841">
        <f>SUM(F8-F9)</f>
        <v>483940</v>
      </c>
    </row>
    <row r="11" spans="1:8" s="1080" customFormat="1" ht="14.25" thickTop="1" thickBot="1" x14ac:dyDescent="0.25">
      <c r="A11" s="1082" t="s">
        <v>1783</v>
      </c>
      <c r="B11" s="1842">
        <f>'Acct Summary 7-8'!C81</f>
        <v>562892</v>
      </c>
      <c r="C11" s="1842">
        <f>'Acct Summary 7-8'!D81</f>
        <v>155077</v>
      </c>
      <c r="D11" s="1842">
        <f>'Acct Summary 7-8'!F81</f>
        <v>72517</v>
      </c>
      <c r="E11" s="1842">
        <f>'Acct Summary 7-8'!I81</f>
        <v>878434</v>
      </c>
      <c r="F11" s="1843">
        <f>SUM(B11:E11)</f>
        <v>1668920</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1785</v>
      </c>
      <c r="B16" s="2359"/>
      <c r="C16" s="2359"/>
      <c r="D16" s="2359"/>
      <c r="E16" s="2359"/>
      <c r="F16" s="310" t="s">
        <v>1437</v>
      </c>
    </row>
    <row r="17" spans="1:6" hidden="1" x14ac:dyDescent="0.2">
      <c r="A17" s="316" t="s">
        <v>1786</v>
      </c>
      <c r="F17" s="1087" t="s">
        <v>1438</v>
      </c>
    </row>
    <row r="18" spans="1:6" hidden="1" x14ac:dyDescent="0.2">
      <c r="A18" s="316" t="s">
        <v>1787</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39074005026</v>
      </c>
    </row>
    <row r="3" spans="1:2" x14ac:dyDescent="0.2">
      <c r="A3" t="s">
        <v>1012</v>
      </c>
      <c r="B3" s="138" t="str">
        <f>COVER!A15</f>
        <v>PIATT</v>
      </c>
    </row>
    <row r="4" spans="1:2" x14ac:dyDescent="0.2">
      <c r="A4" t="s">
        <v>1063</v>
      </c>
      <c r="B4" s="138" t="str">
        <f>COVER!A17</f>
        <v>Bement CUSD 5</v>
      </c>
    </row>
    <row r="5" spans="1:2" x14ac:dyDescent="0.2">
      <c r="A5" t="s">
        <v>727</v>
      </c>
      <c r="B5" s="138" t="str">
        <f>COVER!A38</f>
        <v>SHEILA GREENWOOD</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065.018319</v>
      </c>
    </row>
    <row r="16" spans="1:2" x14ac:dyDescent="0.2">
      <c r="A16" t="s">
        <v>441</v>
      </c>
      <c r="B16" s="138" t="str">
        <f>COVER!T13</f>
        <v>RUSSELL LEIGH &amp; ASSOCIATES</v>
      </c>
    </row>
    <row r="17" spans="1:2" x14ac:dyDescent="0.2">
      <c r="A17" t="s">
        <v>938</v>
      </c>
      <c r="B17" s="138" t="str">
        <f>COVER!T15</f>
        <v>RUSS LEIGH</v>
      </c>
    </row>
    <row r="18" spans="1:2" x14ac:dyDescent="0.2">
      <c r="A18" t="s">
        <v>1211</v>
      </c>
      <c r="B18" s="138" t="str">
        <f>COVER!T17</f>
        <v>228 E MAIN ST</v>
      </c>
    </row>
    <row r="19" spans="1:2" x14ac:dyDescent="0.2">
      <c r="A19" t="s">
        <v>940</v>
      </c>
      <c r="B19" s="138" t="str">
        <f>COVER!T25</f>
        <v>admin@russleigh.com</v>
      </c>
    </row>
    <row r="20" spans="1:2" x14ac:dyDescent="0.2">
      <c r="A20" t="s">
        <v>941</v>
      </c>
      <c r="B20" s="138" t="str">
        <f>COVER!T19</f>
        <v>HOOPESTON</v>
      </c>
    </row>
    <row r="21" spans="1:2" x14ac:dyDescent="0.2">
      <c r="A21" t="s">
        <v>499</v>
      </c>
      <c r="B21" s="138" t="str">
        <f>COVER!X19</f>
        <v>IL</v>
      </c>
    </row>
    <row r="22" spans="1:2" x14ac:dyDescent="0.2">
      <c r="A22" t="s">
        <v>942</v>
      </c>
      <c r="B22" s="138">
        <f>COVER!Z19</f>
        <v>60942</v>
      </c>
    </row>
    <row r="23" spans="1:2" x14ac:dyDescent="0.2">
      <c r="A23" t="s">
        <v>1213</v>
      </c>
      <c r="B23" s="138" t="str">
        <f>COVER!T21</f>
        <v>217-283-9336</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Yes</v>
      </c>
    </row>
    <row r="31" spans="1:2" x14ac:dyDescent="0.2">
      <c r="A31" t="s">
        <v>679</v>
      </c>
      <c r="B31" s="138" t="str">
        <f>IF('Aud Quest 2'!B14="x","Yes",IF('Aud Quest 2'!B14&lt;&gt;"x","0"))</f>
        <v>Yes</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562892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553110</v>
      </c>
      <c r="D92" s="2" t="str">
        <f t="shared" si="0"/>
        <v>Error?</v>
      </c>
    </row>
    <row r="93" spans="1:4" x14ac:dyDescent="0.2">
      <c r="A93" s="5">
        <v>32</v>
      </c>
      <c r="B93" s="138">
        <f>'Assets-Liab 5-6'!C41</f>
        <v>562892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155077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155077</v>
      </c>
      <c r="D123" s="2" t="str">
        <f t="shared" si="0"/>
        <v>Error?</v>
      </c>
    </row>
    <row r="124" spans="1:4" x14ac:dyDescent="0.2">
      <c r="A124" s="5">
        <v>63</v>
      </c>
      <c r="B124" s="138">
        <f>'Assets-Liab 5-6'!D41</f>
        <v>155077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64560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64560</v>
      </c>
      <c r="D140" s="2" t="str">
        <f t="shared" si="1"/>
        <v>Error?</v>
      </c>
    </row>
    <row r="141" spans="1:4" x14ac:dyDescent="0.2">
      <c r="A141" s="5">
        <v>80</v>
      </c>
      <c r="B141" s="138">
        <f>'Assets-Liab 5-6'!E41</f>
        <v>64560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72517</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72517</v>
      </c>
      <c r="D170" s="2" t="str">
        <f t="shared" si="1"/>
        <v>Error?</v>
      </c>
    </row>
    <row r="171" spans="1:4" x14ac:dyDescent="0.2">
      <c r="A171" s="5">
        <v>110</v>
      </c>
      <c r="B171" s="138">
        <f>'Assets-Liab 5-6'!F41</f>
        <v>72517</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160478</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160478</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96113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11357</v>
      </c>
      <c r="D212" s="2" t="str">
        <f t="shared" si="2"/>
        <v>Error?</v>
      </c>
    </row>
    <row r="213" spans="1:4" x14ac:dyDescent="0.2">
      <c r="A213" s="12">
        <v>152</v>
      </c>
      <c r="B213" s="138">
        <f>'Assets-Liab 5-6'!H41</f>
        <v>96113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17419</v>
      </c>
      <c r="D273" s="2" t="str">
        <f t="shared" si="3"/>
        <v>Error?</v>
      </c>
    </row>
    <row r="274" spans="1:4" x14ac:dyDescent="0.2">
      <c r="A274" s="5">
        <v>213</v>
      </c>
      <c r="B274" s="138">
        <f>'Assets-Liab 5-6'!M17</f>
        <v>3915790</v>
      </c>
      <c r="D274" s="2" t="str">
        <f t="shared" si="3"/>
        <v>Error?</v>
      </c>
    </row>
    <row r="275" spans="1:4" x14ac:dyDescent="0.2">
      <c r="A275" s="5">
        <v>214</v>
      </c>
      <c r="B275" s="138">
        <f>'Assets-Liab 5-6'!M18</f>
        <v>586099</v>
      </c>
      <c r="D275" s="2" t="str">
        <f t="shared" si="3"/>
        <v>Error?</v>
      </c>
    </row>
    <row r="276" spans="1:4" x14ac:dyDescent="0.2">
      <c r="A276" s="5">
        <v>215</v>
      </c>
      <c r="B276" s="138">
        <f>'Assets-Liab 5-6'!M19</f>
        <v>1401216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5920524</v>
      </c>
      <c r="C279" s="2" t="s">
        <v>593</v>
      </c>
      <c r="D279" s="2" t="str">
        <f t="shared" si="3"/>
        <v>Error?</v>
      </c>
    </row>
    <row r="280" spans="1:4" x14ac:dyDescent="0.2">
      <c r="A280" s="5">
        <v>219</v>
      </c>
      <c r="B280" s="138">
        <f>'Assets-Liab 5-6'!M40</f>
        <v>5920524</v>
      </c>
      <c r="D280" s="2" t="str">
        <f t="shared" si="3"/>
        <v>Error?</v>
      </c>
    </row>
    <row r="281" spans="1:4" x14ac:dyDescent="0.2">
      <c r="A281" s="5">
        <v>220</v>
      </c>
      <c r="B281" s="138">
        <f>'Assets-Liab 5-6'!M41</f>
        <v>5920524</v>
      </c>
      <c r="C281" s="2" t="s">
        <v>593</v>
      </c>
      <c r="D281" s="2" t="str">
        <f t="shared" si="3"/>
        <v>Error?</v>
      </c>
    </row>
    <row r="282" spans="1:4" x14ac:dyDescent="0.2">
      <c r="A282" s="5">
        <v>221</v>
      </c>
      <c r="B282" s="138">
        <f>'Assets-Liab 5-6'!N21</f>
        <v>64560</v>
      </c>
      <c r="D282" s="2" t="str">
        <f t="shared" si="3"/>
        <v>Error?</v>
      </c>
    </row>
    <row r="283" spans="1:4" x14ac:dyDescent="0.2">
      <c r="A283" s="5">
        <v>222</v>
      </c>
      <c r="B283" s="138">
        <f>'Assets-Liab 5-6'!N22</f>
        <v>4453174</v>
      </c>
      <c r="D283" s="2" t="str">
        <f t="shared" si="3"/>
        <v>Error?</v>
      </c>
    </row>
    <row r="284" spans="1:4" x14ac:dyDescent="0.2">
      <c r="A284" s="5">
        <v>223</v>
      </c>
      <c r="B284" s="138">
        <f>'Assets-Liab 5-6'!N23</f>
        <v>4517734</v>
      </c>
      <c r="C284" s="2" t="s">
        <v>593</v>
      </c>
      <c r="D284" s="2" t="str">
        <f t="shared" si="3"/>
        <v>Error?</v>
      </c>
    </row>
    <row r="285" spans="1:4" x14ac:dyDescent="0.2">
      <c r="A285" s="5">
        <v>224</v>
      </c>
      <c r="B285" s="138">
        <f>'Assets-Liab 5-6'!N36</f>
        <v>4517734</v>
      </c>
      <c r="D285" s="2" t="str">
        <f t="shared" si="3"/>
        <v>Error?</v>
      </c>
    </row>
    <row r="286" spans="1:4" x14ac:dyDescent="0.2">
      <c r="A286" s="10">
        <v>225</v>
      </c>
      <c r="D286" s="2" t="str">
        <f t="shared" si="3"/>
        <v>OK</v>
      </c>
    </row>
    <row r="287" spans="1:4" x14ac:dyDescent="0.2">
      <c r="A287" s="5">
        <v>226</v>
      </c>
      <c r="B287" s="138">
        <f>'Assets-Liab 5-6'!N37</f>
        <v>4517734</v>
      </c>
      <c r="C287" s="2" t="s">
        <v>593</v>
      </c>
      <c r="D287" s="2" t="str">
        <f t="shared" si="3"/>
        <v>Error?</v>
      </c>
    </row>
    <row r="288" spans="1:4" x14ac:dyDescent="0.2">
      <c r="A288" s="5">
        <v>227</v>
      </c>
      <c r="B288" s="138">
        <f>'Assets-Liab 5-6'!N41</f>
        <v>4517734</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948833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82402</v>
      </c>
      <c r="D717" s="2" t="str">
        <f t="shared" si="10"/>
        <v>Error?</v>
      </c>
    </row>
    <row r="718" spans="1:4" x14ac:dyDescent="0.2">
      <c r="A718" s="5">
        <v>657</v>
      </c>
      <c r="B718" s="138">
        <f>'Expenditures 15-22'!C14</f>
        <v>129059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1261102</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49000</v>
      </c>
      <c r="D722" s="2" t="str">
        <f t="shared" si="10"/>
        <v>Error?</v>
      </c>
    </row>
    <row r="723" spans="1:4" x14ac:dyDescent="0.2">
      <c r="A723" s="5">
        <v>662</v>
      </c>
      <c r="B723" s="138">
        <f>'Expenditures 15-22'!C38</f>
        <v>5940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54940</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47976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47976</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105443</v>
      </c>
      <c r="D733" s="2" t="str">
        <f t="shared" si="10"/>
        <v>Error?</v>
      </c>
    </row>
    <row r="734" spans="1:4" x14ac:dyDescent="0.2">
      <c r="A734" s="5">
        <v>673</v>
      </c>
      <c r="B734" s="138">
        <f>'Expenditures 15-22'!C53</f>
        <v>105443</v>
      </c>
      <c r="C734" s="2" t="s">
        <v>593</v>
      </c>
      <c r="D734" s="2" t="str">
        <f t="shared" si="10"/>
        <v>Error?</v>
      </c>
    </row>
    <row r="735" spans="1:4" x14ac:dyDescent="0.2">
      <c r="A735" s="5">
        <v>674</v>
      </c>
      <c r="B735" s="138">
        <f>'Expenditures 15-22'!C55</f>
        <v>241881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241881</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51337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51337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501577</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1762679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243927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19106</v>
      </c>
      <c r="D775" s="2" t="str">
        <f t="shared" si="11"/>
        <v>Error?</v>
      </c>
    </row>
    <row r="776" spans="1:4" x14ac:dyDescent="0.2">
      <c r="A776" s="5">
        <v>715</v>
      </c>
      <c r="B776" s="138">
        <f>'Expenditures 15-22'!D14</f>
        <v>28356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315008</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540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540</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12938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12938</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21469</v>
      </c>
      <c r="D791" s="2" t="str">
        <f t="shared" si="11"/>
        <v>Error?</v>
      </c>
    </row>
    <row r="792" spans="1:4" x14ac:dyDescent="0.2">
      <c r="A792" s="5">
        <v>731</v>
      </c>
      <c r="B792" s="138">
        <f>'Expenditures 15-22'!D53</f>
        <v>21469</v>
      </c>
      <c r="C792" s="2" t="s">
        <v>593</v>
      </c>
      <c r="D792" s="2" t="str">
        <f t="shared" si="11"/>
        <v>Error?</v>
      </c>
    </row>
    <row r="793" spans="1:4" x14ac:dyDescent="0.2">
      <c r="A793" s="5">
        <v>732</v>
      </c>
      <c r="B793" s="138">
        <f>'Expenditures 15-22'!D55</f>
        <v>43121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43121</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6480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6480</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84548</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399556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53267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2007</v>
      </c>
      <c r="D833" s="2" t="str">
        <f t="shared" si="12"/>
        <v>Error?</v>
      </c>
    </row>
    <row r="834" spans="1:4" x14ac:dyDescent="0.2">
      <c r="A834" s="5">
        <v>773</v>
      </c>
      <c r="B834" s="138">
        <f>'Expenditures 15-22'!E14</f>
        <v>15596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90270</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317</v>
      </c>
      <c r="D838" s="2" t="str">
        <f t="shared" si="12"/>
        <v>Error?</v>
      </c>
    </row>
    <row r="839" spans="1:4" x14ac:dyDescent="0.2">
      <c r="A839" s="5">
        <v>778</v>
      </c>
      <c r="B839" s="138">
        <f>'Expenditures 15-22'!E38</f>
        <v>238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555</v>
      </c>
      <c r="C843" s="2" t="s">
        <v>593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1798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1798</v>
      </c>
      <c r="C847" s="2" t="s">
        <v>593</v>
      </c>
      <c r="D847" s="2" t="str">
        <f t="shared" si="12"/>
        <v>Error?</v>
      </c>
    </row>
    <row r="848" spans="1:4" x14ac:dyDescent="0.2">
      <c r="A848" s="5">
        <v>787</v>
      </c>
      <c r="B848" s="138">
        <f>'Expenditures 15-22'!E49</f>
        <v>14907</v>
      </c>
      <c r="D848" s="2" t="str">
        <f t="shared" si="12"/>
        <v>Error?</v>
      </c>
    </row>
    <row r="849" spans="1:4" x14ac:dyDescent="0.2">
      <c r="A849" s="5">
        <v>788</v>
      </c>
      <c r="B849" s="138">
        <f>'Expenditures 15-22'!E50</f>
        <v>5012</v>
      </c>
      <c r="D849" s="2" t="str">
        <f t="shared" si="12"/>
        <v>Error?</v>
      </c>
    </row>
    <row r="850" spans="1:4" x14ac:dyDescent="0.2">
      <c r="A850" s="5">
        <v>789</v>
      </c>
      <c r="B850" s="138">
        <f>'Expenditures 15-22'!E53</f>
        <v>19919</v>
      </c>
      <c r="C850" s="2" t="s">
        <v>593</v>
      </c>
      <c r="D850" s="2" t="str">
        <f t="shared" si="12"/>
        <v>Error?</v>
      </c>
    </row>
    <row r="851" spans="1:4" x14ac:dyDescent="0.2">
      <c r="A851" s="5">
        <v>790</v>
      </c>
      <c r="B851" s="138">
        <f>'Expenditures 15-22'!E55</f>
        <v>3746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3746</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20851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92676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113527</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139545</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317617</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43303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14264</v>
      </c>
      <c r="D891" s="2" t="str">
        <f t="shared" si="12"/>
        <v>Error?</v>
      </c>
    </row>
    <row r="892" spans="1:4" x14ac:dyDescent="0.2">
      <c r="A892" s="5">
        <v>831</v>
      </c>
      <c r="B892" s="138">
        <f>'Expenditures 15-22'!F14</f>
        <v>12576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120251</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122</v>
      </c>
      <c r="D896" s="2" t="str">
        <f t="shared" si="13"/>
        <v>Error?</v>
      </c>
    </row>
    <row r="897" spans="1:4" x14ac:dyDescent="0.2">
      <c r="A897" s="5">
        <v>836</v>
      </c>
      <c r="B897" s="138">
        <f>'Expenditures 15-22'!F38</f>
        <v>593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715</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1278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1278</v>
      </c>
      <c r="C905" s="2" t="s">
        <v>593</v>
      </c>
      <c r="D905" s="2" t="str">
        <f t="shared" si="13"/>
        <v>Error?</v>
      </c>
    </row>
    <row r="906" spans="1:4" x14ac:dyDescent="0.2">
      <c r="A906" s="5">
        <v>845</v>
      </c>
      <c r="B906" s="138">
        <f>'Expenditures 15-22'!F49</f>
        <v>1688</v>
      </c>
      <c r="D906" s="2" t="str">
        <f t="shared" si="13"/>
        <v>Error?</v>
      </c>
    </row>
    <row r="907" spans="1:4" x14ac:dyDescent="0.2">
      <c r="A907" s="5">
        <v>846</v>
      </c>
      <c r="B907" s="138">
        <f>'Expenditures 15-22'!F50</f>
        <v>3089</v>
      </c>
      <c r="D907" s="2" t="str">
        <f t="shared" si="13"/>
        <v>Error?</v>
      </c>
    </row>
    <row r="908" spans="1:4" x14ac:dyDescent="0.2">
      <c r="A908" s="5">
        <v>847</v>
      </c>
      <c r="B908" s="138">
        <f>'Expenditures 15-22'!F53</f>
        <v>4777</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678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1048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1726</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8496</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128747</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4257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4257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4257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25120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32864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32864</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1318707</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117779</v>
      </c>
      <c r="C1105" s="2" t="s">
        <v>593</v>
      </c>
      <c r="D1105" s="2" t="str">
        <f t="shared" si="16"/>
        <v>Error?</v>
      </c>
    </row>
    <row r="1106" spans="1:4" x14ac:dyDescent="0.2">
      <c r="A1106" s="5">
        <v>1045</v>
      </c>
      <c r="B1106" s="138">
        <f>'Expenditures 15-22'!K14</f>
        <v>185587</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1823752</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49979</v>
      </c>
      <c r="C1110" s="2" t="s">
        <v>593</v>
      </c>
      <c r="D1110" s="2" t="str">
        <f t="shared" si="16"/>
        <v>Error?</v>
      </c>
    </row>
    <row r="1111" spans="1:4" x14ac:dyDescent="0.2">
      <c r="A1111" s="5">
        <v>1050</v>
      </c>
      <c r="B1111" s="138">
        <f>'Expenditures 15-22'!K38</f>
        <v>6771</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56750</v>
      </c>
      <c r="C1115" s="2" t="s">
        <v>593</v>
      </c>
      <c r="D1115" s="2" t="str">
        <f t="shared" si="16"/>
        <v>Error?</v>
      </c>
    </row>
    <row r="1116" spans="1:4" x14ac:dyDescent="0.2">
      <c r="A1116" s="5">
        <v>1055</v>
      </c>
      <c r="B1116" s="138">
        <f>'Expenditures 15-22'!K44</f>
        <v>0</v>
      </c>
      <c r="C1116" s="2" t="s">
        <v>593</v>
      </c>
      <c r="D1116" s="2" t="str">
        <f t="shared" si="16"/>
        <v>Error?</v>
      </c>
    </row>
    <row r="1117" spans="1:4" x14ac:dyDescent="0.2">
      <c r="A1117" s="5">
        <v>1056</v>
      </c>
      <c r="B1117" s="138">
        <f>'Expenditures 15-22'!K45</f>
        <v>63990</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63990</v>
      </c>
      <c r="C1119" s="2" t="s">
        <v>593</v>
      </c>
      <c r="D1119" s="2" t="str">
        <f t="shared" si="16"/>
        <v>Error?</v>
      </c>
    </row>
    <row r="1120" spans="1:4" x14ac:dyDescent="0.2">
      <c r="A1120" s="5">
        <v>1059</v>
      </c>
      <c r="B1120" s="138">
        <f>'Expenditures 15-22'!K49</f>
        <v>16595</v>
      </c>
      <c r="C1120" s="2" t="s">
        <v>593</v>
      </c>
      <c r="D1120" s="2" t="str">
        <f t="shared" si="16"/>
        <v>Error?</v>
      </c>
    </row>
    <row r="1121" spans="1:4" x14ac:dyDescent="0.2">
      <c r="A1121" s="5">
        <v>1060</v>
      </c>
      <c r="B1121" s="138">
        <f>'Expenditures 15-22'!K50</f>
        <v>135013</v>
      </c>
      <c r="C1121" s="2" t="s">
        <v>593</v>
      </c>
      <c r="D1121" s="2" t="str">
        <f t="shared" si="16"/>
        <v>Error?</v>
      </c>
    </row>
    <row r="1122" spans="1:4" x14ac:dyDescent="0.2">
      <c r="A1122" s="5">
        <v>1061</v>
      </c>
      <c r="B1122" s="138">
        <f>'Expenditures 15-22'!K53</f>
        <v>151608</v>
      </c>
      <c r="C1122" s="2" t="s">
        <v>593</v>
      </c>
      <c r="D1122" s="2" t="str">
        <f t="shared" si="16"/>
        <v>Error?</v>
      </c>
    </row>
    <row r="1123" spans="1:4" x14ac:dyDescent="0.2">
      <c r="A1123" s="5">
        <v>1062</v>
      </c>
      <c r="B1123" s="138">
        <f>'Expenditures 15-22'!K55</f>
        <v>288748</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288748</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79346</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93724</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173070</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734166</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87802</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2645720</v>
      </c>
      <c r="C1152" s="2" t="s">
        <v>593</v>
      </c>
      <c r="D1152" s="2" t="str">
        <f t="shared" si="17"/>
        <v>Error?</v>
      </c>
    </row>
    <row r="1153" spans="1:4" x14ac:dyDescent="0.2">
      <c r="A1153" s="5">
        <v>1092</v>
      </c>
      <c r="B1153" s="138">
        <f>'Expenditures 15-22'!K115</f>
        <v>374804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158458</v>
      </c>
      <c r="D1221" s="2" t="str">
        <f t="shared" si="18"/>
        <v>Error?</v>
      </c>
    </row>
    <row r="1222" spans="1:4" x14ac:dyDescent="0.2">
      <c r="A1222" s="10">
        <v>1161</v>
      </c>
      <c r="D1222" s="2" t="str">
        <f t="shared" si="18"/>
        <v>OK</v>
      </c>
    </row>
    <row r="1223" spans="1:4" x14ac:dyDescent="0.2">
      <c r="A1223" s="5">
        <v>1162</v>
      </c>
      <c r="B1223" s="138">
        <f>'Expenditures 15-22'!C127</f>
        <v>158458</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158458</v>
      </c>
      <c r="C1225" s="2" t="s">
        <v>593</v>
      </c>
      <c r="D1225" s="2" t="str">
        <f t="shared" si="18"/>
        <v>Error?</v>
      </c>
    </row>
    <row r="1226" spans="1:4" x14ac:dyDescent="0.2">
      <c r="A1226" s="5">
        <v>1165</v>
      </c>
      <c r="B1226" s="138">
        <f>'Expenditures 15-22'!C151</f>
        <v>158458</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9180</v>
      </c>
      <c r="D1229" s="2" t="str">
        <f t="shared" si="18"/>
        <v>Error?</v>
      </c>
    </row>
    <row r="1230" spans="1:4" x14ac:dyDescent="0.2">
      <c r="A1230" s="10">
        <v>1169</v>
      </c>
      <c r="D1230" s="2" t="str">
        <f t="shared" si="18"/>
        <v>OK</v>
      </c>
    </row>
    <row r="1231" spans="1:4" x14ac:dyDescent="0.2">
      <c r="A1231" s="5">
        <v>1170</v>
      </c>
      <c r="B1231" s="138">
        <f>'Expenditures 15-22'!D127</f>
        <v>9180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9180</v>
      </c>
      <c r="C1233" s="2" t="s">
        <v>593</v>
      </c>
      <c r="D1233" s="2" t="str">
        <f t="shared" si="18"/>
        <v>Error?</v>
      </c>
    </row>
    <row r="1234" spans="1:4" x14ac:dyDescent="0.2">
      <c r="A1234" s="5">
        <v>1173</v>
      </c>
      <c r="B1234" s="138">
        <f>'Expenditures 15-22'!D151</f>
        <v>9180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91469</v>
      </c>
      <c r="D1237" s="2" t="str">
        <f t="shared" si="18"/>
        <v>Error?</v>
      </c>
    </row>
    <row r="1238" spans="1:4" x14ac:dyDescent="0.2">
      <c r="A1238" s="10">
        <v>1177</v>
      </c>
      <c r="D1238" s="2" t="str">
        <f t="shared" si="18"/>
        <v>OK</v>
      </c>
    </row>
    <row r="1239" spans="1:4" x14ac:dyDescent="0.2">
      <c r="A1239" s="5">
        <v>1178</v>
      </c>
      <c r="B1239" s="138">
        <f>'Expenditures 15-22'!E127</f>
        <v>91469</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91469</v>
      </c>
      <c r="C1241" s="2" t="s">
        <v>593</v>
      </c>
      <c r="D1241" s="2" t="str">
        <f t="shared" si="18"/>
        <v>Error?</v>
      </c>
    </row>
    <row r="1242" spans="1:4" x14ac:dyDescent="0.2">
      <c r="A1242" s="5">
        <v>1181</v>
      </c>
      <c r="B1242" s="138">
        <f>'Expenditures 15-22'!E151</f>
        <v>91469</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31465</v>
      </c>
      <c r="D1245" s="2" t="str">
        <f t="shared" si="18"/>
        <v>Error?</v>
      </c>
    </row>
    <row r="1246" spans="1:4" x14ac:dyDescent="0.2">
      <c r="A1246" s="10">
        <v>1185</v>
      </c>
      <c r="D1246" s="2" t="str">
        <f t="shared" si="18"/>
        <v>OK</v>
      </c>
    </row>
    <row r="1247" spans="1:4" x14ac:dyDescent="0.2">
      <c r="A1247" s="5">
        <v>1186</v>
      </c>
      <c r="B1247" s="138">
        <f>'Expenditures 15-22'!F127</f>
        <v>31465</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31465</v>
      </c>
      <c r="C1249" s="2" t="s">
        <v>593</v>
      </c>
      <c r="D1249" s="2" t="str">
        <f t="shared" si="18"/>
        <v>Error?</v>
      </c>
    </row>
    <row r="1250" spans="1:4" x14ac:dyDescent="0.2">
      <c r="A1250" s="5">
        <v>1189</v>
      </c>
      <c r="B1250" s="138">
        <f>'Expenditures 15-22'!F151</f>
        <v>31465</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593</v>
      </c>
      <c r="D1258" s="2" t="str">
        <f t="shared" si="18"/>
        <v>Error?</v>
      </c>
    </row>
    <row r="1259" spans="1:4" x14ac:dyDescent="0.2">
      <c r="A1259" s="5">
        <v>1198</v>
      </c>
      <c r="B1259" s="138">
        <f>'Expenditures 15-22'!G151</f>
        <v>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290572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290572</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290572</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290572</v>
      </c>
      <c r="C1288" s="2" t="s">
        <v>593</v>
      </c>
      <c r="D1288" s="2" t="str">
        <f t="shared" si="19"/>
        <v>Error?</v>
      </c>
    </row>
    <row r="1289" spans="1:4" x14ac:dyDescent="0.2">
      <c r="A1289" s="5">
        <v>1228</v>
      </c>
      <c r="B1289" s="138">
        <f>'Expenditures 15-22'!K152</f>
        <v>44680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98612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343612</v>
      </c>
      <c r="C1317" s="2" t="s">
        <v>593</v>
      </c>
      <c r="D1317" s="2" t="str">
        <f t="shared" si="19"/>
        <v>Error?</v>
      </c>
    </row>
    <row r="1318" spans="1:4" x14ac:dyDescent="0.2">
      <c r="A1318" s="5">
        <v>1257</v>
      </c>
      <c r="B1318" s="138">
        <f>'Expenditures 15-22'!H174</f>
        <v>343612</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98612</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245000</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343612</v>
      </c>
      <c r="C1331" s="2" t="s">
        <v>593</v>
      </c>
      <c r="D1331" s="2" t="str">
        <f t="shared" si="19"/>
        <v>Error?</v>
      </c>
    </row>
    <row r="1332" spans="1:4" x14ac:dyDescent="0.2">
      <c r="A1332" s="5">
        <v>1271</v>
      </c>
      <c r="B1332" s="138">
        <f>'Expenditures 15-22'!K174</f>
        <v>343612</v>
      </c>
      <c r="C1332" s="2" t="s">
        <v>593</v>
      </c>
      <c r="D1332" s="2" t="str">
        <f t="shared" si="19"/>
        <v>Error?</v>
      </c>
    </row>
    <row r="1333" spans="1:4" x14ac:dyDescent="0.2">
      <c r="A1333" s="5">
        <v>1272</v>
      </c>
      <c r="B1333" s="138">
        <f>'Expenditures 15-22'!K175</f>
        <v>42876</v>
      </c>
      <c r="C1333" s="2" t="s">
        <v>593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593</v>
      </c>
      <c r="D1339" s="2" t="str">
        <f t="shared" si="19"/>
        <v>Error?</v>
      </c>
    </row>
    <row r="1340" spans="1:4" x14ac:dyDescent="0.2">
      <c r="A1340" s="5">
        <v>1279</v>
      </c>
      <c r="B1340" s="138">
        <f>'Expenditures 15-22'!C210</f>
        <v>0</v>
      </c>
      <c r="C1340" s="2" t="s">
        <v>593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593</v>
      </c>
      <c r="D1345" s="2" t="str">
        <f t="shared" si="20"/>
        <v>Error?</v>
      </c>
    </row>
    <row r="1346" spans="1:4" x14ac:dyDescent="0.2">
      <c r="A1346" s="5">
        <v>1285</v>
      </c>
      <c r="B1346" s="138">
        <f>'Expenditures 15-22'!D210</f>
        <v>0</v>
      </c>
      <c r="C1346" s="2" t="s">
        <v>593</v>
      </c>
      <c r="D1346" s="2" t="str">
        <f t="shared" si="20"/>
        <v>Error?</v>
      </c>
    </row>
    <row r="1347" spans="1:4" x14ac:dyDescent="0.2">
      <c r="A1347" s="5">
        <v>1286</v>
      </c>
      <c r="B1347" s="138">
        <f>'Expenditures 15-22'!E182</f>
        <v>257071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257071</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257071</v>
      </c>
      <c r="C1353" s="2" t="s">
        <v>593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593</v>
      </c>
      <c r="D1358" s="2" t="str">
        <f t="shared" si="20"/>
        <v>Error?</v>
      </c>
    </row>
    <row r="1359" spans="1:4" x14ac:dyDescent="0.2">
      <c r="A1359" s="5">
        <v>1298</v>
      </c>
      <c r="B1359" s="138">
        <f>'Expenditures 15-22'!F210</f>
        <v>0</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257071</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257071</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257071</v>
      </c>
      <c r="C1388" s="2" t="s">
        <v>593</v>
      </c>
      <c r="D1388" s="2" t="str">
        <f t="shared" si="20"/>
        <v>Error?</v>
      </c>
    </row>
    <row r="1389" spans="1:4" x14ac:dyDescent="0.2">
      <c r="A1389" s="5">
        <v>1328</v>
      </c>
      <c r="B1389" s="138">
        <f>'Expenditures 15-22'!K211</f>
        <v>33543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1191</v>
      </c>
      <c r="D1407" s="2" t="str">
        <f t="shared" ref="D1407:D1470" si="21">IF(ISBLANK(B1407),"OK",IF(A1407-B1407=0,"OK","Error?"))</f>
        <v>Error?</v>
      </c>
    </row>
    <row r="1408" spans="1:4" x14ac:dyDescent="0.2">
      <c r="A1408" s="5">
        <v>1347</v>
      </c>
      <c r="B1408" s="138">
        <f>'Expenditures 15-22'!D223</f>
        <v>2442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27072</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699</v>
      </c>
      <c r="D1412" s="2" t="str">
        <f t="shared" si="21"/>
        <v>Error?</v>
      </c>
    </row>
    <row r="1413" spans="1:4" x14ac:dyDescent="0.2">
      <c r="A1413" s="5">
        <v>1352</v>
      </c>
      <c r="B1413" s="138">
        <f>'Expenditures 15-22'!D234</f>
        <v>2985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3684</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696</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1659</v>
      </c>
      <c r="D1423" s="2" t="str">
        <f t="shared" si="21"/>
        <v>Error?</v>
      </c>
    </row>
    <row r="1424" spans="1:4" x14ac:dyDescent="0.2">
      <c r="A1424" s="5">
        <v>1363</v>
      </c>
      <c r="B1424" s="138">
        <f>'Expenditures 15-22'!D257</f>
        <v>1659</v>
      </c>
      <c r="C1424" s="2" t="s">
        <v>593</v>
      </c>
      <c r="D1424" s="2" t="str">
        <f t="shared" si="21"/>
        <v>Error?</v>
      </c>
    </row>
    <row r="1425" spans="1:4" x14ac:dyDescent="0.2">
      <c r="A1425" s="5">
        <v>1364</v>
      </c>
      <c r="B1425" s="138">
        <f>'Expenditures 15-22'!D259</f>
        <v>12278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12278</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6457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21454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27911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46228</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73300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1191</v>
      </c>
      <c r="C1471" s="2" t="s">
        <v>593</v>
      </c>
      <c r="D1471" s="2" t="str">
        <f t="shared" ref="D1471:D1534" si="22">IF(ISBLANK(B1471),"OK",IF(A1471-B1471=0,"OK","Error?"))</f>
        <v>Error?</v>
      </c>
    </row>
    <row r="1472" spans="1:4" x14ac:dyDescent="0.2">
      <c r="A1472" s="5">
        <v>1411</v>
      </c>
      <c r="B1472" s="138">
        <f>'Expenditures 15-22'!K223</f>
        <v>2442</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27072</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699</v>
      </c>
      <c r="C1476" s="2" t="s">
        <v>593</v>
      </c>
      <c r="D1476" s="2" t="str">
        <f t="shared" si="22"/>
        <v>Error?</v>
      </c>
    </row>
    <row r="1477" spans="1:4" x14ac:dyDescent="0.2">
      <c r="A1477" s="5">
        <v>1416</v>
      </c>
      <c r="B1477" s="138">
        <f>'Expenditures 15-22'!K234</f>
        <v>2985</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3684</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696</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696</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1659</v>
      </c>
      <c r="C1487" s="2" t="s">
        <v>593</v>
      </c>
      <c r="D1487" s="2" t="str">
        <f t="shared" si="22"/>
        <v>Error?</v>
      </c>
    </row>
    <row r="1488" spans="1:4" x14ac:dyDescent="0.2">
      <c r="A1488" s="5">
        <v>1427</v>
      </c>
      <c r="B1488" s="138">
        <f>'Expenditures 15-22'!K257</f>
        <v>1659</v>
      </c>
      <c r="C1488" s="2" t="s">
        <v>593</v>
      </c>
      <c r="D1488" s="2" t="str">
        <f t="shared" si="22"/>
        <v>Error?</v>
      </c>
    </row>
    <row r="1489" spans="1:4" x14ac:dyDescent="0.2">
      <c r="A1489" s="5">
        <v>1428</v>
      </c>
      <c r="B1489" s="138">
        <f>'Expenditures 15-22'!K259</f>
        <v>12278</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12278</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6457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21454</v>
      </c>
      <c r="C1495" s="2" t="s">
        <v>593</v>
      </c>
      <c r="D1495" s="2" t="str">
        <f t="shared" si="22"/>
        <v>Error?</v>
      </c>
    </row>
    <row r="1496" spans="1:4" x14ac:dyDescent="0.2">
      <c r="A1496" s="5">
        <v>1435</v>
      </c>
      <c r="B1496" s="138">
        <f>'Expenditures 15-22'!K267</f>
        <v>0</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27911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46228</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73300</v>
      </c>
      <c r="C1517" s="2" t="s">
        <v>593</v>
      </c>
      <c r="D1517" s="2" t="str">
        <f t="shared" si="22"/>
        <v>Error?</v>
      </c>
    </row>
    <row r="1518" spans="1:4" x14ac:dyDescent="0.2">
      <c r="A1518" s="5">
        <v>1457</v>
      </c>
      <c r="B1518" s="138">
        <f>'Expenditures 15-22'!K296</f>
        <v>9034</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59435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59435</v>
      </c>
      <c r="C1547" s="2" t="s">
        <v>593</v>
      </c>
      <c r="D1547" s="2" t="str">
        <f t="shared" si="23"/>
        <v>Error?</v>
      </c>
    </row>
    <row r="1548" spans="1:4" x14ac:dyDescent="0.2">
      <c r="A1548" s="5">
        <v>1487</v>
      </c>
      <c r="B1548" s="138">
        <f>'Expenditures 15-22'!G312</f>
        <v>59435</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59435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59435</v>
      </c>
      <c r="C1559" s="2" t="s">
        <v>593</v>
      </c>
      <c r="D1559" s="2" t="str">
        <f t="shared" si="23"/>
        <v>Error?</v>
      </c>
    </row>
    <row r="1560" spans="1:4" x14ac:dyDescent="0.2">
      <c r="A1560" s="5">
        <v>1499</v>
      </c>
      <c r="B1560" s="138">
        <f>'Expenditures 15-22'!K312</f>
        <v>59435</v>
      </c>
      <c r="C1560" s="2" t="s">
        <v>593</v>
      </c>
      <c r="D1560" s="2" t="str">
        <f t="shared" si="23"/>
        <v>Error?</v>
      </c>
    </row>
    <row r="1561" spans="1:4" x14ac:dyDescent="0.2">
      <c r="A1561" s="5">
        <v>1500</v>
      </c>
      <c r="B1561" s="138">
        <f>'Expenditures 15-22'!K313</f>
        <v>38103</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188088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562892</v>
      </c>
      <c r="C1630" s="2" t="s">
        <v>593</v>
      </c>
      <c r="D1630" s="2" t="str">
        <f t="shared" si="24"/>
        <v>Error?</v>
      </c>
    </row>
    <row r="1631" spans="1:4" x14ac:dyDescent="0.2">
      <c r="A1631" s="5">
        <v>1570</v>
      </c>
      <c r="B1631" s="138">
        <f>'Acct Summary 7-8'!D79</f>
        <v>110397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155077</v>
      </c>
      <c r="C1644" s="2" t="s">
        <v>593</v>
      </c>
      <c r="D1644" s="2" t="str">
        <f t="shared" si="24"/>
        <v>Error?</v>
      </c>
    </row>
    <row r="1645" spans="1:4" x14ac:dyDescent="0.2">
      <c r="A1645" s="5">
        <v>1584</v>
      </c>
      <c r="B1645" s="138">
        <f>'Acct Summary 7-8'!E79</f>
        <v>21684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64560</v>
      </c>
      <c r="C1658" s="2" t="s">
        <v>593</v>
      </c>
      <c r="D1658" s="2" t="str">
        <f t="shared" si="24"/>
        <v>Error?</v>
      </c>
    </row>
    <row r="1659" spans="1:4" x14ac:dyDescent="0.2">
      <c r="A1659" s="5">
        <v>1598</v>
      </c>
      <c r="B1659" s="138">
        <f>'Acct Summary 7-8'!F79</f>
        <v>974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72517</v>
      </c>
      <c r="C1672" s="2" t="s">
        <v>593</v>
      </c>
      <c r="D1672" s="2" t="str">
        <f t="shared" si="25"/>
        <v>Error?</v>
      </c>
    </row>
    <row r="1673" spans="1:4" x14ac:dyDescent="0.2">
      <c r="A1673" s="5">
        <v>1612</v>
      </c>
      <c r="B1673" s="138">
        <f>'Acct Summary 7-8'!G79</f>
        <v>151444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160478</v>
      </c>
      <c r="C1686" s="2" t="s">
        <v>593</v>
      </c>
      <c r="D1686" s="2" t="str">
        <f t="shared" si="25"/>
        <v>Error?</v>
      </c>
    </row>
    <row r="1687" spans="1:4" x14ac:dyDescent="0.2">
      <c r="A1687" s="5">
        <v>1626</v>
      </c>
      <c r="B1687" s="138">
        <f>'Acct Summary 7-8'!H79</f>
        <v>58010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96113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1903899</v>
      </c>
      <c r="C1744" s="2" t="s">
        <v>593</v>
      </c>
      <c r="D1744" s="2" t="str">
        <f t="shared" si="26"/>
        <v>Error?</v>
      </c>
    </row>
    <row r="1745" spans="1:5" x14ac:dyDescent="0.2">
      <c r="A1745" s="5">
        <v>1684</v>
      </c>
      <c r="B1745" s="138">
        <f>'Tax Sched 23'!B5</f>
        <v>324522</v>
      </c>
      <c r="C1745" s="2" t="s">
        <v>593</v>
      </c>
      <c r="D1745" s="2" t="str">
        <f t="shared" si="26"/>
        <v>Error?</v>
      </c>
    </row>
    <row r="1746" spans="1:5" x14ac:dyDescent="0.2">
      <c r="A1746" s="5">
        <v>1685</v>
      </c>
      <c r="B1746" s="138">
        <f>'Tax Sched 23'!B6</f>
        <v>383664</v>
      </c>
      <c r="C1746" s="2" t="s">
        <v>593</v>
      </c>
      <c r="D1746" s="2" t="str">
        <f t="shared" si="26"/>
        <v>Error?</v>
      </c>
    </row>
    <row r="1747" spans="1:5" x14ac:dyDescent="0.2">
      <c r="A1747" s="5">
        <v>1686</v>
      </c>
      <c r="B1747" s="138">
        <f>'Tax Sched 23'!B7</f>
        <v>123635</v>
      </c>
      <c r="C1747" s="2" t="s">
        <v>593</v>
      </c>
      <c r="D1747" s="2" t="str">
        <f t="shared" si="26"/>
        <v>Error?</v>
      </c>
    </row>
    <row r="1748" spans="1:5" x14ac:dyDescent="0.2">
      <c r="A1748" s="5">
        <v>1687</v>
      </c>
      <c r="B1748" s="138">
        <f>'Tax Sched 23'!B8</f>
        <v>46619</v>
      </c>
      <c r="C1748" s="2" t="s">
        <v>593</v>
      </c>
      <c r="D1748" s="2" t="str">
        <f t="shared" si="26"/>
        <v>Error?</v>
      </c>
    </row>
    <row r="1749" spans="1:5" x14ac:dyDescent="0.2">
      <c r="A1749" s="5">
        <v>1688</v>
      </c>
      <c r="B1749" s="138">
        <f>'Tax Sched 23'!B10</f>
        <v>30913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235844</v>
      </c>
      <c r="C1752" s="2" t="s">
        <v>593</v>
      </c>
      <c r="D1752" s="2" t="str">
        <f t="shared" si="26"/>
        <v>Error?</v>
      </c>
    </row>
    <row r="1753" spans="1:5" x14ac:dyDescent="0.2">
      <c r="A1753" s="5">
        <v>1692</v>
      </c>
      <c r="B1753" s="138">
        <f>'Tax Sched 23'!B12</f>
        <v>30913</v>
      </c>
      <c r="C1753" s="2" t="s">
        <v>593</v>
      </c>
      <c r="D1753" s="2" t="str">
        <f t="shared" si="26"/>
        <v>Error?</v>
      </c>
    </row>
    <row r="1754" spans="1:5" x14ac:dyDescent="0.2">
      <c r="A1754" s="5">
        <v>1693</v>
      </c>
      <c r="B1754" s="138">
        <f>'Tax Sched 23'!B14</f>
        <v>24719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3158677</v>
      </c>
      <c r="C1759" s="2" t="s">
        <v>593</v>
      </c>
      <c r="D1759" s="2" t="str">
        <f t="shared" si="26"/>
        <v>Error?</v>
      </c>
    </row>
    <row r="1760" spans="1:5" x14ac:dyDescent="0.2">
      <c r="A1760" s="5">
        <v>1699</v>
      </c>
      <c r="B1760" s="138">
        <f>'Tax Sched 23'!D4</f>
        <v>1744459</v>
      </c>
      <c r="C1760" s="2" t="s">
        <v>593</v>
      </c>
      <c r="D1760" s="2" t="str">
        <f t="shared" si="26"/>
        <v>Error?</v>
      </c>
    </row>
    <row r="1761" spans="1:5" x14ac:dyDescent="0.2">
      <c r="A1761" s="5">
        <v>1700</v>
      </c>
      <c r="B1761" s="138">
        <f>'Tax Sched 23'!D5</f>
        <v>297356</v>
      </c>
      <c r="C1761" s="2" t="s">
        <v>593</v>
      </c>
      <c r="D1761" s="2" t="str">
        <f t="shared" si="26"/>
        <v>Error?</v>
      </c>
    </row>
    <row r="1762" spans="1:5" s="8" customFormat="1" x14ac:dyDescent="0.2">
      <c r="A1762" s="5">
        <v>1701</v>
      </c>
      <c r="B1762" s="138">
        <f>'Tax Sched 23'!D6</f>
        <v>352262</v>
      </c>
      <c r="C1762" s="2" t="s">
        <v>593</v>
      </c>
      <c r="D1762" s="2" t="str">
        <f t="shared" si="26"/>
        <v>Error?</v>
      </c>
      <c r="E1762" s="9"/>
    </row>
    <row r="1763" spans="1:5" x14ac:dyDescent="0.2">
      <c r="A1763" s="5">
        <v>1702</v>
      </c>
      <c r="B1763" s="138">
        <f>'Tax Sched 23'!D7</f>
        <v>113281</v>
      </c>
      <c r="C1763" s="2" t="s">
        <v>593</v>
      </c>
      <c r="D1763" s="2" t="str">
        <f t="shared" si="26"/>
        <v>Error?</v>
      </c>
    </row>
    <row r="1764" spans="1:5" x14ac:dyDescent="0.2">
      <c r="A1764" s="5">
        <v>1703</v>
      </c>
      <c r="B1764" s="138">
        <f>'Tax Sched 23'!D8</f>
        <v>44606</v>
      </c>
      <c r="C1764" s="2" t="s">
        <v>593</v>
      </c>
      <c r="D1764" s="2" t="str">
        <f t="shared" si="26"/>
        <v>Error?</v>
      </c>
    </row>
    <row r="1765" spans="1:5" x14ac:dyDescent="0.2">
      <c r="A1765" s="5">
        <v>1704</v>
      </c>
      <c r="B1765" s="138">
        <f>'Tax Sched 23'!D10</f>
        <v>28324</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216130</v>
      </c>
      <c r="C1768" s="2" t="s">
        <v>593</v>
      </c>
      <c r="D1768" s="2" t="str">
        <f t="shared" si="26"/>
        <v>Error?</v>
      </c>
    </row>
    <row r="1769" spans="1:5" x14ac:dyDescent="0.2">
      <c r="A1769" s="5">
        <v>1708</v>
      </c>
      <c r="B1769" s="138">
        <f>'Tax Sched 23'!D12</f>
        <v>28325</v>
      </c>
      <c r="C1769" s="2" t="s">
        <v>593</v>
      </c>
      <c r="D1769" s="2" t="str">
        <f t="shared" si="26"/>
        <v>Error?</v>
      </c>
    </row>
    <row r="1770" spans="1:5" x14ac:dyDescent="0.2">
      <c r="A1770" s="5">
        <v>1709</v>
      </c>
      <c r="B1770" s="138">
        <f>'Tax Sched 23'!D14</f>
        <v>22653</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2897214</v>
      </c>
      <c r="C1775" s="2" t="s">
        <v>593</v>
      </c>
      <c r="D1775" s="2" t="str">
        <f t="shared" si="26"/>
        <v>Error?</v>
      </c>
    </row>
    <row r="1776" spans="1:5" x14ac:dyDescent="0.2">
      <c r="A1776" s="5">
        <v>1715</v>
      </c>
      <c r="B1776" s="138">
        <f>'Tax Sched 23'!C4</f>
        <v>159440</v>
      </c>
      <c r="D1776" s="2" t="str">
        <f t="shared" si="26"/>
        <v>Error?</v>
      </c>
    </row>
    <row r="1777" spans="1:4" x14ac:dyDescent="0.2">
      <c r="A1777" s="5">
        <v>1716</v>
      </c>
      <c r="B1777" s="138">
        <f>'Tax Sched 23'!C5</f>
        <v>27166</v>
      </c>
      <c r="D1777" s="2" t="str">
        <f t="shared" si="26"/>
        <v>Error?</v>
      </c>
    </row>
    <row r="1778" spans="1:4" x14ac:dyDescent="0.2">
      <c r="A1778" s="5">
        <v>1717</v>
      </c>
      <c r="B1778" s="138">
        <f>'Tax Sched 23'!C6</f>
        <v>31402</v>
      </c>
      <c r="D1778" s="2" t="str">
        <f t="shared" si="26"/>
        <v>Error?</v>
      </c>
    </row>
    <row r="1779" spans="1:4" x14ac:dyDescent="0.2">
      <c r="A1779" s="5">
        <v>1718</v>
      </c>
      <c r="B1779" s="138">
        <f>'Tax Sched 23'!C7</f>
        <v>10354</v>
      </c>
      <c r="D1779" s="2" t="str">
        <f t="shared" si="26"/>
        <v>Error?</v>
      </c>
    </row>
    <row r="1780" spans="1:4" x14ac:dyDescent="0.2">
      <c r="A1780" s="5">
        <v>1719</v>
      </c>
      <c r="B1780" s="138">
        <f>'Tax Sched 23'!C8</f>
        <v>2013</v>
      </c>
      <c r="D1780" s="2" t="str">
        <f t="shared" si="26"/>
        <v>Error?</v>
      </c>
    </row>
    <row r="1781" spans="1:4" x14ac:dyDescent="0.2">
      <c r="A1781" s="5">
        <v>1720</v>
      </c>
      <c r="B1781" s="138">
        <f>'Tax Sched 23'!C10</f>
        <v>2589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19714</v>
      </c>
      <c r="D1784" s="2" t="str">
        <f t="shared" si="26"/>
        <v>Error?</v>
      </c>
    </row>
    <row r="1785" spans="1:4" x14ac:dyDescent="0.2">
      <c r="A1785" s="5">
        <v>1724</v>
      </c>
      <c r="B1785" s="138">
        <f>'Tax Sched 23'!C12</f>
        <v>2588</v>
      </c>
      <c r="D1785" s="2" t="str">
        <f t="shared" si="26"/>
        <v>Error?</v>
      </c>
    </row>
    <row r="1786" spans="1:4" x14ac:dyDescent="0.2">
      <c r="A1786" s="5">
        <v>1725</v>
      </c>
      <c r="B1786" s="138">
        <f>'Tax Sched 23'!C14</f>
        <v>2066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261463</v>
      </c>
      <c r="C1791" s="2" t="s">
        <v>593</v>
      </c>
      <c r="D1791" s="2" t="str">
        <f t="shared" ref="D1791:D1854" si="27">IF(ISBLANK(B1791),"OK",IF(A1791-B1791=0,"OK","Error?"))</f>
        <v>Error?</v>
      </c>
    </row>
    <row r="1792" spans="1:4" x14ac:dyDescent="0.2">
      <c r="A1792" s="5">
        <v>1731</v>
      </c>
      <c r="B1792" s="138">
        <f>'Tax Sched 23'!F4</f>
        <v>1821471</v>
      </c>
      <c r="C1792" s="2" t="s">
        <v>593</v>
      </c>
      <c r="D1792" s="2" t="str">
        <f t="shared" si="27"/>
        <v>Error?</v>
      </c>
    </row>
    <row r="1793" spans="1:4" x14ac:dyDescent="0.2">
      <c r="A1793" s="5">
        <v>1732</v>
      </c>
      <c r="B1793" s="138">
        <f>'Tax Sched 23'!F5</f>
        <v>310489</v>
      </c>
      <c r="C1793" s="2" t="s">
        <v>593</v>
      </c>
      <c r="D1793" s="2" t="str">
        <f t="shared" si="27"/>
        <v>Error?</v>
      </c>
    </row>
    <row r="1794" spans="1:4" x14ac:dyDescent="0.2">
      <c r="A1794" s="5">
        <v>1733</v>
      </c>
      <c r="B1794" s="138">
        <f>'Tax Sched 23'!F6</f>
        <v>358606</v>
      </c>
      <c r="C1794" s="2" t="s">
        <v>593</v>
      </c>
      <c r="D1794" s="2" t="str">
        <f t="shared" si="27"/>
        <v>Error?</v>
      </c>
    </row>
    <row r="1795" spans="1:4" x14ac:dyDescent="0.2">
      <c r="A1795" s="5">
        <v>1734</v>
      </c>
      <c r="B1795" s="138">
        <f>'Tax Sched 23'!F7</f>
        <v>118277</v>
      </c>
      <c r="C1795" s="2" t="s">
        <v>593</v>
      </c>
      <c r="D1795" s="2" t="str">
        <f t="shared" si="27"/>
        <v>Error?</v>
      </c>
    </row>
    <row r="1796" spans="1:4" x14ac:dyDescent="0.2">
      <c r="A1796" s="5">
        <v>1735</v>
      </c>
      <c r="B1796" s="138">
        <f>'Tax Sched 23'!F8</f>
        <v>23006</v>
      </c>
      <c r="C1796" s="2" t="s">
        <v>593</v>
      </c>
      <c r="D1796" s="2" t="str">
        <f t="shared" si="27"/>
        <v>Error?</v>
      </c>
    </row>
    <row r="1797" spans="1:4" x14ac:dyDescent="0.2">
      <c r="A1797" s="5">
        <v>1736</v>
      </c>
      <c r="B1797" s="138">
        <f>'Tax Sched 23'!F10</f>
        <v>29569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225263</v>
      </c>
      <c r="C1800" s="2" t="s">
        <v>593</v>
      </c>
      <c r="D1800" s="2" t="str">
        <f t="shared" si="27"/>
        <v>Error?</v>
      </c>
    </row>
    <row r="1801" spans="1:4" x14ac:dyDescent="0.2">
      <c r="A1801" s="5">
        <v>1740</v>
      </c>
      <c r="B1801" s="138">
        <f>'Tax Sched 23'!F12</f>
        <v>29569</v>
      </c>
      <c r="C1801" s="2" t="s">
        <v>593</v>
      </c>
      <c r="D1801" s="2" t="str">
        <f t="shared" si="27"/>
        <v>Error?</v>
      </c>
    </row>
    <row r="1802" spans="1:4" x14ac:dyDescent="0.2">
      <c r="A1802" s="5">
        <v>1741</v>
      </c>
      <c r="B1802" s="138">
        <f>'Tax Sched 23'!F14</f>
        <v>23660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2986974</v>
      </c>
      <c r="C1807" s="2" t="s">
        <v>593</v>
      </c>
      <c r="D1807" s="2" t="str">
        <f t="shared" si="27"/>
        <v>Error?</v>
      </c>
    </row>
    <row r="1808" spans="1:4" x14ac:dyDescent="0.2">
      <c r="A1808" s="5">
        <v>1747</v>
      </c>
      <c r="B1808" s="138">
        <f>'Tax Sched 23'!E4</f>
        <v>1980911</v>
      </c>
      <c r="D1808" s="2" t="str">
        <f t="shared" si="27"/>
        <v>Error?</v>
      </c>
    </row>
    <row r="1809" spans="1:4" x14ac:dyDescent="0.2">
      <c r="A1809" s="5">
        <v>1748</v>
      </c>
      <c r="B1809" s="138">
        <f>'Tax Sched 23'!E5</f>
        <v>337655</v>
      </c>
      <c r="D1809" s="2" t="str">
        <f t="shared" si="27"/>
        <v>Error?</v>
      </c>
    </row>
    <row r="1810" spans="1:4" x14ac:dyDescent="0.2">
      <c r="A1810" s="5">
        <v>1749</v>
      </c>
      <c r="B1810" s="138">
        <f>'Tax Sched 23'!E6</f>
        <v>390008</v>
      </c>
      <c r="D1810" s="2" t="str">
        <f t="shared" si="27"/>
        <v>Error?</v>
      </c>
    </row>
    <row r="1811" spans="1:4" x14ac:dyDescent="0.2">
      <c r="A1811" s="5">
        <v>1750</v>
      </c>
      <c r="B1811" s="138">
        <f>'Tax Sched 23'!E7</f>
        <v>128631</v>
      </c>
      <c r="D1811" s="2" t="str">
        <f t="shared" si="27"/>
        <v>Error?</v>
      </c>
    </row>
    <row r="1812" spans="1:4" x14ac:dyDescent="0.2">
      <c r="A1812" s="5">
        <v>1751</v>
      </c>
      <c r="B1812" s="138">
        <f>'Tax Sched 23'!E8</f>
        <v>25019</v>
      </c>
      <c r="D1812" s="2" t="str">
        <f t="shared" si="27"/>
        <v>Error?</v>
      </c>
    </row>
    <row r="1813" spans="1:4" x14ac:dyDescent="0.2">
      <c r="A1813" s="5">
        <v>1752</v>
      </c>
      <c r="B1813" s="138">
        <f>'Tax Sched 23'!E10</f>
        <v>32158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244977</v>
      </c>
      <c r="D1816" s="2" t="str">
        <f t="shared" si="27"/>
        <v>Error?</v>
      </c>
    </row>
    <row r="1817" spans="1:4" x14ac:dyDescent="0.2">
      <c r="A1817" s="5">
        <v>1756</v>
      </c>
      <c r="B1817" s="138">
        <f>'Tax Sched 23'!E12</f>
        <v>32157</v>
      </c>
      <c r="D1817" s="2" t="str">
        <f t="shared" si="27"/>
        <v>Error?</v>
      </c>
    </row>
    <row r="1818" spans="1:4" x14ac:dyDescent="0.2">
      <c r="A1818" s="5">
        <v>1757</v>
      </c>
      <c r="B1818" s="138">
        <f>'Tax Sched 23'!E14</f>
        <v>25726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3248437</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2275000</v>
      </c>
      <c r="C1939" s="2" t="s">
        <v>593</v>
      </c>
      <c r="D1939" s="2" t="str">
        <f t="shared" si="29"/>
        <v>Error?</v>
      </c>
    </row>
    <row r="1940" spans="1:5" x14ac:dyDescent="0.2">
      <c r="A1940" s="5">
        <v>1879</v>
      </c>
      <c r="B1940" s="138">
        <f>'Short-Term Long-Term Debt 24'!F49</f>
        <v>3252734</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24719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24719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24719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17419</v>
      </c>
      <c r="D2008" s="2" t="str">
        <f t="shared" si="30"/>
        <v>Error?</v>
      </c>
    </row>
    <row r="2009" spans="1:4" x14ac:dyDescent="0.2">
      <c r="A2009" s="5">
        <v>1948</v>
      </c>
      <c r="B2009" s="138">
        <f>'Cap Outlay Deprec 26'!C8</f>
        <v>3915790</v>
      </c>
      <c r="D2009" s="2" t="str">
        <f t="shared" si="30"/>
        <v>Error?</v>
      </c>
    </row>
    <row r="2010" spans="1:4" x14ac:dyDescent="0.2">
      <c r="A2010" s="5">
        <v>1949</v>
      </c>
      <c r="B2010" s="138">
        <f>'Cap Outlay Deprec 26'!C10</f>
        <v>526664</v>
      </c>
      <c r="D2010" s="2" t="str">
        <f t="shared" si="30"/>
        <v>Error?</v>
      </c>
    </row>
    <row r="2011" spans="1:4" x14ac:dyDescent="0.2">
      <c r="A2011" s="5">
        <v>1950</v>
      </c>
      <c r="B2011" s="138">
        <f>'Cap Outlay Deprec 26'!C12</f>
        <v>1396959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5856832</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59435</v>
      </c>
      <c r="D2016" s="2" t="str">
        <f t="shared" si="30"/>
        <v>Error?</v>
      </c>
    </row>
    <row r="2017" spans="1:4" x14ac:dyDescent="0.2">
      <c r="A2017" s="5">
        <v>1956</v>
      </c>
      <c r="B2017" s="138">
        <f>'Cap Outlay Deprec 26'!D12</f>
        <v>4257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63692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17419</v>
      </c>
      <c r="C2026" s="2" t="s">
        <v>593</v>
      </c>
      <c r="D2026" s="2" t="str">
        <f t="shared" si="30"/>
        <v>Error?</v>
      </c>
    </row>
    <row r="2027" spans="1:4" x14ac:dyDescent="0.2">
      <c r="A2027" s="5">
        <v>1966</v>
      </c>
      <c r="B2027" s="138">
        <f>'Cap Outlay Deprec 26'!F8</f>
        <v>3915790</v>
      </c>
      <c r="C2027" s="2" t="s">
        <v>593</v>
      </c>
      <c r="D2027" s="2" t="str">
        <f t="shared" si="30"/>
        <v>Error?</v>
      </c>
    </row>
    <row r="2028" spans="1:4" x14ac:dyDescent="0.2">
      <c r="A2028" s="5">
        <v>1967</v>
      </c>
      <c r="B2028" s="138">
        <f>'Cap Outlay Deprec 26'!F10</f>
        <v>586099</v>
      </c>
      <c r="C2028" s="2" t="s">
        <v>593</v>
      </c>
      <c r="D2028" s="2" t="str">
        <f t="shared" si="30"/>
        <v>Error?</v>
      </c>
    </row>
    <row r="2029" spans="1:4" x14ac:dyDescent="0.2">
      <c r="A2029" s="5">
        <v>1968</v>
      </c>
      <c r="B2029" s="138">
        <f>'Cap Outlay Deprec 26'!F12</f>
        <v>1401216</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5920524</v>
      </c>
      <c r="C2031" s="2" t="s">
        <v>593</v>
      </c>
      <c r="D2031" s="2" t="str">
        <f t="shared" si="30"/>
        <v>Error?</v>
      </c>
    </row>
    <row r="2032" spans="1:4" x14ac:dyDescent="0.2">
      <c r="A2032" s="10">
        <v>1971</v>
      </c>
      <c r="D2032" s="2" t="str">
        <f t="shared" si="30"/>
        <v>OK</v>
      </c>
    </row>
    <row r="2033" spans="1:4" x14ac:dyDescent="0.2">
      <c r="A2033" s="5">
        <v>1972</v>
      </c>
      <c r="B2033" s="138">
        <f>'Cap Outlay Deprec 26'!H8</f>
        <v>2714173</v>
      </c>
      <c r="D2033" s="2" t="str">
        <f t="shared" si="30"/>
        <v>Error?</v>
      </c>
    </row>
    <row r="2034" spans="1:4" x14ac:dyDescent="0.2">
      <c r="A2034" s="5">
        <v>1973</v>
      </c>
      <c r="B2034" s="138">
        <f>'Cap Outlay Deprec 26'!H10</f>
        <v>26333</v>
      </c>
      <c r="D2034" s="2" t="str">
        <f t="shared" si="30"/>
        <v>Error?</v>
      </c>
    </row>
    <row r="2035" spans="1:4" x14ac:dyDescent="0.2">
      <c r="A2035" s="5">
        <v>1974</v>
      </c>
      <c r="B2035" s="138">
        <f>'Cap Outlay Deprec 26'!H12</f>
        <v>1271465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4011971</v>
      </c>
      <c r="C2037" s="2" t="s">
        <v>593</v>
      </c>
      <c r="D2037" s="2" t="str">
        <f t="shared" si="30"/>
        <v>Error?</v>
      </c>
    </row>
    <row r="2038" spans="1:4" x14ac:dyDescent="0.2">
      <c r="A2038" s="10">
        <v>1977</v>
      </c>
      <c r="D2038" s="2" t="str">
        <f t="shared" si="30"/>
        <v>OK</v>
      </c>
    </row>
    <row r="2039" spans="1:4" x14ac:dyDescent="0.2">
      <c r="A2039" s="5">
        <v>1978</v>
      </c>
      <c r="B2039" s="138">
        <f>'Cap Outlay Deprec 26'!I8</f>
        <v>78025</v>
      </c>
      <c r="D2039" s="2" t="str">
        <f t="shared" si="30"/>
        <v>Error?</v>
      </c>
    </row>
    <row r="2040" spans="1:4" x14ac:dyDescent="0.2">
      <c r="A2040" s="5">
        <v>1979</v>
      </c>
      <c r="B2040" s="138">
        <f>'Cap Outlay Deprec 26'!I10</f>
        <v>29305</v>
      </c>
      <c r="D2040" s="2" t="str">
        <f t="shared" si="30"/>
        <v>Error?</v>
      </c>
    </row>
    <row r="2041" spans="1:4" x14ac:dyDescent="0.2">
      <c r="A2041" s="5">
        <v>1980</v>
      </c>
      <c r="B2041" s="138">
        <f>'Cap Outlay Deprec 26'!I12</f>
        <v>71453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178783</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2792198</v>
      </c>
      <c r="C2051" s="2" t="s">
        <v>593</v>
      </c>
      <c r="D2051" s="2" t="str">
        <f t="shared" si="31"/>
        <v>Error?</v>
      </c>
    </row>
    <row r="2052" spans="1:4" x14ac:dyDescent="0.2">
      <c r="A2052" s="5">
        <v>1991</v>
      </c>
      <c r="B2052" s="138">
        <f>'Cap Outlay Deprec 26'!K10</f>
        <v>55638</v>
      </c>
      <c r="C2052" s="2" t="s">
        <v>593</v>
      </c>
      <c r="D2052" s="2" t="str">
        <f t="shared" si="31"/>
        <v>Error?</v>
      </c>
    </row>
    <row r="2053" spans="1:4" x14ac:dyDescent="0.2">
      <c r="A2053" s="5">
        <v>1992</v>
      </c>
      <c r="B2053" s="138">
        <f>'Cap Outlay Deprec 26'!K12</f>
        <v>1342918</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4190754</v>
      </c>
      <c r="C2055" s="2" t="s">
        <v>593</v>
      </c>
      <c r="D2055" s="2" t="str">
        <f t="shared" si="31"/>
        <v>Error?</v>
      </c>
    </row>
    <row r="2056" spans="1:4" x14ac:dyDescent="0.2">
      <c r="A2056" s="5">
        <v>1995</v>
      </c>
      <c r="B2056" s="138">
        <f>'Cap Outlay Deprec 26'!L5</f>
        <v>17419</v>
      </c>
      <c r="C2056" s="2" t="s">
        <v>593</v>
      </c>
      <c r="D2056" s="2" t="str">
        <f t="shared" si="31"/>
        <v>Error?</v>
      </c>
    </row>
    <row r="2057" spans="1:4" x14ac:dyDescent="0.2">
      <c r="A2057" s="5">
        <v>1996</v>
      </c>
      <c r="B2057" s="138">
        <f>'Cap Outlay Deprec 26'!L8</f>
        <v>1123592</v>
      </c>
      <c r="C2057" s="2" t="s">
        <v>593</v>
      </c>
      <c r="D2057" s="2" t="str">
        <f t="shared" si="31"/>
        <v>Error?</v>
      </c>
    </row>
    <row r="2058" spans="1:4" x14ac:dyDescent="0.2">
      <c r="A2058" s="5">
        <v>1997</v>
      </c>
      <c r="B2058" s="138">
        <f>'Cap Outlay Deprec 26'!L10</f>
        <v>530461</v>
      </c>
      <c r="C2058" s="2" t="s">
        <v>593</v>
      </c>
      <c r="D2058" s="2" t="str">
        <f t="shared" si="31"/>
        <v>Error?</v>
      </c>
    </row>
    <row r="2059" spans="1:4" x14ac:dyDescent="0.2">
      <c r="A2059" s="5">
        <v>1998</v>
      </c>
      <c r="B2059" s="138">
        <f>'Cap Outlay Deprec 26'!L12</f>
        <v>58298</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1729770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87802</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38000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9782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160478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84756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2187207</v>
      </c>
      <c r="C2551" s="2" t="s">
        <v>593</v>
      </c>
      <c r="D2551" s="2" t="str">
        <f t="shared" si="38"/>
        <v>Error?</v>
      </c>
    </row>
    <row r="2552" spans="1:4" x14ac:dyDescent="0.2">
      <c r="A2552" s="10">
        <v>2491</v>
      </c>
      <c r="D2552" s="2" t="str">
        <f t="shared" si="38"/>
        <v>OK</v>
      </c>
    </row>
    <row r="2553" spans="1:4" x14ac:dyDescent="0.2">
      <c r="A2553" s="5">
        <v>2492</v>
      </c>
      <c r="B2553" s="138">
        <f>'Acct Summary 7-8'!C6</f>
        <v>553675</v>
      </c>
      <c r="C2553" s="2" t="s">
        <v>593</v>
      </c>
      <c r="D2553" s="2" t="str">
        <f t="shared" si="38"/>
        <v>Error?</v>
      </c>
    </row>
    <row r="2554" spans="1:4" x14ac:dyDescent="0.2">
      <c r="A2554" s="5">
        <v>2493</v>
      </c>
      <c r="B2554" s="138">
        <f>'Acct Summary 7-8'!C7</f>
        <v>179090</v>
      </c>
      <c r="C2554" s="2" t="s">
        <v>593</v>
      </c>
      <c r="D2554" s="2" t="str">
        <f t="shared" si="38"/>
        <v>Error?</v>
      </c>
    </row>
    <row r="2555" spans="1:4" x14ac:dyDescent="0.2">
      <c r="A2555" s="5">
        <v>2494</v>
      </c>
      <c r="B2555" s="138">
        <f>'Acct Summary 7-8'!C8</f>
        <v>3020524</v>
      </c>
      <c r="C2555" s="2" t="s">
        <v>593</v>
      </c>
      <c r="D2555" s="2" t="str">
        <f t="shared" si="38"/>
        <v>Error?</v>
      </c>
    </row>
    <row r="2556" spans="1:4" x14ac:dyDescent="0.2">
      <c r="A2556" s="5">
        <v>2495</v>
      </c>
      <c r="B2556" s="138">
        <f>'Acct Summary 7-8'!C12</f>
        <v>1823752</v>
      </c>
      <c r="C2556" s="2" t="s">
        <v>593</v>
      </c>
      <c r="D2556" s="2" t="str">
        <f t="shared" si="38"/>
        <v>Error?</v>
      </c>
    </row>
    <row r="2557" spans="1:4" x14ac:dyDescent="0.2">
      <c r="A2557" s="5">
        <v>2496</v>
      </c>
      <c r="B2557" s="138">
        <f>'Acct Summary 7-8'!C13</f>
        <v>734166</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87802</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2645720</v>
      </c>
      <c r="C2561" s="2" t="s">
        <v>593</v>
      </c>
      <c r="D2561" s="2" t="str">
        <f t="shared" si="39"/>
        <v>Error?</v>
      </c>
    </row>
    <row r="2562" spans="1:4" x14ac:dyDescent="0.2">
      <c r="A2562" s="5">
        <v>2501</v>
      </c>
      <c r="B2562" s="138">
        <f>'Acct Summary 7-8'!C20</f>
        <v>374804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335252</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335252</v>
      </c>
      <c r="C2568" s="2" t="s">
        <v>593</v>
      </c>
      <c r="D2568" s="2" t="str">
        <f t="shared" si="39"/>
        <v>Error?</v>
      </c>
    </row>
    <row r="2569" spans="1:4" x14ac:dyDescent="0.2">
      <c r="A2569" s="5">
        <v>2508</v>
      </c>
      <c r="B2569" s="138">
        <f>'Acct Summary 7-8'!D13</f>
        <v>290572</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290572</v>
      </c>
      <c r="C2573" s="2" t="s">
        <v>593</v>
      </c>
      <c r="D2573" s="2" t="str">
        <f t="shared" si="39"/>
        <v>Error?</v>
      </c>
    </row>
    <row r="2574" spans="1:4" x14ac:dyDescent="0.2">
      <c r="A2574" s="5">
        <v>2513</v>
      </c>
      <c r="B2574" s="138">
        <f>'Acct Summary 7-8'!D20</f>
        <v>44680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124290</v>
      </c>
      <c r="C2591" s="2" t="s">
        <v>593</v>
      </c>
      <c r="D2591" s="2" t="str">
        <f t="shared" si="39"/>
        <v>Error?</v>
      </c>
    </row>
    <row r="2592" spans="1:4" x14ac:dyDescent="0.2">
      <c r="A2592" s="10">
        <v>2531</v>
      </c>
      <c r="D2592" s="2" t="str">
        <f t="shared" si="39"/>
        <v>OK</v>
      </c>
    </row>
    <row r="2593" spans="1:4" x14ac:dyDescent="0.2">
      <c r="A2593" s="5">
        <v>2532</v>
      </c>
      <c r="B2593" s="138">
        <f>'Acct Summary 7-8'!F6</f>
        <v>166324</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290614</v>
      </c>
      <c r="C2595" s="2" t="s">
        <v>593</v>
      </c>
      <c r="D2595" s="2" t="str">
        <f t="shared" si="39"/>
        <v>Error?</v>
      </c>
    </row>
    <row r="2596" spans="1:4" x14ac:dyDescent="0.2">
      <c r="A2596" s="5">
        <v>2535</v>
      </c>
      <c r="B2596" s="138">
        <f>'Acct Summary 7-8'!F13</f>
        <v>257071</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257071</v>
      </c>
      <c r="C2600" s="2" t="s">
        <v>593</v>
      </c>
      <c r="D2600" s="2" t="str">
        <f t="shared" si="39"/>
        <v>Error?</v>
      </c>
    </row>
    <row r="2601" spans="1:4" x14ac:dyDescent="0.2">
      <c r="A2601" s="5">
        <v>2540</v>
      </c>
      <c r="B2601" s="138">
        <f>'Acct Summary 7-8'!F20</f>
        <v>33543</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82334</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82334</v>
      </c>
      <c r="C2606" s="2" t="s">
        <v>593</v>
      </c>
      <c r="D2606" s="2" t="str">
        <f t="shared" si="39"/>
        <v>Error?</v>
      </c>
    </row>
    <row r="2607" spans="1:4" x14ac:dyDescent="0.2">
      <c r="A2607" s="5">
        <v>2546</v>
      </c>
      <c r="B2607" s="138">
        <f>'Acct Summary 7-8'!G12</f>
        <v>27072</v>
      </c>
      <c r="C2607" s="2" t="s">
        <v>593</v>
      </c>
      <c r="D2607" s="2" t="str">
        <f t="shared" si="39"/>
        <v>Error?</v>
      </c>
    </row>
    <row r="2608" spans="1:4" x14ac:dyDescent="0.2">
      <c r="A2608" s="5">
        <v>2547</v>
      </c>
      <c r="B2608" s="138">
        <f>'Acct Summary 7-8'!G13</f>
        <v>46228</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73300</v>
      </c>
      <c r="C2612" s="2" t="s">
        <v>593</v>
      </c>
      <c r="D2612" s="2" t="str">
        <f t="shared" si="39"/>
        <v>Error?</v>
      </c>
    </row>
    <row r="2613" spans="1:4" x14ac:dyDescent="0.2">
      <c r="A2613" s="5">
        <v>2552</v>
      </c>
      <c r="B2613" s="138">
        <f>'Acct Summary 7-8'!G20</f>
        <v>9034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386488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386488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343612</v>
      </c>
      <c r="C2634" s="2" t="s">
        <v>593</v>
      </c>
      <c r="D2634" s="2" t="str">
        <f t="shared" si="40"/>
        <v>Error?</v>
      </c>
    </row>
    <row r="2635" spans="1:4" x14ac:dyDescent="0.2">
      <c r="A2635" s="5">
        <v>2574</v>
      </c>
      <c r="B2635" s="138">
        <f>'Acct Summary 7-8'!E17</f>
        <v>343612</v>
      </c>
      <c r="C2635" s="2" t="s">
        <v>593</v>
      </c>
      <c r="D2635" s="2" t="str">
        <f t="shared" si="40"/>
        <v>Error?</v>
      </c>
    </row>
    <row r="2636" spans="1:4" x14ac:dyDescent="0.2">
      <c r="A2636" s="5">
        <v>2575</v>
      </c>
      <c r="B2636" s="138">
        <f>'Acct Summary 7-8'!E20</f>
        <v>42876</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97538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97538</v>
      </c>
      <c r="C2658" s="2" t="s">
        <v>593</v>
      </c>
      <c r="D2658" s="2" t="str">
        <f t="shared" si="40"/>
        <v>Error?</v>
      </c>
    </row>
    <row r="2659" spans="1:4" x14ac:dyDescent="0.2">
      <c r="A2659" s="5">
        <v>2598</v>
      </c>
      <c r="B2659" s="138">
        <f>'Acct Summary 7-8'!H13</f>
        <v>59435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59435</v>
      </c>
      <c r="C2661" s="2" t="s">
        <v>593</v>
      </c>
      <c r="D2661" s="2" t="str">
        <f t="shared" si="40"/>
        <v>Error?</v>
      </c>
    </row>
    <row r="2662" spans="1:4" x14ac:dyDescent="0.2">
      <c r="A2662" s="5">
        <v>2601</v>
      </c>
      <c r="B2662" s="138">
        <f>'Acct Summary 7-8'!H20</f>
        <v>38103</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38000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87802</v>
      </c>
      <c r="C2789" s="2" t="s">
        <v>593</v>
      </c>
      <c r="D2789" s="2" t="str">
        <f t="shared" si="42"/>
        <v>Error?</v>
      </c>
    </row>
    <row r="2790" spans="1:4" x14ac:dyDescent="0.2">
      <c r="A2790" s="5">
        <v>2729</v>
      </c>
      <c r="B2790" s="138">
        <f>'Expenditures 15-22'!E102</f>
        <v>87802</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878434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11872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74808</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878434</v>
      </c>
      <c r="D2912" s="2" t="str">
        <f t="shared" si="44"/>
        <v>Error?</v>
      </c>
    </row>
    <row r="2913" spans="1:4" x14ac:dyDescent="0.2">
      <c r="A2913" s="5">
        <v>2852</v>
      </c>
      <c r="B2913" s="138">
        <f>'Assets-Liab 5-6'!I41</f>
        <v>878434</v>
      </c>
      <c r="C2913" s="2" t="s">
        <v>593</v>
      </c>
      <c r="D2913" s="2" t="str">
        <f t="shared" si="44"/>
        <v>Error?</v>
      </c>
    </row>
    <row r="2914" spans="1:4" x14ac:dyDescent="0.2">
      <c r="A2914" s="5">
        <v>2853</v>
      </c>
      <c r="B2914" s="138">
        <f>'Assets-Liab 5-6'!L33</f>
        <v>74808</v>
      </c>
      <c r="D2914" s="2" t="str">
        <f t="shared" si="44"/>
        <v>Error?</v>
      </c>
    </row>
    <row r="2915" spans="1:4" x14ac:dyDescent="0.2">
      <c r="A2915" s="10">
        <v>2854</v>
      </c>
      <c r="D2915" s="2" t="str">
        <f t="shared" si="44"/>
        <v>OK</v>
      </c>
    </row>
    <row r="2916" spans="1:4" x14ac:dyDescent="0.2">
      <c r="A2916" s="5">
        <v>2855</v>
      </c>
      <c r="B2916" s="138">
        <f>'Assets-Liab 5-6'!L34</f>
        <v>74808</v>
      </c>
      <c r="C2916" s="2" t="s">
        <v>593</v>
      </c>
      <c r="D2916" s="2" t="str">
        <f t="shared" si="44"/>
        <v>Error?</v>
      </c>
    </row>
    <row r="2917" spans="1:4" x14ac:dyDescent="0.2">
      <c r="A2917" s="5">
        <v>2856</v>
      </c>
      <c r="B2917" s="138">
        <f>'Assets-Liab 5-6'!L41</f>
        <v>74808</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30764</v>
      </c>
      <c r="D2949" s="2" t="str">
        <f t="shared" si="45"/>
        <v>Error?</v>
      </c>
    </row>
    <row r="2950" spans="1:4" x14ac:dyDescent="0.2">
      <c r="A2950" s="5">
        <v>2889</v>
      </c>
      <c r="B2950" s="138">
        <f>'Expenditures 15-22'!E79</f>
        <v>57038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30764</v>
      </c>
      <c r="C2973" s="2" t="s">
        <v>593</v>
      </c>
      <c r="D2973" s="2" t="str">
        <f t="shared" si="45"/>
        <v>Error?</v>
      </c>
    </row>
    <row r="2974" spans="1:4" x14ac:dyDescent="0.2">
      <c r="A2974" s="5">
        <v>2913</v>
      </c>
      <c r="B2974" s="138">
        <f>'Expenditures 15-22'!K79</f>
        <v>57038</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44500</v>
      </c>
      <c r="D3055" s="2" t="str">
        <f t="shared" si="46"/>
        <v>Error?</v>
      </c>
    </row>
    <row r="3056" spans="1:4" x14ac:dyDescent="0.2">
      <c r="A3056" s="5">
        <v>2995</v>
      </c>
      <c r="B3056" s="138">
        <f>'Expenditures 15-22'!D10</f>
        <v>7100</v>
      </c>
      <c r="D3056" s="2" t="str">
        <f t="shared" si="46"/>
        <v>Error?</v>
      </c>
    </row>
    <row r="3057" spans="1:4" x14ac:dyDescent="0.2">
      <c r="A3057" s="5">
        <v>2996</v>
      </c>
      <c r="B3057" s="138">
        <f>'Expenditures 15-22'!E10</f>
        <v>11823</v>
      </c>
      <c r="D3057" s="2" t="str">
        <f t="shared" si="46"/>
        <v>Error?</v>
      </c>
    </row>
    <row r="3058" spans="1:4" x14ac:dyDescent="0.2">
      <c r="A3058" s="5">
        <v>2997</v>
      </c>
      <c r="B3058" s="138">
        <f>'Expenditures 15-22'!F10</f>
        <v>34222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97645</v>
      </c>
      <c r="C3062" s="2" t="s">
        <v>593</v>
      </c>
      <c r="D3062" s="2" t="str">
        <f t="shared" si="46"/>
        <v>Error?</v>
      </c>
    </row>
    <row r="3063" spans="1:4" x14ac:dyDescent="0.2">
      <c r="A3063" s="10">
        <v>3002</v>
      </c>
      <c r="D3063" s="2" t="str">
        <f t="shared" si="46"/>
        <v>OK</v>
      </c>
    </row>
    <row r="3064" spans="1:4" x14ac:dyDescent="0.2">
      <c r="A3064" s="5">
        <v>3003</v>
      </c>
      <c r="B3064" s="138">
        <f>'Expenditures 15-22'!D219</f>
        <v>125</v>
      </c>
      <c r="D3064" s="2" t="str">
        <f t="shared" si="46"/>
        <v>Error?</v>
      </c>
    </row>
    <row r="3065" spans="1:4" x14ac:dyDescent="0.2">
      <c r="A3065" s="5">
        <v>3004</v>
      </c>
      <c r="B3065" s="138">
        <f>'Expenditures 15-22'!K219</f>
        <v>125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30913</v>
      </c>
      <c r="C3225" s="2" t="s">
        <v>593</v>
      </c>
      <c r="D3225" s="2" t="str">
        <f t="shared" si="49"/>
        <v>Error?</v>
      </c>
    </row>
    <row r="3226" spans="1:4" x14ac:dyDescent="0.2">
      <c r="A3226" s="5">
        <v>3165</v>
      </c>
      <c r="B3226" s="138">
        <f>'Acct Summary 7-8'!I8</f>
        <v>30913</v>
      </c>
      <c r="C3226" s="2" t="s">
        <v>593</v>
      </c>
      <c r="D3226" s="2" t="str">
        <f t="shared" si="49"/>
        <v>Error?</v>
      </c>
    </row>
    <row r="3227" spans="1:4" x14ac:dyDescent="0.2">
      <c r="A3227" s="5">
        <v>3166</v>
      </c>
      <c r="B3227" s="138">
        <f>'Acct Summary 7-8'!I20</f>
        <v>30913</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374804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44680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38000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38000</v>
      </c>
      <c r="C3255" s="2" t="s">
        <v>593</v>
      </c>
      <c r="D3255" s="2" t="str">
        <f t="shared" si="49"/>
        <v>Error?</v>
      </c>
    </row>
    <row r="3256" spans="1:4" x14ac:dyDescent="0.2">
      <c r="A3256" s="5">
        <v>3195</v>
      </c>
      <c r="B3256" s="138">
        <f>'Acct Summary 7-8'!F78</f>
        <v>71543</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9034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42876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38103</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38000</v>
      </c>
      <c r="C3318" s="2" t="s">
        <v>593</v>
      </c>
      <c r="D3318" s="2" t="str">
        <f t="shared" si="50"/>
        <v>Error?</v>
      </c>
    </row>
    <row r="3319" spans="1:4" x14ac:dyDescent="0.2">
      <c r="A3319" s="5">
        <v>3258</v>
      </c>
      <c r="B3319" s="138">
        <f>'Acct Summary 7-8'!I77</f>
        <v>-38000</v>
      </c>
      <c r="C3319" s="2" t="s">
        <v>593</v>
      </c>
      <c r="D3319" s="2" t="str">
        <f t="shared" si="50"/>
        <v>Error?</v>
      </c>
    </row>
    <row r="3320" spans="1:4" x14ac:dyDescent="0.2">
      <c r="A3320" s="5">
        <v>3259</v>
      </c>
      <c r="B3320" s="138">
        <f>'Acct Summary 7-8'!I78</f>
        <v>-7087</v>
      </c>
      <c r="C3320" s="2" t="s">
        <v>593</v>
      </c>
      <c r="D3320" s="2" t="str">
        <f t="shared" si="50"/>
        <v>Error?</v>
      </c>
    </row>
    <row r="3321" spans="1:4" x14ac:dyDescent="0.2">
      <c r="A3321" s="5">
        <v>3260</v>
      </c>
      <c r="B3321" s="138">
        <f>'Acct Summary 7-8'!I79</f>
        <v>885521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878434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7500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1408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11845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20517</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20517</v>
      </c>
      <c r="C3390" s="2" t="s">
        <v>593</v>
      </c>
      <c r="D3390" s="2" t="str">
        <f t="shared" si="51"/>
        <v>Error?</v>
      </c>
    </row>
    <row r="3391" spans="1:4" x14ac:dyDescent="0.2">
      <c r="A3391" s="5">
        <v>3330</v>
      </c>
      <c r="B3391" s="138">
        <f>'Expenditures 15-22'!K217</f>
        <v>0</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100552</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562892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155077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64560</v>
      </c>
      <c r="D3417" s="2" t="str">
        <f t="shared" si="52"/>
        <v>Error?</v>
      </c>
    </row>
    <row r="3418" spans="1:4" x14ac:dyDescent="0.2">
      <c r="A3418" s="10">
        <v>3357</v>
      </c>
      <c r="D3418" s="2" t="str">
        <f t="shared" si="52"/>
        <v>OK</v>
      </c>
    </row>
    <row r="3419" spans="1:4" x14ac:dyDescent="0.2">
      <c r="A3419" s="5">
        <v>3358</v>
      </c>
      <c r="B3419" s="138">
        <f>'Assets-Liab 5-6'!F4</f>
        <v>72517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160478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96113</v>
      </c>
      <c r="D3425" s="2" t="str">
        <f t="shared" si="52"/>
        <v>Error?</v>
      </c>
    </row>
    <row r="3426" spans="1:4" x14ac:dyDescent="0.2">
      <c r="A3426" s="10">
        <v>3365</v>
      </c>
      <c r="D3426" s="2" t="str">
        <f t="shared" si="52"/>
        <v>OK</v>
      </c>
    </row>
    <row r="3427" spans="1:4" x14ac:dyDescent="0.2">
      <c r="A3427" s="5">
        <v>3366</v>
      </c>
      <c r="B3427" s="138">
        <f>'Assets-Liab 5-6'!I4</f>
        <v>878434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62936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34200</v>
      </c>
      <c r="C3446" s="2" t="s">
        <v>593</v>
      </c>
      <c r="D3446" s="2" t="str">
        <f t="shared" si="52"/>
        <v>Error?</v>
      </c>
    </row>
    <row r="3447" spans="1:4" x14ac:dyDescent="0.2">
      <c r="A3447" s="5">
        <v>3386</v>
      </c>
      <c r="B3447" s="138">
        <f>'Tax Sched 23'!D16</f>
        <v>32187</v>
      </c>
      <c r="C3447" s="2" t="s">
        <v>593</v>
      </c>
      <c r="D3447" s="2" t="str">
        <f t="shared" si="52"/>
        <v>Error?</v>
      </c>
    </row>
    <row r="3448" spans="1:4" x14ac:dyDescent="0.2">
      <c r="A3448" s="5">
        <v>3387</v>
      </c>
      <c r="B3448" s="138">
        <f>'Tax Sched 23'!C16</f>
        <v>2013</v>
      </c>
      <c r="D3448" s="2" t="str">
        <f t="shared" si="52"/>
        <v>Error?</v>
      </c>
    </row>
    <row r="3449" spans="1:4" x14ac:dyDescent="0.2">
      <c r="A3449" s="5">
        <v>3388</v>
      </c>
      <c r="B3449" s="138">
        <f>'Tax Sched 23'!F16</f>
        <v>23006</v>
      </c>
      <c r="C3449" s="2" t="s">
        <v>593</v>
      </c>
      <c r="D3449" s="2" t="str">
        <f t="shared" si="52"/>
        <v>Error?</v>
      </c>
    </row>
    <row r="3450" spans="1:4" x14ac:dyDescent="0.2">
      <c r="A3450" s="5">
        <v>3389</v>
      </c>
      <c r="B3450" s="138">
        <f>'Tax Sched 23'!E16</f>
        <v>25019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929348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929348</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929348</v>
      </c>
      <c r="D3567" s="2" t="str">
        <f t="shared" si="54"/>
        <v>Error?</v>
      </c>
    </row>
    <row r="3568" spans="1:4" x14ac:dyDescent="0.2">
      <c r="A3568" s="5">
        <v>3507</v>
      </c>
      <c r="B3568" s="138">
        <f>'Assets-Liab 5-6'!K41</f>
        <v>929348</v>
      </c>
      <c r="C3568" s="2" t="s">
        <v>593</v>
      </c>
      <c r="D3568" s="2" t="str">
        <f t="shared" si="54"/>
        <v>Error?</v>
      </c>
    </row>
    <row r="3569" spans="1:4" x14ac:dyDescent="0.2">
      <c r="A3569" s="5">
        <v>3508</v>
      </c>
      <c r="B3569" s="138">
        <f>'Acct Summary 7-8'!K4</f>
        <v>30914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30914</v>
      </c>
      <c r="C3571" s="2" t="s">
        <v>593</v>
      </c>
      <c r="D3571" s="2" t="str">
        <f t="shared" si="54"/>
        <v>Error?</v>
      </c>
    </row>
    <row r="3572" spans="1:4" x14ac:dyDescent="0.2">
      <c r="A3572" s="5">
        <v>3511</v>
      </c>
      <c r="B3572" s="138">
        <f>'Acct Summary 7-8'!K13</f>
        <v>1501815</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427125</v>
      </c>
      <c r="C3574" s="2" t="s">
        <v>593</v>
      </c>
      <c r="D3574" s="2" t="str">
        <f t="shared" si="54"/>
        <v>Error?</v>
      </c>
    </row>
    <row r="3575" spans="1:4" x14ac:dyDescent="0.2">
      <c r="A3575" s="5">
        <v>3514</v>
      </c>
      <c r="B3575" s="138">
        <f>'Acct Summary 7-8'!K17</f>
        <v>1928940</v>
      </c>
      <c r="C3575" s="2" t="s">
        <v>593</v>
      </c>
      <c r="D3575" s="2" t="str">
        <f t="shared" si="54"/>
        <v>Error?</v>
      </c>
    </row>
    <row r="3576" spans="1:4" x14ac:dyDescent="0.2">
      <c r="A3576" s="5">
        <v>3515</v>
      </c>
      <c r="B3576" s="138">
        <f>'Acct Summary 7-8'!K20</f>
        <v>-1898026</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3252734</v>
      </c>
      <c r="D3579" s="2" t="str">
        <f t="shared" si="54"/>
        <v>Error?</v>
      </c>
    </row>
    <row r="3580" spans="1:4" x14ac:dyDescent="0.2">
      <c r="A3580" s="5">
        <v>3519</v>
      </c>
      <c r="B3580" s="138">
        <f>'Acct Summary 7-8'!K34</f>
        <v>53885</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3306619</v>
      </c>
      <c r="C3584" s="2" t="s">
        <v>593</v>
      </c>
      <c r="D3584" s="2" t="str">
        <f t="shared" si="55"/>
        <v>Error?</v>
      </c>
    </row>
    <row r="3585" spans="1:4" x14ac:dyDescent="0.2">
      <c r="A3585" s="12">
        <v>3524</v>
      </c>
      <c r="B3585" s="138">
        <f>'Acct Summary 7-8'!K75</f>
        <v>535006</v>
      </c>
      <c r="D3585" s="2" t="str">
        <f t="shared" si="55"/>
        <v>Error?</v>
      </c>
    </row>
    <row r="3586" spans="1:4" x14ac:dyDescent="0.2">
      <c r="A3586" s="5">
        <v>3525</v>
      </c>
      <c r="B3586" s="138">
        <f>'Acct Summary 7-8'!K76</f>
        <v>535006</v>
      </c>
      <c r="C3586" s="2" t="s">
        <v>593</v>
      </c>
      <c r="D3586" s="2" t="str">
        <f t="shared" si="55"/>
        <v>Error?</v>
      </c>
    </row>
    <row r="3587" spans="1:4" x14ac:dyDescent="0.2">
      <c r="A3587" s="5">
        <v>3526</v>
      </c>
      <c r="B3587" s="138">
        <f>'Acct Summary 7-8'!K77</f>
        <v>2771613</v>
      </c>
      <c r="C3587" s="2" t="s">
        <v>593</v>
      </c>
      <c r="D3587" s="2" t="str">
        <f t="shared" si="55"/>
        <v>Error?</v>
      </c>
    </row>
    <row r="3588" spans="1:4" x14ac:dyDescent="0.2">
      <c r="A3588" s="5">
        <v>3527</v>
      </c>
      <c r="B3588" s="138">
        <f>'Acct Summary 7-8'!K78</f>
        <v>873587</v>
      </c>
      <c r="C3588" s="2" t="s">
        <v>593</v>
      </c>
      <c r="D3588" s="2" t="str">
        <f t="shared" si="55"/>
        <v>Error?</v>
      </c>
    </row>
    <row r="3589" spans="1:4" x14ac:dyDescent="0.2">
      <c r="A3589" s="5">
        <v>3528</v>
      </c>
      <c r="B3589" s="138">
        <f>'Acct Summary 7-8'!K79</f>
        <v>55761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929348</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1501815</v>
      </c>
      <c r="D3634" s="2" t="str">
        <f t="shared" si="55"/>
        <v>Error?</v>
      </c>
    </row>
    <row r="3635" spans="1:4" x14ac:dyDescent="0.2">
      <c r="A3635" s="5">
        <v>3574</v>
      </c>
      <c r="B3635" s="138">
        <f>'Expenditures 15-22'!E352</f>
        <v>1501815</v>
      </c>
      <c r="C3635" s="2" t="s">
        <v>593</v>
      </c>
      <c r="D3635" s="2" t="str">
        <f t="shared" si="55"/>
        <v>Error?</v>
      </c>
    </row>
    <row r="3636" spans="1:4" x14ac:dyDescent="0.2">
      <c r="A3636" s="5">
        <v>3575</v>
      </c>
      <c r="B3636" s="138">
        <f>'Expenditures 15-22'!E367</f>
        <v>1501815</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427125</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1501815</v>
      </c>
      <c r="C3671" s="2" t="s">
        <v>593</v>
      </c>
      <c r="D3671" s="2" t="str">
        <f t="shared" si="56"/>
        <v>Error?</v>
      </c>
    </row>
    <row r="3672" spans="1:4" x14ac:dyDescent="0.2">
      <c r="A3672" s="5">
        <v>3611</v>
      </c>
      <c r="B3672" s="138">
        <f>'Expenditures 15-22'!K352</f>
        <v>1501815</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1928940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-1898026</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19749</v>
      </c>
      <c r="C3725" s="2" t="s">
        <v>593</v>
      </c>
      <c r="D3725" s="2" t="str">
        <f t="shared" si="57"/>
        <v>Error?</v>
      </c>
    </row>
    <row r="3726" spans="1:4" x14ac:dyDescent="0.2">
      <c r="A3726" s="5">
        <v>3665</v>
      </c>
      <c r="B3726" s="138">
        <f>'Tax Sched 23'!D13</f>
        <v>17631</v>
      </c>
      <c r="C3726" s="2" t="s">
        <v>593</v>
      </c>
      <c r="D3726" s="2" t="str">
        <f t="shared" si="57"/>
        <v>Error?</v>
      </c>
    </row>
    <row r="3727" spans="1:4" x14ac:dyDescent="0.2">
      <c r="A3727" s="5">
        <v>3666</v>
      </c>
      <c r="B3727" s="138">
        <f>'Tax Sched 23'!C13</f>
        <v>2118</v>
      </c>
      <c r="D3727" s="2" t="str">
        <f t="shared" si="57"/>
        <v>Error?</v>
      </c>
    </row>
    <row r="3728" spans="1:4" x14ac:dyDescent="0.2">
      <c r="A3728" s="5">
        <v>3667</v>
      </c>
      <c r="B3728" s="138">
        <f>'Tax Sched 23'!F13</f>
        <v>24058</v>
      </c>
      <c r="C3728" s="2" t="s">
        <v>593</v>
      </c>
      <c r="D3728" s="2" t="str">
        <f t="shared" si="57"/>
        <v>Error?</v>
      </c>
    </row>
    <row r="3729" spans="1:4" x14ac:dyDescent="0.2">
      <c r="A3729" s="5">
        <v>3668</v>
      </c>
      <c r="B3729" s="138">
        <f>'Tax Sched 23'!E13</f>
        <v>26176</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1253053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4273577</v>
      </c>
      <c r="C4122" s="2" t="s">
        <v>593</v>
      </c>
      <c r="D4122" s="2" t="str">
        <f t="shared" si="63"/>
        <v>Error?</v>
      </c>
    </row>
    <row r="4123" spans="1:4" x14ac:dyDescent="0.2">
      <c r="A4123" s="5">
        <v>4062</v>
      </c>
      <c r="B4123" s="138">
        <f>'Acct Summary 7-8'!D10</f>
        <v>335252</v>
      </c>
      <c r="C4123" s="2" t="s">
        <v>593</v>
      </c>
      <c r="D4123" s="2" t="str">
        <f t="shared" si="63"/>
        <v>Error?</v>
      </c>
    </row>
    <row r="4124" spans="1:4" x14ac:dyDescent="0.2">
      <c r="A4124" s="5">
        <v>4063</v>
      </c>
      <c r="B4124" s="138">
        <f>'Acct Summary 7-8'!E10</f>
        <v>386488</v>
      </c>
      <c r="C4124" s="2" t="s">
        <v>593</v>
      </c>
      <c r="D4124" s="2" t="str">
        <f t="shared" si="63"/>
        <v>Error?</v>
      </c>
    </row>
    <row r="4125" spans="1:4" x14ac:dyDescent="0.2">
      <c r="A4125" s="5">
        <v>4064</v>
      </c>
      <c r="B4125" s="138">
        <f>'Acct Summary 7-8'!F10</f>
        <v>290614</v>
      </c>
      <c r="C4125" s="2" t="s">
        <v>593</v>
      </c>
      <c r="D4125" s="2" t="str">
        <f t="shared" si="63"/>
        <v>Error?</v>
      </c>
    </row>
    <row r="4126" spans="1:4" x14ac:dyDescent="0.2">
      <c r="A4126" s="5">
        <v>4065</v>
      </c>
      <c r="B4126" s="138">
        <f>'Acct Summary 7-8'!G10</f>
        <v>82334</v>
      </c>
      <c r="C4126" s="2" t="s">
        <v>593</v>
      </c>
      <c r="D4126" s="2" t="str">
        <f t="shared" si="63"/>
        <v>Error?</v>
      </c>
    </row>
    <row r="4127" spans="1:4" x14ac:dyDescent="0.2">
      <c r="A4127" s="5">
        <v>4066</v>
      </c>
      <c r="B4127" s="138">
        <f>'Acct Summary 7-8'!H10</f>
        <v>97538</v>
      </c>
      <c r="C4127" s="2" t="s">
        <v>593</v>
      </c>
      <c r="D4127" s="2" t="str">
        <f t="shared" si="63"/>
        <v>Error?</v>
      </c>
    </row>
    <row r="4128" spans="1:4" x14ac:dyDescent="0.2">
      <c r="A4128" s="5">
        <v>4067</v>
      </c>
      <c r="B4128" s="138">
        <f>'Acct Summary 7-8'!I10</f>
        <v>30913</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30914</v>
      </c>
      <c r="C4130" s="2" t="s">
        <v>593</v>
      </c>
      <c r="D4130" s="2" t="str">
        <f t="shared" si="63"/>
        <v>Error?</v>
      </c>
    </row>
    <row r="4131" spans="1:4" x14ac:dyDescent="0.2">
      <c r="A4131" s="5">
        <v>4070</v>
      </c>
      <c r="B4131" s="138">
        <f>'Acct Summary 7-8'!C18</f>
        <v>1253053</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3898773</v>
      </c>
      <c r="C4136" s="2" t="s">
        <v>593</v>
      </c>
      <c r="D4136" s="2" t="str">
        <f t="shared" si="63"/>
        <v>Error?</v>
      </c>
    </row>
    <row r="4137" spans="1:4" x14ac:dyDescent="0.2">
      <c r="A4137" s="5">
        <v>4076</v>
      </c>
      <c r="B4137" s="138">
        <f>'Acct Summary 7-8'!D19</f>
        <v>290572</v>
      </c>
      <c r="C4137" s="2" t="s">
        <v>593</v>
      </c>
      <c r="D4137" s="2" t="str">
        <f t="shared" si="63"/>
        <v>Error?</v>
      </c>
    </row>
    <row r="4138" spans="1:4" x14ac:dyDescent="0.2">
      <c r="A4138" s="5">
        <v>4077</v>
      </c>
      <c r="B4138" s="138">
        <f>'Acct Summary 7-8'!E19</f>
        <v>343612</v>
      </c>
      <c r="C4138" s="2" t="s">
        <v>593</v>
      </c>
      <c r="D4138" s="2" t="str">
        <f t="shared" si="63"/>
        <v>Error?</v>
      </c>
    </row>
    <row r="4139" spans="1:4" x14ac:dyDescent="0.2">
      <c r="A4139" s="5">
        <v>4078</v>
      </c>
      <c r="B4139" s="138">
        <f>'Acct Summary 7-8'!F19</f>
        <v>257071</v>
      </c>
      <c r="C4139" s="2" t="s">
        <v>593</v>
      </c>
      <c r="D4139" s="2" t="str">
        <f t="shared" si="63"/>
        <v>Error?</v>
      </c>
    </row>
    <row r="4140" spans="1:4" x14ac:dyDescent="0.2">
      <c r="A4140" s="5">
        <v>4079</v>
      </c>
      <c r="B4140" s="138">
        <f>'Acct Summary 7-8'!G19</f>
        <v>73300</v>
      </c>
      <c r="C4140" s="2" t="s">
        <v>593</v>
      </c>
      <c r="D4140" s="2" t="str">
        <f t="shared" si="63"/>
        <v>Error?</v>
      </c>
    </row>
    <row r="4141" spans="1:4" x14ac:dyDescent="0.2">
      <c r="A4141" s="5">
        <v>4080</v>
      </c>
      <c r="B4141" s="138">
        <f>'Acct Summary 7-8'!H19</f>
        <v>59435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1928940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4517734</v>
      </c>
      <c r="C4171" s="2" t="s">
        <v>593</v>
      </c>
      <c r="D4171" s="2" t="str">
        <f t="shared" si="64"/>
        <v>Error?</v>
      </c>
    </row>
    <row r="4172" spans="1:4" x14ac:dyDescent="0.2">
      <c r="A4172" s="5">
        <v>4111</v>
      </c>
      <c r="B4172" s="138">
        <f>'Short-Term Long-Term Debt 24'!J49</f>
        <v>4453174</v>
      </c>
      <c r="C4172" s="2" t="s">
        <v>593</v>
      </c>
      <c r="D4172" s="2" t="str">
        <f t="shared" si="64"/>
        <v>Error?</v>
      </c>
    </row>
    <row r="4173" spans="1:4" x14ac:dyDescent="0.2">
      <c r="A4173" s="5">
        <v>4112</v>
      </c>
      <c r="B4173" s="138">
        <f>'Short-Term Long-Term Debt 24'!H49</f>
        <v>670000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-340000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9989</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3080</v>
      </c>
      <c r="C4265" s="2" t="s">
        <v>593</v>
      </c>
      <c r="D4265" s="2" t="str">
        <f t="shared" si="65"/>
        <v>Error?</v>
      </c>
      <c r="E4265" s="128"/>
    </row>
    <row r="4266" spans="1:5" x14ac:dyDescent="0.2">
      <c r="A4266" s="12">
        <v>4205</v>
      </c>
      <c r="B4266" s="138">
        <f>('FP Info 3'!F10)*100000</f>
        <v>525</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3805</v>
      </c>
      <c r="C4268" s="2" t="s">
        <v>593</v>
      </c>
      <c r="D4268" s="2" t="str">
        <f t="shared" si="65"/>
        <v>Error?</v>
      </c>
    </row>
    <row r="4269" spans="1:5" x14ac:dyDescent="0.2">
      <c r="A4269" s="12">
        <v>4208</v>
      </c>
      <c r="B4269" s="138">
        <f>'FP Info 3'!J16</f>
        <v>1668920</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19494</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19494</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7508</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15376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64315293</v>
      </c>
      <c r="D4995" s="2" t="str">
        <f t="shared" si="77"/>
        <v>Error?</v>
      </c>
    </row>
    <row r="4996" spans="1:4" x14ac:dyDescent="0.2">
      <c r="A4996" s="12">
        <v>4935</v>
      </c>
      <c r="B4996" s="138">
        <f>'FP Info 3'!H31</f>
        <v>8875510.4340000004</v>
      </c>
      <c r="D4996" s="2" t="str">
        <f t="shared" si="77"/>
        <v>Error?</v>
      </c>
    </row>
    <row r="4997" spans="1:4" x14ac:dyDescent="0.2">
      <c r="A4997" s="12">
        <v>4936</v>
      </c>
      <c r="B4997" s="138">
        <f>'FP Info 3'!H37</f>
        <v>4517734</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19749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1903899</v>
      </c>
      <c r="D5061" s="2" t="str">
        <f t="shared" si="78"/>
        <v>Error?</v>
      </c>
    </row>
    <row r="5062" spans="1:4" x14ac:dyDescent="0.2">
      <c r="A5062" s="10">
        <v>5001</v>
      </c>
      <c r="D5062" s="2" t="str">
        <f t="shared" si="78"/>
        <v>OK</v>
      </c>
    </row>
    <row r="5063" spans="1:4" x14ac:dyDescent="0.2">
      <c r="A5063" s="5">
        <v>5002</v>
      </c>
      <c r="B5063" s="138">
        <f>'Revenues 9-14'!C7</f>
        <v>24719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1948367</v>
      </c>
      <c r="C5066" s="2" t="s">
        <v>593</v>
      </c>
      <c r="D5066" s="2" t="str">
        <f t="shared" si="78"/>
        <v>Error?</v>
      </c>
    </row>
    <row r="5067" spans="1:4" x14ac:dyDescent="0.2">
      <c r="A5067" s="5">
        <v>5006</v>
      </c>
      <c r="B5067" s="138">
        <f>'Revenues 9-14'!C14</f>
        <v>421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68377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68798</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4150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4150</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487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1507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27282</v>
      </c>
      <c r="C5096" s="2" t="s">
        <v>593</v>
      </c>
      <c r="D5096" s="2" t="str">
        <f t="shared" si="78"/>
        <v>Error?</v>
      </c>
    </row>
    <row r="5097" spans="1:4" x14ac:dyDescent="0.2">
      <c r="A5097" s="5">
        <v>5036</v>
      </c>
      <c r="B5097" s="138">
        <f>'Revenues 9-14'!C77</f>
        <v>14827</v>
      </c>
      <c r="D5097" s="2" t="str">
        <f t="shared" si="78"/>
        <v>Error?</v>
      </c>
    </row>
    <row r="5098" spans="1:4" x14ac:dyDescent="0.2">
      <c r="A5098" s="5">
        <v>5037</v>
      </c>
      <c r="B5098" s="138">
        <f>'Revenues 9-14'!C78</f>
        <v>2877</v>
      </c>
      <c r="D5098" s="2" t="str">
        <f t="shared" si="78"/>
        <v>Error?</v>
      </c>
    </row>
    <row r="5099" spans="1:4" x14ac:dyDescent="0.2">
      <c r="A5099" s="5">
        <v>5038</v>
      </c>
      <c r="B5099" s="138">
        <f>'Revenues 9-14'!C79</f>
        <v>11797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29501</v>
      </c>
      <c r="C5102" s="2" t="s">
        <v>593</v>
      </c>
      <c r="D5102" s="2" t="str">
        <f t="shared" si="78"/>
        <v>Error?</v>
      </c>
    </row>
    <row r="5103" spans="1:4" x14ac:dyDescent="0.2">
      <c r="A5103" s="5">
        <v>5042</v>
      </c>
      <c r="B5103" s="138">
        <f>'Revenues 9-14'!C84</f>
        <v>8227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8227</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68528</v>
      </c>
      <c r="D5115" s="2" t="str">
        <f t="shared" si="78"/>
        <v>Error?</v>
      </c>
    </row>
    <row r="5116" spans="1:4" x14ac:dyDescent="0.2">
      <c r="A5116" s="5">
        <v>5055</v>
      </c>
      <c r="B5116" s="138">
        <f>'Revenues 9-14'!C99</f>
        <v>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29899</v>
      </c>
      <c r="D5119" s="2" t="str">
        <f t="shared" ref="D5119:D5182" si="79">IF(ISBLANK(B5119),"OK",IF(A5119-B5119=0,"OK","Error?"))</f>
        <v>Error?</v>
      </c>
    </row>
    <row r="5120" spans="1:4" x14ac:dyDescent="0.2">
      <c r="A5120" s="5">
        <v>5059</v>
      </c>
      <c r="B5120" s="138">
        <f>'Revenues 9-14'!C108</f>
        <v>100882</v>
      </c>
      <c r="C5120" s="2" t="s">
        <v>593</v>
      </c>
      <c r="D5120" s="2" t="str">
        <f t="shared" si="79"/>
        <v>Error?</v>
      </c>
    </row>
    <row r="5121" spans="1:4" x14ac:dyDescent="0.2">
      <c r="A5121" s="5">
        <v>5060</v>
      </c>
      <c r="B5121" s="138">
        <f>'Revenues 9-14'!C109</f>
        <v>2187207</v>
      </c>
      <c r="C5121" s="2" t="s">
        <v>593</v>
      </c>
      <c r="D5121" s="2" t="str">
        <f t="shared" si="79"/>
        <v>Error?</v>
      </c>
    </row>
    <row r="5122" spans="1:4" x14ac:dyDescent="0.2">
      <c r="A5122" s="5">
        <v>5061</v>
      </c>
      <c r="B5122" s="138">
        <f>'Revenues 9-14'!C111</f>
        <v>100552</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100552</v>
      </c>
      <c r="C5125" s="2" t="s">
        <v>593</v>
      </c>
      <c r="D5125" s="2" t="str">
        <f t="shared" si="79"/>
        <v>Error?</v>
      </c>
    </row>
    <row r="5126" spans="1:4" x14ac:dyDescent="0.2">
      <c r="A5126" s="5">
        <v>5065</v>
      </c>
      <c r="B5126" s="138">
        <f>'Revenues 9-14'!C117</f>
        <v>404503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404503</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20653</v>
      </c>
      <c r="D5134" s="2" t="str">
        <f t="shared" si="79"/>
        <v>Error?</v>
      </c>
    </row>
    <row r="5135" spans="1:4" x14ac:dyDescent="0.2">
      <c r="A5135" s="5">
        <v>5074</v>
      </c>
      <c r="B5135" s="138">
        <f>'Revenues 9-14'!C126</f>
        <v>3705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24358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9989</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862</v>
      </c>
      <c r="D5167" s="2" t="str">
        <f t="shared" si="79"/>
        <v>Error?</v>
      </c>
    </row>
    <row r="5168" spans="1:4" x14ac:dyDescent="0.2">
      <c r="A5168" s="5">
        <v>5107</v>
      </c>
      <c r="B5168" s="138">
        <f>'Revenues 9-14'!C147</f>
        <v>5687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106776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149172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553675</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46948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16197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63145</v>
      </c>
      <c r="C5246" s="2" t="s">
        <v>593</v>
      </c>
      <c r="D5246" s="2" t="str">
        <f t="shared" si="80"/>
        <v>Error?</v>
      </c>
    </row>
    <row r="5247" spans="1:4" x14ac:dyDescent="0.2">
      <c r="A5247" s="5">
        <v>5186</v>
      </c>
      <c r="B5247" s="138">
        <f>'Revenues 9-14'!C203</f>
        <v>67385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7508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67385</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179090</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179090</v>
      </c>
      <c r="C5326" s="2" t="s">
        <v>593</v>
      </c>
      <c r="D5326" s="2" t="str">
        <f t="shared" si="82"/>
        <v>Error?</v>
      </c>
    </row>
    <row r="5327" spans="1:4" x14ac:dyDescent="0.2">
      <c r="A5327" s="5">
        <v>5266</v>
      </c>
      <c r="B5327" s="138">
        <f>'Revenues 9-14'!C275</f>
        <v>3020524</v>
      </c>
      <c r="C5327" s="2" t="s">
        <v>593</v>
      </c>
      <c r="D5327" s="2" t="str">
        <f t="shared" si="82"/>
        <v>Error?</v>
      </c>
    </row>
    <row r="5328" spans="1:4" x14ac:dyDescent="0.2">
      <c r="A5328" s="5">
        <v>5267</v>
      </c>
      <c r="B5328" s="138">
        <f>'Revenues 9-14'!D5</f>
        <v>324522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324522</v>
      </c>
      <c r="C5334" s="2" t="s">
        <v>593</v>
      </c>
      <c r="D5334" s="2" t="str">
        <f t="shared" si="82"/>
        <v>Error?</v>
      </c>
    </row>
    <row r="5335" spans="1:4" x14ac:dyDescent="0.2">
      <c r="A5335" s="5">
        <v>5274</v>
      </c>
      <c r="B5335" s="138">
        <f>'Revenues 9-14'!D14</f>
        <v>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v>
      </c>
      <c r="C5339" s="2" t="s">
        <v>593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10725</v>
      </c>
      <c r="D5354" s="2" t="str">
        <f t="shared" si="82"/>
        <v>Error?</v>
      </c>
    </row>
    <row r="5355" spans="1:4" x14ac:dyDescent="0.2">
      <c r="A5355" s="5">
        <v>5294</v>
      </c>
      <c r="B5355" s="138">
        <f>'Revenues 9-14'!D108</f>
        <v>10725</v>
      </c>
      <c r="C5355" s="2" t="s">
        <v>593</v>
      </c>
      <c r="D5355" s="2" t="str">
        <f t="shared" si="82"/>
        <v>Error?</v>
      </c>
    </row>
    <row r="5356" spans="1:4" x14ac:dyDescent="0.2">
      <c r="A5356" s="5">
        <v>5295</v>
      </c>
      <c r="B5356" s="138">
        <f>'Revenues 9-14'!D109</f>
        <v>335252</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335252</v>
      </c>
      <c r="C5508" s="2" t="s">
        <v>593</v>
      </c>
      <c r="D5508" s="2" t="str">
        <f t="shared" si="85"/>
        <v>Error?</v>
      </c>
    </row>
    <row r="5509" spans="1:4" x14ac:dyDescent="0.2">
      <c r="A5509" s="5">
        <v>5448</v>
      </c>
      <c r="B5509" s="138">
        <f>'Revenues 9-14'!E5</f>
        <v>383664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383664</v>
      </c>
      <c r="C5513" s="2" t="s">
        <v>593</v>
      </c>
      <c r="D5513" s="2" t="str">
        <f t="shared" si="85"/>
        <v>Error?</v>
      </c>
    </row>
    <row r="5514" spans="1:4" x14ac:dyDescent="0.2">
      <c r="A5514" s="5">
        <v>5453</v>
      </c>
      <c r="B5514" s="138">
        <f>'Revenues 9-14'!E14</f>
        <v>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v>
      </c>
      <c r="C5518" s="2" t="s">
        <v>593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2818</v>
      </c>
      <c r="D5525" s="2" t="str">
        <f t="shared" si="85"/>
        <v>Error?</v>
      </c>
    </row>
    <row r="5526" spans="1:4" x14ac:dyDescent="0.2">
      <c r="A5526" s="5">
        <v>5465</v>
      </c>
      <c r="B5526" s="138">
        <f>'Revenues 9-14'!E108</f>
        <v>2818</v>
      </c>
      <c r="C5526" s="2" t="s">
        <v>593</v>
      </c>
      <c r="D5526" s="2" t="str">
        <f t="shared" si="85"/>
        <v>Error?</v>
      </c>
    </row>
    <row r="5527" spans="1:4" x14ac:dyDescent="0.2">
      <c r="A5527" s="5">
        <v>5466</v>
      </c>
      <c r="B5527" s="138">
        <f>'Revenues 9-14'!E109</f>
        <v>386488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386488</v>
      </c>
      <c r="C5552" s="2" t="s">
        <v>593</v>
      </c>
      <c r="D5552" s="2" t="str">
        <f t="shared" si="85"/>
        <v>Error?</v>
      </c>
    </row>
    <row r="5553" spans="1:4" x14ac:dyDescent="0.2">
      <c r="A5553" s="5">
        <v>5492</v>
      </c>
      <c r="B5553" s="138">
        <f>'Revenues 9-14'!F5</f>
        <v>123635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123635</v>
      </c>
      <c r="C5557" s="2" t="s">
        <v>593</v>
      </c>
      <c r="D5557" s="2" t="str">
        <f t="shared" si="85"/>
        <v>Error?</v>
      </c>
    </row>
    <row r="5558" spans="1:4" x14ac:dyDescent="0.2">
      <c r="A5558" s="5">
        <v>5497</v>
      </c>
      <c r="B5558" s="138">
        <f>'Revenues 9-14'!F14</f>
        <v>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653</v>
      </c>
      <c r="D5586" s="2" t="str">
        <f t="shared" si="86"/>
        <v>Error?</v>
      </c>
    </row>
    <row r="5587" spans="1:4" x14ac:dyDescent="0.2">
      <c r="A5587" s="5">
        <v>5526</v>
      </c>
      <c r="B5587" s="138">
        <f>'Revenues 9-14'!F108</f>
        <v>653</v>
      </c>
      <c r="C5587" s="2" t="s">
        <v>593</v>
      </c>
      <c r="D5587" s="2" t="str">
        <f t="shared" si="86"/>
        <v>Error?</v>
      </c>
    </row>
    <row r="5588" spans="1:4" x14ac:dyDescent="0.2">
      <c r="A5588" s="5">
        <v>5527</v>
      </c>
      <c r="B5588" s="138">
        <f>'Revenues 9-14'!F109</f>
        <v>124290</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38809</v>
      </c>
      <c r="D5615" s="2" t="str">
        <f t="shared" si="86"/>
        <v>Error?</v>
      </c>
    </row>
    <row r="5616" spans="1:4" x14ac:dyDescent="0.2">
      <c r="A5616" s="10">
        <v>5555</v>
      </c>
      <c r="D5616" s="2" t="str">
        <f t="shared" si="86"/>
        <v>OK</v>
      </c>
    </row>
    <row r="5617" spans="1:4" x14ac:dyDescent="0.2">
      <c r="A5617" s="5">
        <v>5556</v>
      </c>
      <c r="B5617" s="138">
        <f>'Revenues 9-14'!F152</f>
        <v>127515</v>
      </c>
      <c r="D5617" s="2" t="str">
        <f t="shared" si="86"/>
        <v>Error?</v>
      </c>
    </row>
    <row r="5618" spans="1:4" x14ac:dyDescent="0.2">
      <c r="A5618" s="5">
        <v>5557</v>
      </c>
      <c r="B5618" s="138">
        <f>'Revenues 9-14'!F154</f>
        <v>166324</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166324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166324</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290614</v>
      </c>
      <c r="C5720" s="2" t="s">
        <v>593</v>
      </c>
      <c r="D5720" s="2" t="str">
        <f t="shared" si="88"/>
        <v>Error?</v>
      </c>
    </row>
    <row r="5721" spans="1:4" x14ac:dyDescent="0.2">
      <c r="A5721" s="5">
        <v>5660</v>
      </c>
      <c r="B5721" s="138">
        <f>'Revenues 9-14'!G5</f>
        <v>46619</v>
      </c>
      <c r="D5721" s="2" t="str">
        <f t="shared" si="88"/>
        <v>Error?</v>
      </c>
    </row>
    <row r="5722" spans="1:4" x14ac:dyDescent="0.2">
      <c r="A5722" s="5">
        <v>5661</v>
      </c>
      <c r="B5722" s="138">
        <f>'Revenues 9-14'!G7</f>
        <v>0</v>
      </c>
      <c r="D5722" s="2" t="str">
        <f t="shared" si="88"/>
        <v>Error?</v>
      </c>
    </row>
    <row r="5723" spans="1:4" x14ac:dyDescent="0.2">
      <c r="A5723" s="5">
        <v>5662</v>
      </c>
      <c r="B5723" s="138">
        <f>'Revenues 9-14'!G8</f>
        <v>34200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80819</v>
      </c>
      <c r="C5725" s="2" t="s">
        <v>593</v>
      </c>
      <c r="D5725" s="2" t="str">
        <f t="shared" si="88"/>
        <v>Error?</v>
      </c>
    </row>
    <row r="5726" spans="1:4" x14ac:dyDescent="0.2">
      <c r="A5726" s="5">
        <v>5665</v>
      </c>
      <c r="B5726" s="138">
        <f>'Revenues 9-14'!G14</f>
        <v>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1513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1515</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82334</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97538</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97538</v>
      </c>
      <c r="C5915" s="2" t="s">
        <v>593</v>
      </c>
      <c r="D5915" s="2" t="str">
        <f t="shared" si="91"/>
        <v>Error?</v>
      </c>
    </row>
    <row r="5916" spans="1:4" x14ac:dyDescent="0.2">
      <c r="A5916" s="5">
        <v>5855</v>
      </c>
      <c r="B5916" s="138">
        <f>'Revenues 9-14'!I5</f>
        <v>30913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30913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30913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30913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30913</v>
      </c>
      <c r="C5987" s="2" t="s">
        <v>593</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30914</v>
      </c>
      <c r="C6023" s="2" t="s">
        <v>593</v>
      </c>
      <c r="D6023" s="2" t="str">
        <f t="shared" si="93"/>
        <v>Error?</v>
      </c>
    </row>
    <row r="6024" spans="1:5" x14ac:dyDescent="0.2">
      <c r="A6024" s="5">
        <v>5963</v>
      </c>
      <c r="B6024" s="138">
        <f>'Revenues 9-14'!G109</f>
        <v>82334</v>
      </c>
      <c r="C6024" s="2" t="s">
        <v>593</v>
      </c>
      <c r="D6024" s="2" t="str">
        <f t="shared" si="93"/>
        <v>Error?</v>
      </c>
    </row>
    <row r="6025" spans="1:5" x14ac:dyDescent="0.2">
      <c r="A6025" s="5">
        <v>5964</v>
      </c>
      <c r="B6025" s="138">
        <f>'Revenues 9-14'!H109</f>
        <v>97538</v>
      </c>
      <c r="C6025" s="2" t="s">
        <v>593</v>
      </c>
      <c r="D6025" s="2" t="str">
        <f t="shared" si="93"/>
        <v>Error?</v>
      </c>
    </row>
    <row r="6026" spans="1:5" x14ac:dyDescent="0.2">
      <c r="A6026" s="5">
        <v>5965</v>
      </c>
      <c r="B6026" s="138">
        <f>'Revenues 9-14'!I109</f>
        <v>30913</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30914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25288</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288.2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95205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95205</v>
      </c>
      <c r="D6215" s="2" t="str">
        <f t="shared" si="96"/>
        <v>Error?</v>
      </c>
      <c r="E6215" s="2" t="s">
        <v>199</v>
      </c>
    </row>
    <row r="6216" spans="1:5" x14ac:dyDescent="0.2">
      <c r="A6216">
        <v>6155</v>
      </c>
      <c r="B6216" s="138">
        <f>'Assets-Liab 5-6'!J41</f>
        <v>95205</v>
      </c>
      <c r="D6216" s="2" t="str">
        <f t="shared" si="96"/>
        <v>Error?</v>
      </c>
      <c r="E6216" s="2" t="s">
        <v>199</v>
      </c>
    </row>
    <row r="6217" spans="1:5" x14ac:dyDescent="0.2">
      <c r="A6217">
        <v>6156</v>
      </c>
      <c r="B6217" s="138">
        <f>'Assets-Liab 5-6'!J4</f>
        <v>95205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236342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236342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236342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209447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209447</v>
      </c>
      <c r="D6229" s="2" t="str">
        <f t="shared" si="96"/>
        <v>Error?</v>
      </c>
      <c r="E6229" s="2" t="s">
        <v>199</v>
      </c>
    </row>
    <row r="6230" spans="1:5" x14ac:dyDescent="0.2">
      <c r="A6230">
        <v>6169</v>
      </c>
      <c r="B6230" s="138">
        <f>'Acct Summary 7-8'!J20</f>
        <v>26895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26895</v>
      </c>
      <c r="D6263" s="2" t="str">
        <f t="shared" si="96"/>
        <v>Error?</v>
      </c>
      <c r="E6263" s="2" t="s">
        <v>199</v>
      </c>
    </row>
    <row r="6264" spans="1:5" x14ac:dyDescent="0.2">
      <c r="A6264">
        <v>6203</v>
      </c>
      <c r="B6264" s="138">
        <f>'Acct Summary 7-8'!J79</f>
        <v>68310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95205</v>
      </c>
      <c r="D6266" s="2" t="str">
        <f t="shared" si="96"/>
        <v>Error?</v>
      </c>
      <c r="E6266" s="2" t="s">
        <v>199</v>
      </c>
    </row>
    <row r="6267" spans="1:5" x14ac:dyDescent="0.2">
      <c r="A6267">
        <v>6206</v>
      </c>
      <c r="B6267" s="138">
        <f>'Acct Summary 7-8'!C82</f>
        <v>374804</v>
      </c>
      <c r="D6267" s="2" t="str">
        <f t="shared" si="96"/>
        <v>Error?</v>
      </c>
      <c r="E6267" s="2" t="s">
        <v>199</v>
      </c>
    </row>
    <row r="6268" spans="1:5" x14ac:dyDescent="0.2">
      <c r="A6268">
        <v>6207</v>
      </c>
      <c r="B6268" s="138">
        <f>'Acct Summary 7-8'!D82</f>
        <v>44680</v>
      </c>
      <c r="D6268" s="2" t="str">
        <f t="shared" si="96"/>
        <v>Error?</v>
      </c>
      <c r="E6268" s="2" t="s">
        <v>199</v>
      </c>
    </row>
    <row r="6269" spans="1:5" x14ac:dyDescent="0.2">
      <c r="A6269">
        <v>6208</v>
      </c>
      <c r="B6269" s="138">
        <f>'Acct Summary 7-8'!E82</f>
        <v>42876</v>
      </c>
      <c r="D6269" s="2" t="str">
        <f t="shared" si="96"/>
        <v>Error?</v>
      </c>
      <c r="E6269" s="2" t="s">
        <v>199</v>
      </c>
    </row>
    <row r="6270" spans="1:5" x14ac:dyDescent="0.2">
      <c r="A6270">
        <v>6209</v>
      </c>
      <c r="B6270" s="138">
        <f>'Acct Summary 7-8'!F82</f>
        <v>71543</v>
      </c>
      <c r="D6270" s="2" t="str">
        <f t="shared" si="96"/>
        <v>Error?</v>
      </c>
      <c r="E6270" s="2" t="s">
        <v>199</v>
      </c>
    </row>
    <row r="6271" spans="1:5" x14ac:dyDescent="0.2">
      <c r="A6271">
        <v>6210</v>
      </c>
      <c r="B6271" s="138">
        <f>'Acct Summary 7-8'!G82</f>
        <v>9034</v>
      </c>
      <c r="D6271" s="2" t="str">
        <f t="shared" ref="D6271:D6334" si="97">IF(ISBLANK(B6271),"OK",IF(A6271-B6271=0,"OK","Error?"))</f>
        <v>Error?</v>
      </c>
      <c r="E6271" s="2" t="s">
        <v>199</v>
      </c>
    </row>
    <row r="6272" spans="1:5" x14ac:dyDescent="0.2">
      <c r="A6272">
        <v>6211</v>
      </c>
      <c r="B6272" s="138">
        <f>'Acct Summary 7-8'!H82</f>
        <v>38103</v>
      </c>
      <c r="D6272" s="2" t="str">
        <f t="shared" si="97"/>
        <v>Error?</v>
      </c>
      <c r="E6272" s="2" t="s">
        <v>199</v>
      </c>
    </row>
    <row r="6273" spans="1:5" x14ac:dyDescent="0.2">
      <c r="A6273">
        <v>6212</v>
      </c>
      <c r="B6273" s="138">
        <f>'Acct Summary 7-8'!I82</f>
        <v>-7087</v>
      </c>
      <c r="D6273" s="2" t="str">
        <f t="shared" si="97"/>
        <v>Error?</v>
      </c>
      <c r="E6273" s="2" t="s">
        <v>199</v>
      </c>
    </row>
    <row r="6274" spans="1:5" x14ac:dyDescent="0.2">
      <c r="A6274">
        <v>6213</v>
      </c>
      <c r="B6274" s="138">
        <f>'Acct Summary 7-8'!J82</f>
        <v>26895</v>
      </c>
      <c r="D6274" s="2" t="str">
        <f t="shared" si="97"/>
        <v>Error?</v>
      </c>
      <c r="E6274" s="2" t="s">
        <v>199</v>
      </c>
    </row>
    <row r="6275" spans="1:5" x14ac:dyDescent="0.2">
      <c r="A6275">
        <v>6214</v>
      </c>
      <c r="B6275" s="138">
        <f>'Acct Summary 7-8'!K82</f>
        <v>873587</v>
      </c>
      <c r="D6275" s="2" t="str">
        <f t="shared" si="97"/>
        <v>Error?</v>
      </c>
      <c r="E6275" s="2" t="s">
        <v>199</v>
      </c>
    </row>
    <row r="6276" spans="1:5" x14ac:dyDescent="0.2">
      <c r="A6276">
        <v>6215</v>
      </c>
      <c r="B6276" s="138">
        <f>'Acct Summary 7-8'!C83</f>
        <v>0.66585419583152716</v>
      </c>
      <c r="D6276" s="2" t="str">
        <f t="shared" si="97"/>
        <v>Error?</v>
      </c>
      <c r="E6276" s="2" t="s">
        <v>199</v>
      </c>
    </row>
    <row r="6277" spans="1:5" x14ac:dyDescent="0.2">
      <c r="A6277">
        <v>6216</v>
      </c>
      <c r="B6277" s="138">
        <f>'Acct Summary 7-8'!D83</f>
        <v>0.2881149364509244</v>
      </c>
      <c r="D6277" s="2" t="str">
        <f t="shared" si="97"/>
        <v>Error?</v>
      </c>
      <c r="E6277" s="2" t="s">
        <v>199</v>
      </c>
    </row>
    <row r="6278" spans="1:5" x14ac:dyDescent="0.2">
      <c r="A6278">
        <v>6217</v>
      </c>
      <c r="B6278" s="138">
        <f>'Acct Summary 7-8'!E83</f>
        <v>0.66412639405204466</v>
      </c>
      <c r="D6278" s="2" t="str">
        <f t="shared" si="97"/>
        <v>Error?</v>
      </c>
      <c r="E6278" s="2" t="s">
        <v>199</v>
      </c>
    </row>
    <row r="6279" spans="1:5" x14ac:dyDescent="0.2">
      <c r="A6279">
        <v>6218</v>
      </c>
      <c r="B6279" s="138">
        <f>'Acct Summary 7-8'!F83</f>
        <v>0.98656866665747345</v>
      </c>
      <c r="D6279" s="2" t="str">
        <f t="shared" si="97"/>
        <v>Error?</v>
      </c>
      <c r="E6279" s="2" t="s">
        <v>199</v>
      </c>
    </row>
    <row r="6280" spans="1:5" x14ac:dyDescent="0.2">
      <c r="A6280">
        <v>6219</v>
      </c>
      <c r="B6280" s="138">
        <f>'Acct Summary 7-8'!G83</f>
        <v>5.6294320716858387E-2</v>
      </c>
      <c r="D6280" s="2" t="str">
        <f t="shared" si="97"/>
        <v>Error?</v>
      </c>
      <c r="E6280" s="2" t="s">
        <v>199</v>
      </c>
    </row>
    <row r="6281" spans="1:5" x14ac:dyDescent="0.2">
      <c r="A6281">
        <v>6220</v>
      </c>
      <c r="B6281" s="138">
        <f>'Acct Summary 7-8'!H83</f>
        <v>0.39643960754528523</v>
      </c>
      <c r="D6281" s="2" t="str">
        <f t="shared" si="97"/>
        <v>Error?</v>
      </c>
      <c r="E6281" s="2" t="s">
        <v>199</v>
      </c>
    </row>
    <row r="6282" spans="1:5" x14ac:dyDescent="0.2">
      <c r="A6282">
        <v>6221</v>
      </c>
      <c r="B6282" s="138">
        <f>'Acct Summary 7-8'!I83</f>
        <v>-8.0677660473069124E-3</v>
      </c>
      <c r="D6282" s="2" t="str">
        <f t="shared" si="97"/>
        <v>Error?</v>
      </c>
      <c r="E6282" s="2" t="s">
        <v>199</v>
      </c>
    </row>
    <row r="6283" spans="1:5" x14ac:dyDescent="0.2">
      <c r="A6283">
        <v>6222</v>
      </c>
      <c r="B6283" s="138">
        <f>'Acct Summary 7-8'!J83</f>
        <v>0.28249566724436742</v>
      </c>
      <c r="D6283" s="2" t="str">
        <f t="shared" si="97"/>
        <v>Error?</v>
      </c>
      <c r="E6283" s="2" t="s">
        <v>199</v>
      </c>
    </row>
    <row r="6284" spans="1:5" x14ac:dyDescent="0.2">
      <c r="A6284">
        <v>6223</v>
      </c>
      <c r="B6284" s="138">
        <f>'Acct Summary 7-8'!K83</f>
        <v>0.93999987087721715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235844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235844</v>
      </c>
      <c r="D6301" s="2" t="str">
        <f t="shared" si="97"/>
        <v>Error?</v>
      </c>
      <c r="E6301" s="2" t="s">
        <v>199</v>
      </c>
    </row>
    <row r="6302" spans="1:5" x14ac:dyDescent="0.2">
      <c r="A6302">
        <v>6241</v>
      </c>
      <c r="B6302" s="138">
        <f>'Revenues 9-14'!J14</f>
        <v>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2430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495</v>
      </c>
      <c r="D6350" s="2" t="str">
        <f t="shared" si="98"/>
        <v>Error?</v>
      </c>
      <c r="E6350" s="2" t="s">
        <v>199</v>
      </c>
    </row>
    <row r="6351" spans="1:5" x14ac:dyDescent="0.2">
      <c r="A6351">
        <v>6290</v>
      </c>
      <c r="B6351" s="138">
        <f>'Revenues 9-14'!J108</f>
        <v>495</v>
      </c>
      <c r="D6351" s="2" t="str">
        <f t="shared" si="98"/>
        <v>Error?</v>
      </c>
      <c r="E6351" s="2" t="s">
        <v>199</v>
      </c>
    </row>
    <row r="6352" spans="1:5" x14ac:dyDescent="0.2">
      <c r="A6352">
        <v>6291</v>
      </c>
      <c r="B6352" s="138">
        <f>'Revenues 9-14'!J109</f>
        <v>236342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48808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92189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209447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236342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2797</v>
      </c>
      <c r="D7073" s="2" t="str">
        <f t="shared" si="109"/>
        <v>Error?</v>
      </c>
    </row>
    <row r="7074" spans="1:4" x14ac:dyDescent="0.2">
      <c r="A7074">
        <v>7013</v>
      </c>
      <c r="B7074" s="138">
        <f>'Expenditures 15-22'!K216</f>
        <v>2797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22432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22432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140967</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140967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2511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2511</v>
      </c>
      <c r="D7198" s="2" t="str">
        <f t="shared" si="111"/>
        <v>Error?</v>
      </c>
    </row>
    <row r="7199" spans="1:4" x14ac:dyDescent="0.2">
      <c r="A7199">
        <v>7138</v>
      </c>
      <c r="B7199" s="138">
        <f>'Expenditures 15-22'!C330</f>
        <v>140967</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68480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209447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140967</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68480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209447</v>
      </c>
      <c r="D7224" s="2" t="str">
        <f t="shared" si="111"/>
        <v>Error?</v>
      </c>
    </row>
    <row r="7225" spans="1:4" x14ac:dyDescent="0.2">
      <c r="A7225">
        <v>7164</v>
      </c>
      <c r="B7225" s="138">
        <f>'Expenditures 15-22'!K343</f>
        <v>26895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2125</v>
      </c>
      <c r="D7240" s="2" t="str">
        <f t="shared" si="112"/>
        <v>Error?</v>
      </c>
    </row>
    <row r="7241" spans="1:4" x14ac:dyDescent="0.2">
      <c r="A7241">
        <v>7180</v>
      </c>
      <c r="B7241" s="138">
        <f>'Expenditures 15-22'!K363</f>
        <v>2125</v>
      </c>
      <c r="D7241" s="2" t="str">
        <f t="shared" si="112"/>
        <v>Error?</v>
      </c>
    </row>
    <row r="7242" spans="1:4" x14ac:dyDescent="0.2">
      <c r="A7242">
        <v>7181</v>
      </c>
      <c r="B7242" s="138">
        <f>'Expenditures 15-22'!H365</f>
        <v>427125</v>
      </c>
      <c r="D7242" s="2" t="str">
        <f t="shared" si="112"/>
        <v>Error?</v>
      </c>
    </row>
    <row r="7243" spans="1:4" x14ac:dyDescent="0.2">
      <c r="A7243">
        <v>7182</v>
      </c>
      <c r="B7243" s="138">
        <f>'Expenditures 15-22'!K365</f>
        <v>427125</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16519</v>
      </c>
      <c r="D7246" s="2" t="str">
        <f t="shared" si="112"/>
        <v>Error?</v>
      </c>
    </row>
    <row r="7247" spans="1:4" x14ac:dyDescent="0.2">
      <c r="A7247">
        <f t="shared" si="113"/>
        <v>7186</v>
      </c>
      <c r="B7247" s="138">
        <f>'Expenditures 15-22'!E7</f>
        <v>4640</v>
      </c>
      <c r="D7247" s="2" t="str">
        <f t="shared" si="112"/>
        <v>Error?</v>
      </c>
    </row>
    <row r="7248" spans="1:4" x14ac:dyDescent="0.2">
      <c r="A7248">
        <f t="shared" si="113"/>
        <v>7187</v>
      </c>
      <c r="B7248" s="138">
        <f>'Expenditures 15-22'!F7</f>
        <v>14478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7744</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178783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43537</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43537</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46653</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2430</v>
      </c>
      <c r="D7712" s="2" t="str">
        <f t="shared" si="126"/>
        <v>Error?</v>
      </c>
      <c r="E7712" s="2" t="s">
        <v>880</v>
      </c>
    </row>
    <row r="7713" spans="1:6" x14ac:dyDescent="0.2">
      <c r="A7713">
        <v>7652</v>
      </c>
      <c r="B7713" s="138">
        <f>'Rest Tax Levies-Tort Im 25'!J8</f>
        <v>97538</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97538</v>
      </c>
      <c r="D7718" s="2" t="str">
        <f t="shared" si="126"/>
        <v>Error?</v>
      </c>
      <c r="E7718" s="2" t="s">
        <v>880</v>
      </c>
    </row>
    <row r="7719" spans="1:6" x14ac:dyDescent="0.2">
      <c r="A7719">
        <v>7658</v>
      </c>
      <c r="B7719" s="138">
        <f>'Rest Tax Levies-Tort Im 25'!K12</f>
        <v>2430</v>
      </c>
      <c r="D7719" s="2" t="str">
        <f t="shared" si="126"/>
        <v>Error?</v>
      </c>
      <c r="E7719" s="2" t="s">
        <v>880</v>
      </c>
    </row>
    <row r="7720" spans="1:6" x14ac:dyDescent="0.2">
      <c r="A7720">
        <v>7659</v>
      </c>
      <c r="B7720" s="138">
        <f>'Rest Tax Levies-Tort Im 25'!H14</f>
        <v>24719</v>
      </c>
      <c r="D7720" s="2" t="str">
        <f t="shared" si="126"/>
        <v>Error?</v>
      </c>
      <c r="E7720" s="2" t="s">
        <v>880</v>
      </c>
    </row>
    <row r="7721" spans="1:6" x14ac:dyDescent="0.2">
      <c r="A7721">
        <v>7660</v>
      </c>
      <c r="B7721" s="138">
        <f>'Rest Tax Levies-Tort Im 25'!K14</f>
        <v>2430</v>
      </c>
      <c r="D7721" s="2" t="str">
        <f t="shared" si="126"/>
        <v>Error?</v>
      </c>
      <c r="E7721" s="2" t="s">
        <v>880</v>
      </c>
    </row>
    <row r="7722" spans="1:6" x14ac:dyDescent="0.2">
      <c r="A7722">
        <v>7661</v>
      </c>
      <c r="B7722" s="138">
        <f>'Rest Tax Levies-Tort Im 25'!J15</f>
        <v>59435</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59435</v>
      </c>
      <c r="D7730" s="2" t="str">
        <f t="shared" si="126"/>
        <v>Error?</v>
      </c>
      <c r="E7730" s="2" t="s">
        <v>880</v>
      </c>
    </row>
    <row r="7731" spans="1:6" x14ac:dyDescent="0.2">
      <c r="A7731">
        <v>7670</v>
      </c>
      <c r="B7731" s="138">
        <f>'Revenues 9-14'!H103</f>
        <v>97538</v>
      </c>
      <c r="D7731" s="2" t="str">
        <f t="shared" si="126"/>
        <v>Error?</v>
      </c>
      <c r="E7731" s="2" t="s">
        <v>880</v>
      </c>
    </row>
    <row r="7732" spans="1:6" x14ac:dyDescent="0.2">
      <c r="A7732">
        <v>7671</v>
      </c>
      <c r="B7732" s="138">
        <f>'Rest Tax Levies-Tort Im 25'!J24</f>
        <v>84756</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84756</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425000</v>
      </c>
      <c r="D7745" s="2" t="str">
        <f t="shared" si="127"/>
        <v>Error?</v>
      </c>
      <c r="E7745" s="2" t="s">
        <v>880</v>
      </c>
    </row>
    <row r="7746" spans="1:6" x14ac:dyDescent="0.2">
      <c r="A7746">
        <v>7685</v>
      </c>
      <c r="B7746" s="138">
        <f>'Expenditures 15-22'!K364</f>
        <v>425000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6182</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0</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685</v>
      </c>
      <c r="B3" s="2382"/>
      <c r="C3" s="2382"/>
      <c r="D3" s="2383"/>
    </row>
    <row r="4" spans="1:4" x14ac:dyDescent="0.2">
      <c r="A4" s="1153" t="s">
        <v>1791</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2" t="s">
        <v>1583</v>
      </c>
      <c r="D7" s="2393"/>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4" t="s">
        <v>1064</v>
      </c>
      <c r="B15" s="2385"/>
      <c r="C15" s="2385"/>
      <c r="D15" s="2386"/>
    </row>
    <row r="16" spans="1:4" s="669" customFormat="1" ht="24" customHeight="1" x14ac:dyDescent="0.2">
      <c r="A16" s="2387" t="s">
        <v>683</v>
      </c>
      <c r="B16" s="2388"/>
      <c r="C16" s="2388"/>
      <c r="D16" s="2389"/>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733</v>
      </c>
    </row>
    <row r="21" spans="1:10" x14ac:dyDescent="0.2">
      <c r="A21" s="1099"/>
      <c r="B21" s="1100">
        <v>1</v>
      </c>
      <c r="C21" s="2396" t="s">
        <v>331</v>
      </c>
      <c r="D21" s="2397"/>
    </row>
    <row r="22" spans="1:10" ht="12.75" x14ac:dyDescent="0.2">
      <c r="A22" s="1140"/>
      <c r="B22" s="1141">
        <v>2</v>
      </c>
      <c r="C22" s="2394" t="s">
        <v>1604</v>
      </c>
      <c r="D22" s="2395"/>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8" t="s">
        <v>556</v>
      </c>
      <c r="D43" s="2399"/>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0" t="s">
        <v>816</v>
      </c>
      <c r="D56" s="2391"/>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ERROR!</v>
      </c>
    </row>
    <row r="70" spans="1:4" x14ac:dyDescent="0.2">
      <c r="A70" s="1099"/>
      <c r="B70" s="1121">
        <f>B66+1</f>
        <v>9</v>
      </c>
      <c r="C70" s="2390" t="s">
        <v>1795</v>
      </c>
      <c r="D70" s="2391"/>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PLEASE ENTER CONTRACTS PAID IN CURRENT YEAR.</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1252</v>
      </c>
      <c r="B2" s="2400"/>
      <c r="C2" s="2400"/>
      <c r="D2" s="2400"/>
      <c r="E2" s="2400"/>
      <c r="F2" s="2400"/>
      <c r="G2" s="2400"/>
      <c r="H2" s="2400"/>
      <c r="I2" s="2400"/>
      <c r="J2" s="2400"/>
      <c r="K2" s="2400"/>
      <c r="L2" s="2400"/>
    </row>
    <row r="3" spans="1:29" ht="13.5" customHeight="1" x14ac:dyDescent="0.2">
      <c r="A3" s="2431" t="s">
        <v>1251</v>
      </c>
      <c r="B3" s="2431"/>
      <c r="C3" s="2431"/>
      <c r="D3" s="2431"/>
      <c r="E3" s="2431"/>
      <c r="F3" s="2431"/>
      <c r="G3" s="2431"/>
      <c r="H3" s="2431"/>
      <c r="I3" s="2431"/>
      <c r="J3" s="2431"/>
      <c r="K3" s="2431"/>
      <c r="L3" s="2431"/>
    </row>
    <row r="4" spans="1:29" ht="13.5" customHeight="1" x14ac:dyDescent="0.2">
      <c r="A4" s="2400" t="s">
        <v>1797</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2" t="str">
        <f>COVER!A17</f>
        <v>Bement CUSD 5</v>
      </c>
      <c r="B7" s="2423"/>
      <c r="C7" s="2423"/>
      <c r="D7" s="2424"/>
      <c r="E7" s="2425">
        <f>COVER!A13</f>
        <v>39074005026</v>
      </c>
      <c r="F7" s="2426"/>
      <c r="G7" s="2432" t="str">
        <f>COVER!T23</f>
        <v>065.018319</v>
      </c>
      <c r="H7" s="2433"/>
      <c r="I7" s="2433"/>
      <c r="J7" s="2433"/>
      <c r="K7" s="2433"/>
      <c r="L7" s="2434"/>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5"/>
      <c r="B9" s="2436"/>
      <c r="C9" s="2436"/>
      <c r="D9" s="2436"/>
      <c r="E9" s="2436"/>
      <c r="F9" s="2437"/>
      <c r="G9" s="2406" t="str">
        <f>COVER!T13</f>
        <v>RUSSELL LEIGH &amp; ASSOCIATES</v>
      </c>
      <c r="H9" s="2438"/>
      <c r="I9" s="2438"/>
      <c r="J9" s="2438"/>
      <c r="K9" s="2438"/>
      <c r="L9" s="2439"/>
    </row>
    <row r="10" spans="1:29" ht="13.5" customHeight="1" x14ac:dyDescent="0.2">
      <c r="A10" s="2412" t="str">
        <f>COVER!A38</f>
        <v>SHEILA GREENWOOD</v>
      </c>
      <c r="B10" s="2413"/>
      <c r="C10" s="2413"/>
      <c r="D10" s="2413"/>
      <c r="E10" s="2413"/>
      <c r="F10" s="2414"/>
      <c r="G10" s="2406" t="str">
        <f>COVER!T17</f>
        <v>228 E MAIN ST</v>
      </c>
      <c r="H10" s="2407"/>
      <c r="I10" s="2407"/>
      <c r="J10" s="2407"/>
      <c r="K10" s="2407"/>
      <c r="L10" s="2408"/>
    </row>
    <row r="11" spans="1:29" ht="13.5" customHeight="1" x14ac:dyDescent="0.2">
      <c r="A11" s="1185" t="s">
        <v>1598</v>
      </c>
      <c r="B11" s="1186"/>
      <c r="C11" s="1187"/>
      <c r="D11" s="1192"/>
      <c r="E11" s="1187"/>
      <c r="F11" s="1191"/>
      <c r="G11" s="2406" t="str">
        <f>COVER!T19</f>
        <v>HOOPESTON</v>
      </c>
      <c r="H11" s="2407"/>
      <c r="I11" s="2407"/>
      <c r="J11" s="2407"/>
      <c r="K11" s="2407"/>
      <c r="L11" s="2408"/>
    </row>
    <row r="12" spans="1:29" ht="13.5" customHeight="1" x14ac:dyDescent="0.2">
      <c r="A12" s="2415" t="s">
        <v>1597</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1599</v>
      </c>
      <c r="H13" s="2402"/>
      <c r="I13" s="2418" t="str">
        <f>COVER!T25</f>
        <v>admin@russleigh.com</v>
      </c>
      <c r="J13" s="2419"/>
      <c r="K13" s="2419"/>
      <c r="L13" s="2420"/>
    </row>
    <row r="14" spans="1:29" ht="13.5" customHeight="1" x14ac:dyDescent="0.2">
      <c r="A14" s="2406" t="str">
        <f>COVER!A19</f>
        <v>201 S CHAMPAIGN ST</v>
      </c>
      <c r="B14" s="2407"/>
      <c r="C14" s="2407"/>
      <c r="D14" s="2407"/>
      <c r="E14" s="2407"/>
      <c r="F14" s="2408"/>
      <c r="G14" s="1196" t="s">
        <v>1246</v>
      </c>
      <c r="H14" s="1194"/>
      <c r="I14" s="1194"/>
      <c r="J14" s="1194"/>
      <c r="K14" s="1194"/>
      <c r="L14" s="1195"/>
    </row>
    <row r="15" spans="1:29" ht="13.5" customHeight="1" x14ac:dyDescent="0.2">
      <c r="A15" s="2406" t="str">
        <f>COVER!A21</f>
        <v>BEMENT</v>
      </c>
      <c r="B15" s="2407"/>
      <c r="C15" s="2407"/>
      <c r="D15" s="2407"/>
      <c r="E15" s="2407"/>
      <c r="F15" s="2408"/>
      <c r="G15" s="2403" t="str">
        <f>COVER!T15</f>
        <v>RUSS LEIGH</v>
      </c>
      <c r="H15" s="2404"/>
      <c r="I15" s="2404"/>
      <c r="J15" s="2404"/>
      <c r="K15" s="2404"/>
      <c r="L15" s="2405"/>
    </row>
    <row r="16" spans="1:29" ht="12.2" customHeight="1" x14ac:dyDescent="0.2">
      <c r="A16" s="2428">
        <f>COVER!A25</f>
        <v>61813</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1245</v>
      </c>
      <c r="H17" s="1194"/>
      <c r="I17" s="1194"/>
      <c r="J17" s="1194"/>
      <c r="K17" s="1198" t="s">
        <v>1244</v>
      </c>
      <c r="L17" s="1191"/>
      <c r="M17" s="1184"/>
    </row>
    <row r="18" spans="1:13" ht="12.2" customHeight="1" x14ac:dyDescent="0.2">
      <c r="A18" s="2412"/>
      <c r="B18" s="2413"/>
      <c r="C18" s="2413"/>
      <c r="D18" s="2413"/>
      <c r="E18" s="2413"/>
      <c r="F18" s="2414"/>
      <c r="G18" s="2422" t="str">
        <f>COVER!T21</f>
        <v>217-283-9336</v>
      </c>
      <c r="H18" s="2423"/>
      <c r="I18" s="2423"/>
      <c r="J18" s="2423"/>
      <c r="K18" s="2422" t="str">
        <f>COVER!X21</f>
        <v>217-283-9736</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1798</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1799</v>
      </c>
    </row>
    <row r="27" spans="1:13" s="1199" customFormat="1" ht="9" customHeight="1" x14ac:dyDescent="0.2">
      <c r="B27" s="1204"/>
      <c r="C27" s="1203"/>
    </row>
    <row r="28" spans="1:13" s="1199" customFormat="1" ht="12.2" customHeight="1" x14ac:dyDescent="0.2">
      <c r="A28" s="1206"/>
      <c r="B28" s="1202"/>
      <c r="C28" s="1203" t="s">
        <v>1800</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Bement CUSD 5</v>
      </c>
      <c r="B1" s="2421"/>
      <c r="C1" s="2421"/>
      <c r="D1" s="2421"/>
    </row>
    <row r="2" spans="1:11" s="1215" customFormat="1" ht="12.75" x14ac:dyDescent="0.2">
      <c r="A2" s="2445">
        <f>'Single Audit Cover'!E7</f>
        <v>39074005026</v>
      </c>
      <c r="B2" s="2446"/>
      <c r="C2" s="2446"/>
      <c r="D2" s="2446"/>
    </row>
    <row r="3" spans="1:11" s="1215" customFormat="1" ht="12.75" x14ac:dyDescent="0.2">
      <c r="A3" s="2444" t="s">
        <v>1592</v>
      </c>
      <c r="B3" s="2421"/>
      <c r="C3" s="2421"/>
      <c r="D3" s="2421"/>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1812</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1813</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1814</v>
      </c>
    </row>
    <row r="70" spans="1:4" x14ac:dyDescent="0.2">
      <c r="A70" s="1222"/>
      <c r="D70" s="1246" t="s">
        <v>1267</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Bement CUSD 5</v>
      </c>
      <c r="B1" s="2448"/>
      <c r="C1" s="2448"/>
      <c r="D1" s="2448"/>
      <c r="E1" s="2448"/>
    </row>
    <row r="2" spans="1:5" x14ac:dyDescent="0.2">
      <c r="A2" s="2449">
        <f>'Single Audit Cover'!E7</f>
        <v>39074005026</v>
      </c>
      <c r="B2" s="2449"/>
      <c r="C2" s="2449"/>
      <c r="D2" s="2449"/>
      <c r="E2" s="2449"/>
    </row>
    <row r="3" spans="1:5" ht="4.5" customHeight="1" x14ac:dyDescent="0.2"/>
    <row r="4" spans="1:5" x14ac:dyDescent="0.2">
      <c r="A4" s="2448" t="s">
        <v>1306</v>
      </c>
      <c r="B4" s="2448"/>
      <c r="C4" s="2448"/>
      <c r="D4" s="2448"/>
      <c r="E4" s="2448"/>
    </row>
    <row r="5" spans="1:5" x14ac:dyDescent="0.2">
      <c r="A5" s="2451" t="str">
        <f>'Single Audit Cover'!A4</f>
        <v>Year Ending June 30, 2018</v>
      </c>
      <c r="B5" s="2451"/>
      <c r="C5" s="2451"/>
      <c r="D5" s="2451"/>
      <c r="E5" s="2451"/>
    </row>
    <row r="6" spans="1:5" x14ac:dyDescent="0.2">
      <c r="A6" s="2448" t="s">
        <v>1305</v>
      </c>
      <c r="B6" s="2448"/>
      <c r="C6" s="2448"/>
      <c r="D6" s="2448"/>
      <c r="E6" s="2448"/>
    </row>
    <row r="8" spans="1:5" x14ac:dyDescent="0.2">
      <c r="A8" s="1260" t="s">
        <v>1304</v>
      </c>
    </row>
    <row r="10" spans="1:5" x14ac:dyDescent="0.2">
      <c r="A10" s="1261" t="s">
        <v>1303</v>
      </c>
      <c r="B10" s="1262" t="s">
        <v>1302</v>
      </c>
      <c r="C10" s="1262"/>
      <c r="D10" s="1263">
        <f>SUM('Acct Summary 7-8'!C7:K7)</f>
        <v>179090</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1828</v>
      </c>
      <c r="B14" s="1262"/>
      <c r="C14" s="1262"/>
      <c r="D14" s="1264">
        <f>'ICR Computation 30'!E11</f>
        <v>0</v>
      </c>
    </row>
    <row r="15" spans="1:5" x14ac:dyDescent="0.2">
      <c r="A15" s="1261"/>
      <c r="B15" s="1262"/>
      <c r="C15" s="1262"/>
    </row>
    <row r="16" spans="1:5" x14ac:dyDescent="0.2">
      <c r="A16" s="1261" t="s">
        <v>1953</v>
      </c>
      <c r="B16" s="1262"/>
      <c r="C16" s="1262"/>
    </row>
    <row r="17" spans="1:4" x14ac:dyDescent="0.2">
      <c r="A17" s="1261" t="s">
        <v>1600</v>
      </c>
      <c r="B17" s="1262" t="s">
        <v>1297</v>
      </c>
      <c r="C17" s="1262"/>
      <c r="D17" s="1264">
        <f>-SUM('Revenues 9-14'!C271:D271,'Revenues 9-14'!F271:G271)</f>
        <v>0</v>
      </c>
    </row>
    <row r="19" spans="1:4" ht="13.5" thickBot="1" x14ac:dyDescent="0.25">
      <c r="A19" s="1265" t="s">
        <v>1296</v>
      </c>
      <c r="D19" s="1266">
        <f>SUM(D10:D17)</f>
        <v>179090</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1294</v>
      </c>
      <c r="D32" s="1263">
        <f>SUM(D19:D30)</f>
        <v>179090</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1288</v>
      </c>
      <c r="C47" s="1272"/>
      <c r="D47" s="1273">
        <f>SUM(D35:D45)</f>
        <v>0</v>
      </c>
    </row>
    <row r="49" spans="2:4" x14ac:dyDescent="0.2">
      <c r="B49" s="1272" t="s">
        <v>1287</v>
      </c>
      <c r="C49" s="1272"/>
      <c r="D49" s="1273">
        <f>D32-D47</f>
        <v>179090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Bement CUSD 5</v>
      </c>
      <c r="B1" s="2461"/>
      <c r="C1" s="2461"/>
      <c r="D1" s="2461"/>
      <c r="E1" s="2461"/>
      <c r="F1" s="2461"/>
    </row>
    <row r="2" spans="1:7" ht="13.5" customHeight="1" x14ac:dyDescent="0.2">
      <c r="A2" s="2462">
        <f>'Single Audit Cover'!E7</f>
        <v>39074005026</v>
      </c>
      <c r="B2" s="2462"/>
      <c r="C2" s="2462"/>
      <c r="D2" s="2462"/>
      <c r="E2" s="2462"/>
      <c r="F2" s="2462"/>
      <c r="G2" s="1275"/>
    </row>
    <row r="3" spans="1:7" ht="15.75" customHeight="1" x14ac:dyDescent="0.2">
      <c r="A3" s="2463" t="s">
        <v>1332</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1829</v>
      </c>
      <c r="C6" s="317"/>
      <c r="D6" s="317"/>
    </row>
    <row r="7" spans="1:7" ht="60.95" customHeight="1" x14ac:dyDescent="0.2">
      <c r="A7" s="2460" t="s">
        <v>1830</v>
      </c>
      <c r="B7" s="2460"/>
      <c r="C7" s="2460"/>
      <c r="D7" s="2460"/>
      <c r="E7" s="2460"/>
      <c r="F7" s="2460"/>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60" t="s">
        <v>1832</v>
      </c>
      <c r="B13" s="2460"/>
      <c r="C13" s="2460"/>
      <c r="D13" s="2460"/>
      <c r="E13" s="2460"/>
      <c r="F13" s="2460"/>
    </row>
    <row r="14" spans="1:7" ht="9.75" customHeight="1" x14ac:dyDescent="0.2">
      <c r="C14" s="1260"/>
      <c r="D14" s="1260"/>
    </row>
    <row r="15" spans="1:7" ht="13.5" customHeight="1" x14ac:dyDescent="0.2">
      <c r="C15" s="1871" t="s">
        <v>1331</v>
      </c>
      <c r="D15" s="2458" t="s">
        <v>1330</v>
      </c>
      <c r="E15" s="2458"/>
      <c r="F15" s="2458"/>
    </row>
    <row r="16" spans="1:7" ht="13.5" customHeight="1" x14ac:dyDescent="0.2">
      <c r="A16" s="1282"/>
      <c r="B16" s="1276" t="s">
        <v>1329</v>
      </c>
      <c r="C16" s="1871" t="s">
        <v>1328</v>
      </c>
      <c r="D16" s="2459" t="s">
        <v>1669</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54" t="s">
        <v>1833</v>
      </c>
      <c r="B32" s="2454"/>
      <c r="C32" s="2454"/>
      <c r="D32" s="2454"/>
      <c r="E32" s="2454"/>
      <c r="F32" s="2454"/>
    </row>
    <row r="33" spans="1:6" ht="13.5" customHeight="1" x14ac:dyDescent="0.2">
      <c r="A33" s="328" t="s">
        <v>1508</v>
      </c>
      <c r="B33" s="328"/>
      <c r="C33" s="1288">
        <v>0</v>
      </c>
      <c r="D33" s="1928"/>
      <c r="E33" s="1286"/>
    </row>
    <row r="34" spans="1:6" ht="13.5" customHeight="1" x14ac:dyDescent="0.2">
      <c r="A34" s="328" t="s">
        <v>1946</v>
      </c>
      <c r="B34" s="328"/>
      <c r="C34" s="1289">
        <v>0</v>
      </c>
      <c r="D34" s="1928" t="s">
        <v>1670</v>
      </c>
      <c r="E34" s="2455">
        <f>+C33+C34</f>
        <v>0</v>
      </c>
      <c r="F34" s="2456"/>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c r="D38" s="1928"/>
      <c r="E38" s="1286"/>
    </row>
    <row r="39" spans="1:6" ht="14.25" customHeight="1" x14ac:dyDescent="0.2">
      <c r="A39" s="328"/>
      <c r="B39" s="328" t="s">
        <v>1510</v>
      </c>
      <c r="C39" s="1292"/>
      <c r="D39" s="1928"/>
      <c r="E39" s="1286"/>
    </row>
    <row r="40" spans="1:6" ht="14.25" customHeight="1" x14ac:dyDescent="0.2">
      <c r="A40" s="328"/>
      <c r="B40" s="328" t="s">
        <v>1511</v>
      </c>
      <c r="C40" s="1292"/>
      <c r="D40" s="1928"/>
      <c r="E40" s="1286"/>
    </row>
    <row r="41" spans="1:6" ht="14.25" customHeight="1" x14ac:dyDescent="0.2">
      <c r="A41" s="328"/>
      <c r="B41" s="328" t="s">
        <v>1512</v>
      </c>
      <c r="C41" s="1292"/>
      <c r="D41" s="1928"/>
      <c r="E41" s="1286"/>
    </row>
    <row r="42" spans="1:6" ht="14.25" customHeight="1" x14ac:dyDescent="0.2">
      <c r="A42" s="328" t="s">
        <v>1513</v>
      </c>
      <c r="B42" s="328"/>
      <c r="C42" s="1926"/>
      <c r="D42" s="1928"/>
      <c r="E42" s="1286"/>
    </row>
    <row r="43" spans="1:6" ht="14.25" customHeight="1" x14ac:dyDescent="0.2">
      <c r="A43" s="328" t="s">
        <v>1514</v>
      </c>
      <c r="B43" s="328"/>
      <c r="C43" s="1293"/>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1671</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1631</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Bement CUSD 5</v>
      </c>
      <c r="C1" s="2465"/>
      <c r="D1" s="2465"/>
      <c r="E1" s="2465"/>
      <c r="F1" s="2465"/>
      <c r="G1" s="2465"/>
      <c r="H1" s="2465"/>
      <c r="I1" s="2465"/>
      <c r="J1" s="2465"/>
      <c r="K1" s="2465"/>
      <c r="L1" s="2465"/>
      <c r="M1" s="2465"/>
    </row>
    <row r="2" spans="2:14" ht="15" x14ac:dyDescent="0.2">
      <c r="B2" s="2462">
        <f>'Single Audit Cover'!E7</f>
        <v>39074005026</v>
      </c>
      <c r="C2" s="2462"/>
      <c r="D2" s="2462"/>
      <c r="E2" s="2462"/>
      <c r="F2" s="2462"/>
      <c r="G2" s="2462"/>
      <c r="H2" s="2462"/>
      <c r="I2" s="2462"/>
      <c r="J2" s="2462"/>
      <c r="K2" s="2462"/>
      <c r="L2" s="2462"/>
      <c r="M2" s="2462"/>
      <c r="N2" s="1302"/>
    </row>
    <row r="3" spans="2:14" ht="15" x14ac:dyDescent="0.2">
      <c r="B3" s="2466" t="s">
        <v>1280</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1326</v>
      </c>
      <c r="E6" s="1306" t="s">
        <v>547</v>
      </c>
      <c r="F6" s="1307"/>
      <c r="G6" s="1308" t="s">
        <v>1835</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1947</v>
      </c>
      <c r="K8" s="1319" t="s">
        <v>1322</v>
      </c>
      <c r="L8" s="1320" t="s">
        <v>1318</v>
      </c>
      <c r="M8" s="1321" t="s">
        <v>30</v>
      </c>
    </row>
    <row r="9" spans="2:14" ht="14.25" x14ac:dyDescent="0.2">
      <c r="B9" s="1325" t="s">
        <v>1320</v>
      </c>
      <c r="C9" s="1313" t="s">
        <v>1836</v>
      </c>
      <c r="D9" s="1314" t="s">
        <v>1837</v>
      </c>
      <c r="E9" s="1322" t="s">
        <v>1662</v>
      </c>
      <c r="F9" s="1323" t="s">
        <v>1947</v>
      </c>
      <c r="G9" s="1324" t="s">
        <v>1662</v>
      </c>
      <c r="H9" s="1317" t="s">
        <v>1663</v>
      </c>
      <c r="I9" s="1319" t="s">
        <v>1947</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Bement CUSD 5</v>
      </c>
      <c r="C1" s="2480"/>
      <c r="D1" s="2480"/>
      <c r="E1" s="2480"/>
      <c r="F1" s="2480"/>
      <c r="G1" s="2480"/>
      <c r="H1" s="2480"/>
      <c r="I1" s="2480"/>
      <c r="J1" s="1422"/>
    </row>
    <row r="2" spans="2:10" s="317" customFormat="1" ht="12.75" customHeight="1" x14ac:dyDescent="0.2">
      <c r="B2" s="2481">
        <f>'Single Audit Cover'!E7</f>
        <v>39074005026</v>
      </c>
      <c r="C2" s="2482"/>
      <c r="D2" s="2482"/>
      <c r="E2" s="2482"/>
      <c r="F2" s="2482"/>
      <c r="G2" s="2482"/>
      <c r="H2" s="2482"/>
      <c r="I2" s="2482"/>
      <c r="J2" s="1422"/>
    </row>
    <row r="3" spans="2:10" s="317" customFormat="1" ht="12.75" customHeight="1" x14ac:dyDescent="0.2">
      <c r="B3" s="2483" t="s">
        <v>1346</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1345</v>
      </c>
      <c r="C7" s="2484"/>
      <c r="D7" s="2484"/>
      <c r="E7" s="2484"/>
      <c r="F7" s="2484"/>
      <c r="G7" s="2484"/>
      <c r="H7" s="2484"/>
      <c r="I7" s="2484"/>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5"/>
      <c r="D11" s="2485"/>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6"/>
      <c r="E29" s="2486"/>
      <c r="F29" s="2486"/>
      <c r="G29" s="2486"/>
      <c r="H29" s="2486"/>
      <c r="I29" s="2486"/>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7" t="s">
        <v>1852</v>
      </c>
      <c r="D37" s="2488"/>
      <c r="E37" s="2488"/>
      <c r="F37" s="2489"/>
      <c r="G37" s="2487" t="s">
        <v>1673</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1674</v>
      </c>
      <c r="D43" s="2469"/>
      <c r="E43" s="2469"/>
      <c r="F43" s="2470"/>
      <c r="G43" s="2471">
        <f>SUM(G38:I42)</f>
        <v>0</v>
      </c>
      <c r="H43" s="2471"/>
      <c r="I43" s="2471"/>
    </row>
    <row r="44" spans="2:9" ht="12.75" customHeight="1" x14ac:dyDescent="0.2"/>
    <row r="45" spans="2:9" ht="12.75" customHeight="1" x14ac:dyDescent="0.2">
      <c r="B45" s="1435" t="s">
        <v>1949</v>
      </c>
      <c r="D45" s="2472">
        <v>0</v>
      </c>
      <c r="E45" s="2473"/>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1334</v>
      </c>
      <c r="C49" s="1282"/>
      <c r="D49" s="1282"/>
      <c r="E49" s="2474"/>
      <c r="F49" s="2474"/>
      <c r="G49" s="2474"/>
      <c r="H49" s="322"/>
    </row>
    <row r="51" spans="1:9" ht="13.5" customHeight="1" x14ac:dyDescent="0.2">
      <c r="B51" s="1368" t="s">
        <v>1333</v>
      </c>
      <c r="C51" s="1282"/>
      <c r="E51" s="1438"/>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1678</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Bement CUSD 5</v>
      </c>
      <c r="C1" s="2479"/>
      <c r="D1" s="2479"/>
      <c r="E1" s="2479"/>
      <c r="F1" s="2479"/>
      <c r="G1" s="2479"/>
      <c r="H1" s="2479"/>
      <c r="I1" s="2479"/>
      <c r="J1" s="2479"/>
      <c r="K1" s="2479"/>
      <c r="L1" s="1374"/>
      <c r="M1" s="1374"/>
    </row>
    <row r="2" spans="1:13" ht="12" customHeight="1" x14ac:dyDescent="0.2">
      <c r="B2" s="2481">
        <f>'Single Audit Cover'!E7</f>
        <v>39074005026</v>
      </c>
      <c r="C2" s="2481"/>
      <c r="D2" s="2481"/>
      <c r="E2" s="2481"/>
      <c r="F2" s="2481"/>
      <c r="G2" s="2481"/>
      <c r="H2" s="2481"/>
      <c r="I2" s="2481"/>
      <c r="J2" s="2481"/>
      <c r="K2" s="2481"/>
      <c r="L2" s="1375"/>
      <c r="M2" s="1376"/>
    </row>
    <row r="3" spans="1:13" ht="10.35" customHeight="1" x14ac:dyDescent="0.2">
      <c r="B3" s="2495" t="s">
        <v>1346</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1362</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1950</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1847</v>
      </c>
      <c r="C38" s="1420"/>
    </row>
    <row r="39" spans="1:13" ht="9.6" customHeight="1" x14ac:dyDescent="0.2">
      <c r="B39" s="1300" t="s">
        <v>1347</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Bement CUSD 5</v>
      </c>
      <c r="C1" s="2502"/>
      <c r="D1" s="2502"/>
      <c r="E1" s="2502"/>
      <c r="F1" s="2502"/>
      <c r="G1" s="2502"/>
      <c r="H1" s="2502"/>
      <c r="I1" s="2502"/>
      <c r="J1" s="2502"/>
      <c r="K1" s="2502"/>
      <c r="L1" s="1465"/>
    </row>
    <row r="2" spans="1:12" ht="12.75" customHeight="1" x14ac:dyDescent="0.2">
      <c r="B2" s="2503">
        <f>'Single Audit Cover'!E7</f>
        <v>39074005026</v>
      </c>
      <c r="C2" s="2503"/>
      <c r="D2" s="2503"/>
      <c r="E2" s="2503"/>
      <c r="F2" s="2503"/>
      <c r="G2" s="2503"/>
      <c r="H2" s="2503"/>
      <c r="I2" s="2503"/>
      <c r="J2" s="2503"/>
      <c r="K2" s="2503"/>
      <c r="L2" s="1466"/>
    </row>
    <row r="3" spans="1:12" ht="12.75" customHeight="1" x14ac:dyDescent="0.2">
      <c r="B3" s="2495" t="s">
        <v>1346</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1230</v>
      </c>
      <c r="C5" s="1260"/>
      <c r="L5" s="322"/>
    </row>
    <row r="6" spans="1:12" ht="30.75" customHeight="1" x14ac:dyDescent="0.2">
      <c r="A6" s="322"/>
      <c r="B6" s="2504" t="s">
        <v>1374</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1950</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499"/>
      <c r="E14" s="2499"/>
      <c r="F14" s="2499"/>
      <c r="H14" s="1475" t="s">
        <v>1369</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0"/>
      <c r="E16" s="2500"/>
      <c r="F16" s="2500"/>
      <c r="G16" s="2500"/>
      <c r="H16" s="2500"/>
      <c r="I16" s="2500"/>
      <c r="J16" s="2500"/>
      <c r="K16" s="2500"/>
      <c r="L16" s="322"/>
    </row>
    <row r="17" spans="2:12" ht="13.5" customHeight="1" x14ac:dyDescent="0.2">
      <c r="B17" s="1387" t="s">
        <v>1367</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Bement CUSD 5</v>
      </c>
      <c r="C1" s="2479"/>
      <c r="D1" s="2479"/>
      <c r="E1" s="1491"/>
    </row>
    <row r="2" spans="2:5" s="1282" customFormat="1" ht="12.75" customHeight="1" x14ac:dyDescent="0.2">
      <c r="B2" s="2481">
        <f>'Single Audit Cover'!E7</f>
        <v>39074005026</v>
      </c>
      <c r="C2" s="2481"/>
      <c r="D2" s="2481"/>
      <c r="E2" s="1492"/>
    </row>
    <row r="3" spans="2:5" ht="12.75" customHeight="1" x14ac:dyDescent="0.2">
      <c r="B3" s="2495" t="s">
        <v>1867</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1868</v>
      </c>
      <c r="C5" s="328"/>
      <c r="D5" s="328"/>
      <c r="E5" s="328"/>
    </row>
    <row r="6" spans="2:5" s="1282" customFormat="1" ht="13.5" customHeight="1" x14ac:dyDescent="0.2">
      <c r="B6" s="1495" t="s">
        <v>1381</v>
      </c>
      <c r="C6" s="1495" t="s">
        <v>1380</v>
      </c>
      <c r="D6" s="1495" t="s">
        <v>1869</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1870</v>
      </c>
    </row>
    <row r="46" spans="2:5" ht="12.2" customHeight="1" x14ac:dyDescent="0.2">
      <c r="B46" s="1505" t="s">
        <v>1871</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infopath/2007/PartnerControls"/>
    <ds:schemaRef ds:uri="4d435f69-8686-490b-bd6d-b153bf22ab50"/>
    <ds:schemaRef ds:uri="http://schemas.microsoft.com/sharepoint/v3"/>
    <ds:schemaRef ds:uri="http://www.w3.org/XML/1998/namespace"/>
    <ds:schemaRef ds:uri="http://purl.org/dc/dcmitype/"/>
    <ds:schemaRef ds:uri="http://purl.org/dc/elements/1.1/"/>
    <ds:schemaRef ds:uri="http://purl.org/dc/terms/"/>
    <ds:schemaRef ds:uri="http://schemas.microsoft.com/office/2006/documentManagement/types"/>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AFR18</vt:lpstr>
      <vt:lpstr>AUDITCHECK</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2018-07-31T16:34:21Z</cp:lastPrinted>
  <dcterms:created xsi:type="dcterms:W3CDTF">2003-10-29T19:06:34Z</dcterms:created>
  <dcterms:modified xsi:type="dcterms:W3CDTF">2018-11-16T21:08:57Z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