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31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Sheet1" sheetId="183"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4">#REF!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4">#REF!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4">#REF!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4">#REF!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4">#REF!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B2836" i="106" s="1"/>
  <c r="D2836" i="106" s="1"/>
  <c r="K122" i="29"/>
  <c r="F15" i="145" s="1"/>
  <c r="F19" i="145" s="1"/>
  <c r="K67" i="29"/>
  <c r="K64" i="29"/>
  <c r="K59" i="29"/>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c r="B5243" i="106"/>
  <c r="D5243" i="106"/>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c r="B6342" i="106"/>
  <c r="D6342" i="106" s="1"/>
  <c r="B6343" i="106"/>
  <c r="D6343" i="106" s="1"/>
  <c r="B6344" i="106"/>
  <c r="D6344" i="106" s="1"/>
  <c r="B6345" i="106"/>
  <c r="D6345" i="106" s="1"/>
  <c r="B6346" i="106"/>
  <c r="D6346" i="106" s="1"/>
  <c r="B6347" i="106"/>
  <c r="D6347" i="106" s="1"/>
  <c r="B6348" i="106"/>
  <c r="D6348" i="106" s="1"/>
  <c r="B6349" i="106"/>
  <c r="D6349" i="106"/>
  <c r="B6350" i="106"/>
  <c r="D6350" i="106" s="1"/>
  <c r="B6353" i="106"/>
  <c r="D6353" i="106" s="1"/>
  <c r="B6354" i="106"/>
  <c r="D6354" i="106" s="1"/>
  <c r="B6355" i="106"/>
  <c r="D6355" i="106" s="1"/>
  <c r="B6356" i="106"/>
  <c r="D6356" i="106" s="1"/>
  <c r="B6358" i="106"/>
  <c r="D6358" i="106" s="1"/>
  <c r="B6359" i="106"/>
  <c r="D6359" i="106" s="1"/>
  <c r="B6360" i="106"/>
  <c r="D6360" i="106"/>
  <c r="B6361" i="106"/>
  <c r="D6361" i="106" s="1"/>
  <c r="B6362" i="106"/>
  <c r="D6362" i="106" s="1"/>
  <c r="B6363" i="106"/>
  <c r="D6363" i="106" s="1"/>
  <c r="B6364" i="106"/>
  <c r="D6364" i="106" s="1"/>
  <c r="B6365" i="106"/>
  <c r="D6365" i="106" s="1"/>
  <c r="B6366" i="106"/>
  <c r="D6366" i="106" s="1"/>
  <c r="B6367" i="106"/>
  <c r="D6367" i="106" s="1"/>
  <c r="B6368" i="106"/>
  <c r="D6368" i="106"/>
  <c r="B6369" i="106"/>
  <c r="D6369" i="106" s="1"/>
  <c r="B6370" i="106"/>
  <c r="D6370" i="106" s="1"/>
  <c r="B6371" i="106"/>
  <c r="D6371" i="106" s="1"/>
  <c r="B6372" i="106"/>
  <c r="D6372" i="106" s="1"/>
  <c r="B6373" i="106"/>
  <c r="D6373" i="106" s="1"/>
  <c r="B6374" i="106"/>
  <c r="D6374" i="106" s="1"/>
  <c r="B6375" i="106"/>
  <c r="D6375" i="106" s="1"/>
  <c r="B6376" i="106"/>
  <c r="D6376" i="106"/>
  <c r="B6377" i="106"/>
  <c r="D6377" i="106" s="1"/>
  <c r="B6378" i="106"/>
  <c r="D6378" i="106" s="1"/>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s="1"/>
  <c r="B6391" i="106"/>
  <c r="D6391" i="106" s="1"/>
  <c r="B6392" i="106"/>
  <c r="D6392" i="106"/>
  <c r="B6393" i="106"/>
  <c r="D6393" i="106" s="1"/>
  <c r="B6394" i="106"/>
  <c r="D6394" i="106" s="1"/>
  <c r="B6395" i="106"/>
  <c r="D6395" i="106" s="1"/>
  <c r="B6398" i="106"/>
  <c r="D6398" i="106" s="1"/>
  <c r="B6399" i="106"/>
  <c r="D6399" i="106" s="1"/>
  <c r="B6401" i="106"/>
  <c r="D6401" i="106" s="1"/>
  <c r="B6402" i="106"/>
  <c r="D6402" i="106" s="1"/>
  <c r="B6403" i="106"/>
  <c r="D6403" i="106"/>
  <c r="B6404" i="106"/>
  <c r="D6404" i="106" s="1"/>
  <c r="B6405" i="106"/>
  <c r="D6405" i="106" s="1"/>
  <c r="B6406" i="106"/>
  <c r="D6406" i="106" s="1"/>
  <c r="B6407" i="106"/>
  <c r="D6407" i="106" s="1"/>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s="1"/>
  <c r="B6618" i="106"/>
  <c r="D6618" i="106" s="1"/>
  <c r="B6619" i="106"/>
  <c r="D6619" i="106" s="1"/>
  <c r="B6620" i="106"/>
  <c r="D6620" i="106" s="1"/>
  <c r="B6621" i="106"/>
  <c r="D6621" i="106" s="1"/>
  <c r="B6622" i="106"/>
  <c r="D6622" i="106" s="1"/>
  <c r="B6623" i="106"/>
  <c r="D6623" i="106"/>
  <c r="B6624" i="106"/>
  <c r="D6624" i="106" s="1"/>
  <c r="B6625" i="106"/>
  <c r="D6625" i="106" s="1"/>
  <c r="B6626" i="106"/>
  <c r="D6626" i="106" s="1"/>
  <c r="B6627" i="106"/>
  <c r="D6627" i="106" s="1"/>
  <c r="B6628" i="106"/>
  <c r="D6628" i="106" s="1"/>
  <c r="B6629" i="106"/>
  <c r="D6629" i="106" s="1"/>
  <c r="B6630" i="106"/>
  <c r="D6630" i="106" s="1"/>
  <c r="B6631" i="106"/>
  <c r="D6631" i="106"/>
  <c r="B6632" i="106"/>
  <c r="D6632" i="106" s="1"/>
  <c r="B6633" i="106"/>
  <c r="D6633" i="106" s="1"/>
  <c r="B6634" i="106"/>
  <c r="D6634" i="106" s="1"/>
  <c r="B6635" i="106"/>
  <c r="D6635" i="106" s="1"/>
  <c r="B6636" i="106"/>
  <c r="D6636" i="106" s="1"/>
  <c r="B6637" i="106"/>
  <c r="D6637" i="106" s="1"/>
  <c r="B6638" i="106"/>
  <c r="D6638" i="106" s="1"/>
  <c r="B6639" i="106"/>
  <c r="D6639" i="106"/>
  <c r="B6640" i="106"/>
  <c r="D6640" i="106" s="1"/>
  <c r="B6641" i="106"/>
  <c r="D6641" i="106" s="1"/>
  <c r="B6642" i="106"/>
  <c r="D6642" i="106" s="1"/>
  <c r="B6643" i="106"/>
  <c r="D6643" i="106" s="1"/>
  <c r="B6644" i="106"/>
  <c r="D6644" i="106" s="1"/>
  <c r="B6645" i="106"/>
  <c r="D6645" i="106" s="1"/>
  <c r="B6646" i="106"/>
  <c r="D6646" i="106" s="1"/>
  <c r="B6647" i="106"/>
  <c r="D6647" i="106"/>
  <c r="B6648" i="106"/>
  <c r="D6648" i="106" s="1"/>
  <c r="B6649" i="106"/>
  <c r="D6649" i="106" s="1"/>
  <c r="B6650" i="106"/>
  <c r="D6650" i="106"/>
  <c r="B6651" i="106"/>
  <c r="D6651" i="106" s="1"/>
  <c r="B6652" i="106"/>
  <c r="D6652" i="106" s="1"/>
  <c r="B6653" i="106"/>
  <c r="D6653" i="106" s="1"/>
  <c r="B6654" i="106"/>
  <c r="D6654" i="106"/>
  <c r="B6655" i="106"/>
  <c r="D6655" i="106" s="1"/>
  <c r="B6656" i="106"/>
  <c r="D6656" i="106" s="1"/>
  <c r="B6657" i="106"/>
  <c r="D6657" i="106" s="1"/>
  <c r="B6658" i="106"/>
  <c r="D6658" i="106"/>
  <c r="B6659" i="106"/>
  <c r="D6659" i="106" s="1"/>
  <c r="B6660" i="106"/>
  <c r="D6660" i="106" s="1"/>
  <c r="B6661" i="106"/>
  <c r="D6661" i="106" s="1"/>
  <c r="B6662" i="106"/>
  <c r="D6662" i="106"/>
  <c r="B6663" i="106"/>
  <c r="D6663" i="106" s="1"/>
  <c r="B6664" i="106"/>
  <c r="D6664" i="106" s="1"/>
  <c r="B6665" i="106"/>
  <c r="D6665" i="106" s="1"/>
  <c r="B6666" i="106"/>
  <c r="D6666" i="106"/>
  <c r="B6667" i="106"/>
  <c r="D6667" i="106" s="1"/>
  <c r="B6668" i="106"/>
  <c r="D6668" i="106" s="1"/>
  <c r="B6669" i="106"/>
  <c r="D6669" i="106" s="1"/>
  <c r="B6670" i="106"/>
  <c r="D6670" i="106"/>
  <c r="B6671" i="106"/>
  <c r="D6671" i="106" s="1"/>
  <c r="B6672" i="106"/>
  <c r="D6672" i="106" s="1"/>
  <c r="B6673" i="106"/>
  <c r="D6673" i="106" s="1"/>
  <c r="B6674" i="106"/>
  <c r="D6674" i="106"/>
  <c r="B6675" i="106"/>
  <c r="D6675" i="106" s="1"/>
  <c r="B6676" i="106"/>
  <c r="D6676" i="106" s="1"/>
  <c r="B6677" i="106"/>
  <c r="D6677" i="106" s="1"/>
  <c r="B6678" i="106"/>
  <c r="D6678" i="106"/>
  <c r="B6679" i="106"/>
  <c r="D6679" i="106" s="1"/>
  <c r="B6680" i="106"/>
  <c r="D6680" i="106" s="1"/>
  <c r="B6681" i="106"/>
  <c r="D6681" i="106" s="1"/>
  <c r="B6682" i="106"/>
  <c r="D6682" i="106"/>
  <c r="B6683" i="106"/>
  <c r="D6683" i="106" s="1"/>
  <c r="B6684" i="106"/>
  <c r="D6684" i="106" s="1"/>
  <c r="B6685" i="106"/>
  <c r="D6685" i="106" s="1"/>
  <c r="B6686" i="106"/>
  <c r="D6686" i="106"/>
  <c r="B6687" i="106"/>
  <c r="D6687" i="106" s="1"/>
  <c r="B6688" i="106"/>
  <c r="D6688" i="106" s="1"/>
  <c r="B6689" i="106"/>
  <c r="D6689" i="106" s="1"/>
  <c r="B6690" i="106"/>
  <c r="D6690" i="106"/>
  <c r="B6691" i="106"/>
  <c r="D6691" i="106" s="1"/>
  <c r="B6692" i="106"/>
  <c r="D6692" i="106" s="1"/>
  <c r="B6693" i="106"/>
  <c r="D6693" i="106" s="1"/>
  <c r="B6694" i="106"/>
  <c r="D6694" i="106"/>
  <c r="B6695" i="106"/>
  <c r="D6695" i="106" s="1"/>
  <c r="B6696" i="106"/>
  <c r="D6696" i="106" s="1"/>
  <c r="B6697" i="106"/>
  <c r="D6697" i="106" s="1"/>
  <c r="B6698" i="106"/>
  <c r="D6698" i="106"/>
  <c r="B6699" i="106"/>
  <c r="D6699" i="106" s="1"/>
  <c r="B6700" i="106"/>
  <c r="D6700" i="106" s="1"/>
  <c r="B6701" i="106"/>
  <c r="D6701" i="106" s="1"/>
  <c r="B6702" i="106"/>
  <c r="D6702" i="106"/>
  <c r="B6703" i="106"/>
  <c r="D6703" i="106" s="1"/>
  <c r="B6704" i="106"/>
  <c r="D6704" i="106" s="1"/>
  <c r="B6705" i="106"/>
  <c r="D6705" i="106" s="1"/>
  <c r="B6706" i="106"/>
  <c r="D6706" i="106"/>
  <c r="B6707" i="106"/>
  <c r="D6707" i="106" s="1"/>
  <c r="B6708" i="106"/>
  <c r="D6708" i="106" s="1"/>
  <c r="B6709" i="106"/>
  <c r="D6709" i="106" s="1"/>
  <c r="B6710" i="106"/>
  <c r="D6710" i="106"/>
  <c r="B6711" i="106"/>
  <c r="D6711" i="106" s="1"/>
  <c r="B6712" i="106"/>
  <c r="D6712" i="106" s="1"/>
  <c r="B6713" i="106"/>
  <c r="D6713" i="106" s="1"/>
  <c r="B6714" i="106"/>
  <c r="D6714" i="106"/>
  <c r="B6715" i="106"/>
  <c r="D6715" i="106" s="1"/>
  <c r="B6716" i="106"/>
  <c r="D6716" i="106" s="1"/>
  <c r="B6717" i="106"/>
  <c r="D6717" i="106" s="1"/>
  <c r="B6718" i="106"/>
  <c r="D6718" i="106"/>
  <c r="B6719" i="106"/>
  <c r="D6719" i="106" s="1"/>
  <c r="B6720" i="106"/>
  <c r="D6720" i="106" s="1"/>
  <c r="B6721" i="106"/>
  <c r="D6721" i="106" s="1"/>
  <c r="B6722" i="106"/>
  <c r="D6722" i="106"/>
  <c r="B6723" i="106"/>
  <c r="D6723" i="106" s="1"/>
  <c r="B6724" i="106"/>
  <c r="D6724" i="106" s="1"/>
  <c r="B6725" i="106"/>
  <c r="D6725" i="106" s="1"/>
  <c r="B6726" i="106"/>
  <c r="D6726" i="106"/>
  <c r="B6727" i="106"/>
  <c r="D6727" i="106" s="1"/>
  <c r="B6728" i="106"/>
  <c r="D6728" i="106" s="1"/>
  <c r="B6729" i="106"/>
  <c r="D6729" i="106" s="1"/>
  <c r="B6730" i="106"/>
  <c r="D6730" i="106"/>
  <c r="B6731" i="106"/>
  <c r="D6731" i="106" s="1"/>
  <c r="B6732" i="106"/>
  <c r="D6732" i="106" s="1"/>
  <c r="B6733" i="106"/>
  <c r="D6733" i="106" s="1"/>
  <c r="B6734" i="106"/>
  <c r="D6734" i="106"/>
  <c r="B6735" i="106"/>
  <c r="D6735" i="106" s="1"/>
  <c r="B6736" i="106"/>
  <c r="D6736" i="106" s="1"/>
  <c r="B6737" i="106"/>
  <c r="D6737" i="106" s="1"/>
  <c r="B6738" i="106"/>
  <c r="D6738" i="106"/>
  <c r="B6739" i="106"/>
  <c r="D6739" i="106" s="1"/>
  <c r="B6740" i="106"/>
  <c r="D6740" i="106" s="1"/>
  <c r="B6741" i="106"/>
  <c r="D6741" i="106" s="1"/>
  <c r="B6742" i="106"/>
  <c r="D6742" i="106"/>
  <c r="B6743" i="106"/>
  <c r="D6743" i="106" s="1"/>
  <c r="B6744" i="106"/>
  <c r="D6744" i="106" s="1"/>
  <c r="B6745" i="106"/>
  <c r="D6745" i="106" s="1"/>
  <c r="B6746" i="106"/>
  <c r="D6746" i="106"/>
  <c r="B6747" i="106"/>
  <c r="D6747" i="106" s="1"/>
  <c r="B6748" i="106"/>
  <c r="D6748" i="106" s="1"/>
  <c r="B6749" i="106"/>
  <c r="D6749" i="106" s="1"/>
  <c r="B6750" i="106"/>
  <c r="D6750" i="106"/>
  <c r="B6751" i="106"/>
  <c r="D6751" i="106" s="1"/>
  <c r="B6752" i="106"/>
  <c r="D6752" i="106" s="1"/>
  <c r="B6753" i="106"/>
  <c r="D6753" i="106" s="1"/>
  <c r="B6754" i="106"/>
  <c r="D6754" i="106"/>
  <c r="B6755" i="106"/>
  <c r="D6755" i="106" s="1"/>
  <c r="B6756" i="106"/>
  <c r="D6756" i="106" s="1"/>
  <c r="B6757" i="106"/>
  <c r="D6757" i="106" s="1"/>
  <c r="B6758" i="106"/>
  <c r="D6758" i="106"/>
  <c r="B6759" i="106"/>
  <c r="D6759" i="106" s="1"/>
  <c r="B6760" i="106"/>
  <c r="D6760" i="106" s="1"/>
  <c r="B6761" i="106"/>
  <c r="D6761" i="106" s="1"/>
  <c r="B6762" i="106"/>
  <c r="D6762" i="106"/>
  <c r="B6763" i="106"/>
  <c r="D6763" i="106" s="1"/>
  <c r="B6764" i="106"/>
  <c r="D6764" i="106" s="1"/>
  <c r="B6765" i="106"/>
  <c r="D6765" i="106" s="1"/>
  <c r="B6766" i="106"/>
  <c r="D6766" i="106"/>
  <c r="B6767" i="106"/>
  <c r="D6767" i="106" s="1"/>
  <c r="B6768" i="106"/>
  <c r="D6768" i="106" s="1"/>
  <c r="B6769" i="106"/>
  <c r="D6769" i="106" s="1"/>
  <c r="B6770" i="106"/>
  <c r="D6770" i="106"/>
  <c r="B6771" i="106"/>
  <c r="D6771" i="106" s="1"/>
  <c r="B6772" i="106"/>
  <c r="D6772" i="106" s="1"/>
  <c r="B6773" i="106"/>
  <c r="D6773" i="106" s="1"/>
  <c r="B6774" i="106"/>
  <c r="D6774" i="106"/>
  <c r="B6775" i="106"/>
  <c r="D6775" i="106" s="1"/>
  <c r="B6776" i="106"/>
  <c r="D6776" i="106" s="1"/>
  <c r="B6777" i="106"/>
  <c r="D6777" i="106" s="1"/>
  <c r="B6778" i="106"/>
  <c r="D6778" i="106"/>
  <c r="B6779" i="106"/>
  <c r="D6779" i="106" s="1"/>
  <c r="B6780" i="106"/>
  <c r="D6780" i="106" s="1"/>
  <c r="B6781" i="106"/>
  <c r="D6781" i="106" s="1"/>
  <c r="B6782" i="106"/>
  <c r="D6782" i="106"/>
  <c r="B6783" i="106"/>
  <c r="D6783" i="106" s="1"/>
  <c r="B6784" i="106"/>
  <c r="D6784" i="106" s="1"/>
  <c r="B6785" i="106"/>
  <c r="D6785" i="106" s="1"/>
  <c r="B6786" i="106"/>
  <c r="D6786" i="106"/>
  <c r="B6787" i="106"/>
  <c r="D6787" i="106" s="1"/>
  <c r="B6788" i="106"/>
  <c r="D6788" i="106" s="1"/>
  <c r="B6789" i="106"/>
  <c r="D6789" i="106" s="1"/>
  <c r="B6790" i="106"/>
  <c r="D6790" i="106"/>
  <c r="B6791" i="106"/>
  <c r="D6791" i="106" s="1"/>
  <c r="B6792" i="106"/>
  <c r="D6792" i="106" s="1"/>
  <c r="B6793" i="106"/>
  <c r="D6793" i="106" s="1"/>
  <c r="B6794" i="106"/>
  <c r="D6794" i="106"/>
  <c r="B6795" i="106"/>
  <c r="D6795" i="106" s="1"/>
  <c r="B6796" i="106"/>
  <c r="D6796" i="106" s="1"/>
  <c r="B6797" i="106"/>
  <c r="D6797" i="106" s="1"/>
  <c r="B6798" i="106"/>
  <c r="D6798" i="106"/>
  <c r="B6799" i="106"/>
  <c r="D6799" i="106" s="1"/>
  <c r="B6800" i="106"/>
  <c r="D6800" i="106" s="1"/>
  <c r="B6801" i="106"/>
  <c r="D6801" i="106" s="1"/>
  <c r="B6802" i="106"/>
  <c r="D6802" i="106"/>
  <c r="B6803" i="106"/>
  <c r="D6803" i="106" s="1"/>
  <c r="B6804" i="106"/>
  <c r="D6804" i="106" s="1"/>
  <c r="B6805" i="106"/>
  <c r="D6805" i="106" s="1"/>
  <c r="B6806" i="106"/>
  <c r="D6806" i="106"/>
  <c r="B6807" i="106"/>
  <c r="D6807" i="106" s="1"/>
  <c r="B6808" i="106"/>
  <c r="D6808" i="106" s="1"/>
  <c r="B6809" i="106"/>
  <c r="D6809" i="106" s="1"/>
  <c r="B6810" i="106"/>
  <c r="D6810" i="106"/>
  <c r="B6811" i="106"/>
  <c r="D6811" i="106" s="1"/>
  <c r="B6812" i="106"/>
  <c r="D6812" i="106" s="1"/>
  <c r="B6813" i="106"/>
  <c r="D6813" i="106" s="1"/>
  <c r="B6814" i="106"/>
  <c r="D6814" i="106"/>
  <c r="B6815" i="106"/>
  <c r="D6815" i="106" s="1"/>
  <c r="B6816" i="106"/>
  <c r="D6816" i="106" s="1"/>
  <c r="B6817" i="106"/>
  <c r="D6817" i="106" s="1"/>
  <c r="B6818" i="106"/>
  <c r="D6818" i="106"/>
  <c r="B6819" i="106"/>
  <c r="D6819" i="106" s="1"/>
  <c r="B6820" i="106"/>
  <c r="D6820" i="106" s="1"/>
  <c r="B6821" i="106"/>
  <c r="D6821" i="106" s="1"/>
  <c r="B6822" i="106"/>
  <c r="D6822" i="106"/>
  <c r="B6823" i="106"/>
  <c r="D6823" i="106" s="1"/>
  <c r="B6824" i="106"/>
  <c r="D6824" i="106" s="1"/>
  <c r="B6825" i="106"/>
  <c r="D6825" i="106" s="1"/>
  <c r="B6826" i="106"/>
  <c r="D6826" i="106"/>
  <c r="B6827" i="106"/>
  <c r="D6827" i="106" s="1"/>
  <c r="B6828" i="106"/>
  <c r="D6828" i="106" s="1"/>
  <c r="B6829" i="106"/>
  <c r="D6829" i="106" s="1"/>
  <c r="B6830" i="106"/>
  <c r="D6830" i="106"/>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D26" i="108"/>
  <c r="E26" i="108"/>
  <c r="F26" i="108"/>
  <c r="G26" i="108"/>
  <c r="E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s="1"/>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F106" i="34" s="1"/>
  <c r="D140" i="5"/>
  <c r="B5383" i="106" s="1"/>
  <c r="D5383" i="106" s="1"/>
  <c r="G140" i="5"/>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c r="D5232" i="106" s="1"/>
  <c r="D184" i="5"/>
  <c r="B5425" i="106" s="1"/>
  <c r="D5425" i="106" s="1"/>
  <c r="F184" i="5"/>
  <c r="B5658" i="106" s="1"/>
  <c r="D5658" i="106" s="1"/>
  <c r="G184" i="5"/>
  <c r="B5784" i="106" s="1"/>
  <c r="D5784" i="106" s="1"/>
  <c r="H184" i="5"/>
  <c r="B5908" i="106"/>
  <c r="D5908" i="106" s="1"/>
  <c r="K184" i="5"/>
  <c r="B6016" i="106" s="1"/>
  <c r="D6016" i="106" s="1"/>
  <c r="B4395" i="106"/>
  <c r="D4395" i="106" s="1"/>
  <c r="D191" i="5"/>
  <c r="B4396" i="106"/>
  <c r="D4396" i="106" s="1"/>
  <c r="F191" i="5"/>
  <c r="G191" i="5"/>
  <c r="F128" i="34"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D4" i="7"/>
  <c r="B1760" i="106" s="1"/>
  <c r="D1760" i="106" s="1"/>
  <c r="D9" i="7"/>
  <c r="B1767" i="106" s="1"/>
  <c r="D1767" i="106" s="1"/>
  <c r="F127" i="34"/>
  <c r="B5847" i="106"/>
  <c r="D5847" i="106" s="1"/>
  <c r="B5752" i="106"/>
  <c r="D5752" i="106" s="1"/>
  <c r="K274" i="5"/>
  <c r="D7" i="7"/>
  <c r="B1763" i="106" s="1"/>
  <c r="D1763" i="106" s="1"/>
  <c r="B1746" i="106"/>
  <c r="D1746" i="106" s="1"/>
  <c r="D12" i="7"/>
  <c r="B1769" i="106" s="1"/>
  <c r="D1769" i="106" s="1"/>
  <c r="D11" i="7"/>
  <c r="B1768" i="106" s="1"/>
  <c r="D1768" i="106" s="1"/>
  <c r="D15" i="7"/>
  <c r="B1772" i="106" s="1"/>
  <c r="D1772" i="106" s="1"/>
  <c r="D109" i="5" l="1"/>
  <c r="B5356" i="106" s="1"/>
  <c r="D5356" i="106" s="1"/>
  <c r="H173" i="5"/>
  <c r="F111" i="34"/>
  <c r="F131" i="34"/>
  <c r="K28" i="118"/>
  <c r="O27" i="118" s="1"/>
  <c r="O29" i="118" s="1"/>
  <c r="B5161" i="106"/>
  <c r="D5161" i="106" s="1"/>
  <c r="F36" i="34"/>
  <c r="C129" i="29"/>
  <c r="B1225" i="106" s="1"/>
  <c r="D1225" i="106" s="1"/>
  <c r="K24" i="12"/>
  <c r="B7733" i="106" s="1"/>
  <c r="D7733" i="106" s="1"/>
  <c r="D17" i="7"/>
  <c r="B4104" i="106" s="1"/>
  <c r="D4104" i="106" s="1"/>
  <c r="D13" i="7"/>
  <c r="B3726" i="106" s="1"/>
  <c r="D3726" i="106" s="1"/>
  <c r="G172" i="5"/>
  <c r="G173" i="5" s="1"/>
  <c r="J41" i="3"/>
  <c r="H365" i="29"/>
  <c r="B7242" i="106" s="1"/>
  <c r="D7242" i="106" s="1"/>
  <c r="K76" i="4"/>
  <c r="B3586" i="106" s="1"/>
  <c r="D3586" i="106" s="1"/>
  <c r="F130" i="34"/>
  <c r="D5" i="7"/>
  <c r="B1761" i="106" s="1"/>
  <c r="D1761" i="106" s="1"/>
  <c r="D7245" i="106"/>
  <c r="D54" i="36"/>
  <c r="L13" i="11"/>
  <c r="B2060" i="106" s="1"/>
  <c r="D2060" i="106" s="1"/>
  <c r="K26" i="12"/>
  <c r="B7743" i="106" s="1"/>
  <c r="D7743" i="106" s="1"/>
  <c r="G109" i="5"/>
  <c r="B6024" i="106" s="1"/>
  <c r="D6024" i="106" s="1"/>
  <c r="F19" i="7"/>
  <c r="B1807" i="106" s="1"/>
  <c r="D1807" i="106" s="1"/>
  <c r="L312" i="29"/>
  <c r="B1308" i="106"/>
  <c r="D1308" i="106" s="1"/>
  <c r="E174" i="29"/>
  <c r="B1309" i="106" s="1"/>
  <c r="D1309" i="106" s="1"/>
  <c r="E15" i="145"/>
  <c r="G15" i="145" s="1"/>
  <c r="B1126" i="106"/>
  <c r="D1126" i="106" s="1"/>
  <c r="E109" i="5"/>
  <c r="E4" i="4" s="1"/>
  <c r="B2630" i="106" s="1"/>
  <c r="D2630" i="106" s="1"/>
  <c r="L367" i="29"/>
  <c r="F77" i="4"/>
  <c r="B3255" i="106" s="1"/>
  <c r="D3255" i="106" s="1"/>
  <c r="B1364" i="106"/>
  <c r="D1364" i="106" s="1"/>
  <c r="G210" i="29"/>
  <c r="F136" i="34"/>
  <c r="B7041" i="106"/>
  <c r="D7041" i="106" s="1"/>
  <c r="K173" i="5"/>
  <c r="K6" i="4" s="1"/>
  <c r="B3570" i="106" s="1"/>
  <c r="D3570" i="106" s="1"/>
  <c r="F172" i="5"/>
  <c r="B5644" i="106" s="1"/>
  <c r="D5644" i="106" s="1"/>
  <c r="L342" i="29"/>
  <c r="B3565" i="106"/>
  <c r="D3565" i="106" s="1"/>
  <c r="K41" i="3"/>
  <c r="H44" i="4"/>
  <c r="B6289" i="106"/>
  <c r="D6289" i="106" s="1"/>
  <c r="G5" i="4"/>
  <c r="B3409" i="106" s="1"/>
  <c r="D3409" i="106" s="1"/>
  <c r="B7235" i="106"/>
  <c r="D7235" i="106" s="1"/>
  <c r="J77" i="4"/>
  <c r="B6262" i="106" s="1"/>
  <c r="D6262" i="106" s="1"/>
  <c r="G352" i="29"/>
  <c r="G367" i="29" s="1"/>
  <c r="B3650" i="106" s="1"/>
  <c r="D3650" i="106" s="1"/>
  <c r="B3647" i="106"/>
  <c r="D3647" i="106" s="1"/>
  <c r="B3619" i="106"/>
  <c r="D3619" i="106" s="1"/>
  <c r="C352" i="29"/>
  <c r="B3454" i="106"/>
  <c r="D3454" i="106" s="1"/>
  <c r="L15" i="11"/>
  <c r="B3459" i="106" s="1"/>
  <c r="D3459" i="106" s="1"/>
  <c r="B3170" i="106"/>
  <c r="D3170" i="106" s="1"/>
  <c r="H76" i="4"/>
  <c r="B3298" i="106" s="1"/>
  <c r="D3298" i="106" s="1"/>
  <c r="D6103" i="106"/>
  <c r="K285" i="29"/>
  <c r="B3724" i="106" s="1"/>
  <c r="D3724" i="106" s="1"/>
  <c r="F21" i="8"/>
  <c r="D27" i="108"/>
  <c r="C172" i="5"/>
  <c r="B5214" i="106" s="1"/>
  <c r="D5214" i="106" s="1"/>
  <c r="C109" i="5"/>
  <c r="B5121" i="106" s="1"/>
  <c r="D5121" i="106" s="1"/>
  <c r="B1329" i="106"/>
  <c r="D1329" i="106" s="1"/>
  <c r="F61" i="34"/>
  <c r="D4" i="4"/>
  <c r="B2564" i="106" s="1"/>
  <c r="D2564" i="106" s="1"/>
  <c r="B1410" i="106"/>
  <c r="D1410" i="106" s="1"/>
  <c r="K184" i="29"/>
  <c r="F13" i="4" s="1"/>
  <c r="B2596" i="106" s="1"/>
  <c r="D2596" i="106" s="1"/>
  <c r="K350" i="29"/>
  <c r="B3649" i="106"/>
  <c r="D3649" i="106" s="1"/>
  <c r="C342" i="29"/>
  <c r="B7216" i="106" s="1"/>
  <c r="D7216" i="106" s="1"/>
  <c r="H109" i="5"/>
  <c r="B6025" i="106" s="1"/>
  <c r="D6025"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5778" i="106" l="1"/>
  <c r="D5778" i="106" s="1"/>
  <c r="G6" i="4"/>
  <c r="B2604" i="106" s="1"/>
  <c r="D2604" i="106" s="1"/>
  <c r="D7254" i="106"/>
  <c r="B5653" i="106"/>
  <c r="D5653" i="106" s="1"/>
  <c r="C151" i="29"/>
  <c r="B1226" i="106" s="1"/>
  <c r="D1226" i="106" s="1"/>
  <c r="D7256" i="106"/>
  <c r="D7251" i="106"/>
  <c r="B5770" i="106"/>
  <c r="D5770" i="106" s="1"/>
  <c r="B5906" i="106"/>
  <c r="D5906" i="106" s="1"/>
  <c r="H6" i="4"/>
  <c r="B2656" i="106" s="1"/>
  <c r="D2656" i="106" s="1"/>
  <c r="D7253" i="106"/>
  <c r="F274" i="5"/>
  <c r="L16" i="11"/>
  <c r="B2061" i="106" s="1"/>
  <c r="D2061" i="106" s="1"/>
  <c r="G4" i="4"/>
  <c r="B2603" i="106" s="1"/>
  <c r="D2603" i="106" s="1"/>
  <c r="L114" i="29"/>
  <c r="B3621" i="106"/>
  <c r="D3621" i="106" s="1"/>
  <c r="C367" i="29"/>
  <c r="B3622" i="106" s="1"/>
  <c r="D3622" i="106" s="1"/>
  <c r="B1365" i="106"/>
  <c r="D1365" i="106" s="1"/>
  <c r="F65" i="34"/>
  <c r="B1879" i="106"/>
  <c r="D1879" i="106" s="1"/>
  <c r="H22" i="37"/>
  <c r="B3568" i="106"/>
  <c r="D3568" i="106" s="1"/>
  <c r="D52" i="36"/>
  <c r="F73" i="34"/>
  <c r="G15" i="4"/>
  <c r="B6032" i="106" s="1"/>
  <c r="D6032" i="106" s="1"/>
  <c r="D7255" i="106"/>
  <c r="D7252" i="106"/>
  <c r="H367" i="29"/>
  <c r="B3660" i="106" s="1"/>
  <c r="D3660" i="106" s="1"/>
  <c r="C114" i="29"/>
  <c r="B757" i="106" s="1"/>
  <c r="D757" i="106" s="1"/>
  <c r="C173" i="5"/>
  <c r="C4" i="4"/>
  <c r="B2551" i="106" s="1"/>
  <c r="D2551" i="106" s="1"/>
  <c r="F275" i="5"/>
  <c r="B3670" i="106"/>
  <c r="D3670" i="106" s="1"/>
  <c r="K352" i="29"/>
  <c r="K342" i="29"/>
  <c r="F13" i="34" s="1"/>
  <c r="D19" i="7"/>
  <c r="B1775" i="106" s="1"/>
  <c r="D1775" i="106" s="1"/>
  <c r="H4" i="4"/>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5223" i="106" l="1"/>
  <c r="D5223" i="106" s="1"/>
  <c r="C6" i="4"/>
  <c r="B2553" i="106" s="1"/>
  <c r="D2553" i="106" s="1"/>
  <c r="G41" i="108"/>
  <c r="G44" i="108" s="1"/>
  <c r="G45" i="108" s="1"/>
  <c r="E41" i="108"/>
  <c r="E44" i="108" s="1"/>
  <c r="E45" i="108" s="1"/>
  <c r="F8" i="4"/>
  <c r="K13" i="4"/>
  <c r="B3572" i="106" s="1"/>
  <c r="D3572" i="106" s="1"/>
  <c r="B3672" i="106"/>
  <c r="D3672" i="106" s="1"/>
  <c r="K367" i="29"/>
  <c r="J8" i="4"/>
  <c r="B2655" i="106"/>
  <c r="D2655" i="106" s="1"/>
  <c r="H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<sst xmlns="http://schemas.openxmlformats.org/spreadsheetml/2006/main" count="5069" uniqueCount="2133">
  <si>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</si>
  <si>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</si>
  <si>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</si>
  <si>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</si>
  <si>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</si>
  <si>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</si>
  <si>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</si>
  <si>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</si>
  <si>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</si>
  <si>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</si>
  <si>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</si>
  <si>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</si>
  <si>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</si>
  <si>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</si>
  <si>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</si>
  <si>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</si>
  <si>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</si>
  <si>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</si>
  <si>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</si>
  <si>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</si>
  <si>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</si>
  <si>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</si>
  <si>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</si>
  <si>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</si>
  <si>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</si>
  <si>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</si>
  <si>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</si>
  <si>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</si>
  <si>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</si>
  <si>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</si>
  <si>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</si>
  <si>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</si>
  <si>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</si>
  <si>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</si>
  <si>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</si>
  <si>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</si>
  <si>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</si>
  <si>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</si>
  <si>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</si>
  <si>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</si>
  <si>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</si>
  <si>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</si>
  <si>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</si>
  <si>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</si>
  <si>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</si>
  <si>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</si>
  <si>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</si>
  <si>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</si>
  <si>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</si>
  <si>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</si>
  <si>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</si>
  <si>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</si>
  <si>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</si>
  <si>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</si>
  <si>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</si>
  <si>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</si>
  <si>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</si>
  <si>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</si>
  <si>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</si>
  <si>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</si>
  <si>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</si>
  <si>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</si>
  <si>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</si>
  <si>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</si>
  <si>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</si>
  <si>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</si>
  <si>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</si>
  <si>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</si>
  <si>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</si>
  <si>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</si>
  <si>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</si>
  <si>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</si>
  <si>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</si>
  <si>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</si>
  <si>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</si>
  <si>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</si>
  <si>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</si>
  <si>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</si>
  <si>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</si>
  <si>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</si>
  <si>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</si>
  <si>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</si>
  <si>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</si>
  <si>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</si>
  <si>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</si>
  <si>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</si>
  <si>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</si>
  <si>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</si>
  <si>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</si>
  <si>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</si>
  <si>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</si>
  <si>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</si>
  <si>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</si>
  <si>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</si>
  <si>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</si>
  <si>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</si>
  <si>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</si>
  <si>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</si>
  <si>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</si>
  <si>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</si>
  <si>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</si>
  <si>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</si>
  <si>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</si>
  <si>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</si>
  <si>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</si>
  <si>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</si>
  <si>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</si>
  <si>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</si>
  <si>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</si>
  <si>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</si>
  <si>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</si>
  <si>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</si>
  <si>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</si>
  <si>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</si>
  <si>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</si>
  <si>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</si>
  <si>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</si>
  <si>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</si>
  <si>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</si>
  <si>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</si>
  <si>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</si>
  <si>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</si>
  <si>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</si>
  <si>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</si>
  <si>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</si>
  <si>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</si>
  <si>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</si>
  <si>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</si>
  <si>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</si>
  <si>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</si>
  <si>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</si>
  <si>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</si>
  <si>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</si>
  <si>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</si>
  <si>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</si>
  <si>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</si>
  <si>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</si>
  <si>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</si>
  <si>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</si>
  <si>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</si>
  <si>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</si>
  <si>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</si>
  <si>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</si>
  <si>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</si>
  <si>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</si>
  <si>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</si>
  <si>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</si>
  <si>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</si>
  <si>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</si>
  <si>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</si>
  <si>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</si>
  <si>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</si>
  <si>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</si>
  <si>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</si>
  <si>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</si>
  <si>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</si>
  <si>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</si>
  <si>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</si>
  <si>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</si>
  <si>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</si>
  <si>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</si>
  <si>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</si>
  <si>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</si>
  <si>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</si>
  <si>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</si>
  <si>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</si>
  <si>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</si>
  <si>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</si>
  <si>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</si>
  <si>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</si>
  <si>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</si>
  <si>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</si>
  <si>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</si>
  <si>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</si>
  <si>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</si>
  <si>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</si>
  <si>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</si>
  <si>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</si>
  <si>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</si>
  <si>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</si>
  <si>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</si>
  <si>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</si>
  <si>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</si>
  <si>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</si>
  <si>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</si>
  <si>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</si>
  <si>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</si>
  <si>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</si>
  <si>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</si>
  <si>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</si>
  <si>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</si>
  <si>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</si>
  <si>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</si>
  <si>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</si>
  <si>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</si>
  <si>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</si>
  <si>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</si>
  <si>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</si>
  <si>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</si>
  <si>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</si>
  <si>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</si>
  <si>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</si>
  <si>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</si>
  <si>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</si>
  <si>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</si>
  <si>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</si>
  <si>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</si>
  <si>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</si>
  <si>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</si>
  <si>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</si>
  <si>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</si>
  <si>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</si>
  <si>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</si>
  <si>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</si>
  <si>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</si>
  <si>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</si>
  <si>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</si>
  <si>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</si>
  <si>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</si>
  <si>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</si>
  <si>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</si>
  <si>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</si>
  <si>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</si>
  <si>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</si>
  <si>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</si>
  <si>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</si>
  <si>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</si>
  <si>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</si>
  <si>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</si>
  <si>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</si>
  <si>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</si>
  <si>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</si>
  <si>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</si>
  <si>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</si>
  <si>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</si>
  <si>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</si>
  <si>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</si>
  <si>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</si>
  <si>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</si>
  <si>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</si>
  <si>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</si>
  <si>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</si>
  <si>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</si>
  <si>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</si>
  <si>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</si>
  <si>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</si>
  <si>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</si>
  <si>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</si>
  <si>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</si>
  <si>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</si>
  <si>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</si>
  <si>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</si>
  <si>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</si>
  <si>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</si>
  <si>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</si>
  <si>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</si>
  <si>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</si>
  <si>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</si>
  <si>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</si>
  <si>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</si>
  <si>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</si>
  <si>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</si>
  <si>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</si>
  <si>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</si>
  <si>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</si>
  <si>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</si>
  <si>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</si>
  <si>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</si>
  <si>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</si>
  <si>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</si>
  <si>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</si>
  <si>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</si>
  <si>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</si>
  <si>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</si>
  <si>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</si>
  <si>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</si>
  <si>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</si>
  <si>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</si>
  <si>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</si>
  <si>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</si>
  <si>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</si>
  <si>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</si>
  <si>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</si>
  <si>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</si>
  <si>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</si>
  <si>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</si>
  <si>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</si>
  <si>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</si>
  <si>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</si>
  <si>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</si>
  <si>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</si>
  <si>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</si>
  <si>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</si>
  <si>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</si>
  <si>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</si>
  <si>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</si>
  <si>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</si>
  <si>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</si>
  <si>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</si>
  <si>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</si>
  <si>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</si>
  <si>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</si>
  <si>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</si>
  <si>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</si>
  <si>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</si>
  <si>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</si>
  <si>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</si>
  <si>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</si>
  <si>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</si>
  <si>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</si>
  <si>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</si>
  <si>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</si>
  <si>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</si>
  <si>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</si>
  <si>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</si>
  <si>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</si>
  <si>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</si>
  <si>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</si>
  <si>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</si>
  <si>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</si>
  <si>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</si>
  <si>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</si>
  <si>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</si>
  <si>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</si>
  <si>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</si>
  <si>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</si>
  <si>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</si>
  <si>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</si>
  <si>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</si>
  <si>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</si>
  <si>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</si>
  <si>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</si>
  <si>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</si>
  <si>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</si>
  <si>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</si>
  <si>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</si>
  <si>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</si>
  <si>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</si>
  <si>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</si>
  <si>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</si>
  <si>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</si>
  <si>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</si>
  <si>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</si>
  <si>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</si>
  <si>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</si>
  <si>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</si>
  <si>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</si>
  <si>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</si>
  <si>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</si>
  <si>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</si>
  <si>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</si>
  <si>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</si>
  <si>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</si>
  <si>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</si>
  <si>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</si>
  <si>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</si>
  <si>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</si>
  <si>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</si>
  <si>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</si>
  <si>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</si>
  <si>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</si>
  <si>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</si>
  <si>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</si>
  <si>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</si>
  <si>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</si>
  <si>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</si>
  <si>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</si>
  <si>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</si>
  <si>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</si>
  <si>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</si>
  <si>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</si>
  <si>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</si>
  <si>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</si>
  <si>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</si>
  <si>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</si>
  <si>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</si>
  <si>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</si>
  <si>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</si>
  <si>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</si>
  <si>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</si>
  <si>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</si>
  <si>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</si>
  <si>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</si>
  <si>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</si>
  <si>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</si>
  <si>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</si>
  <si>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</si>
  <si>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</si>
  <si>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</si>
  <si>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</si>
  <si>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</si>
  <si>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</si>
  <si>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</si>
  <si>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</si>
  <si>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</si>
  <si>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</si>
  <si>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</si>
  <si>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</si>
  <si>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</si>
  <si>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</si>
  <si>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</si>
  <si>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</si>
  <si>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</si>
  <si>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</si>
  <si>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</si>
  <si>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</si>
  <si>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</si>
  <si>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</si>
  <si>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</si>
  <si>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</si>
  <si>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</si>
  <si>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</si>
  <si>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</si>
  <si>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</si>
  <si>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</si>
  <si>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</si>
  <si>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</si>
  <si>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</si>
  <si>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</si>
  <si>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</si>
  <si>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</si>
  <si>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</si>
  <si>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</si>
  <si>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</si>
  <si>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</si>
  <si>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</si>
  <si>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</si>
  <si>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</si>
  <si>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</si>
  <si>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</si>
  <si>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</si>
  <si>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</si>
  <si>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</si>
  <si>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</si>
  <si>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</si>
  <si>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</si>
  <si>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</si>
  <si>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</si>
  <si>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</si>
  <si>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</si>
  <si>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</si>
  <si>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</si>
  <si>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</si>
  <si>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</si>
  <si>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</si>
  <si>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</si>
  <si>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</si>
  <si>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</si>
  <si>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</si>
  <si>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</si>
  <si>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</si>
  <si>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</si>
  <si>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</si>
  <si>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</si>
  <si>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</si>
  <si>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</si>
  <si>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</si>
  <si>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</si>
  <si>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</si>
  <si>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</si>
  <si>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</si>
  <si>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</si>
  <si>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</si>
  <si>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</si>
  <si>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</si>
  <si>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</si>
  <si>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</si>
  <si>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</si>
  <si>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</si>
  <si>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</si>
  <si>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</si>
  <si>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</si>
  <si>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</si>
  <si>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</si>
  <si>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</si>
  <si>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</si>
  <si>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</si>
  <si>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</si>
  <si>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</si>
  <si>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</si>
  <si>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</si>
  <si>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</si>
  <si>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</si>
  <si>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</si>
  <si>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</si>
  <si>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</si>
  <si>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</si>
  <si>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</si>
  <si>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</si>
  <si>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</si>
  <si>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</si>
  <si>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</si>
  <si>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</si>
  <si>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</si>
  <si>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</si>
  <si>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</si>
  <si>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</si>
  <si>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</si>
  <si>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</si>
  <si>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</si>
  <si>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</si>
  <si>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</si>
  <si>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</si>
  <si>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</si>
  <si>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</si>
  <si>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</si>
  <si>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</si>
  <si>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</si>
  <si>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</si>
  <si>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</si>
  <si>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</si>
  <si>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</si>
  <si>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</si>
  <si>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</si>
  <si>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</si>
  <si>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</si>
  <si>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</si>
  <si>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</si>
  <si>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</si>
  <si>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</si>
  <si>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</si>
  <si>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</si>
  <si>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</si>
  <si>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</si>
  <si>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</si>
  <si>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</si>
  <si>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</si>
  <si>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</si>
  <si>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</si>
  <si>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</si>
  <si>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</si>
  <si>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</si>
  <si>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</si>
  <si>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</si>
  <si>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</si>
  <si>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</si>
  <si>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</si>
  <si>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</si>
  <si>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</si>
  <si>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</si>
  <si>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</si>
  <si>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</si>
  <si>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</si>
  <si>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</si>
  <si>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</si>
  <si>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</si>
  <si>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</si>
  <si>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</si>
  <si>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</si>
  <si>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</si>
  <si>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</si>
  <si>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</si>
  <si>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</si>
  <si>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</si>
  <si>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</si>
  <si>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</si>
  <si>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</si>
  <si>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</si>
  <si>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</si>
  <si>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</si>
  <si>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</si>
  <si>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</si>
  <si>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</si>
  <si>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</si>
  <si>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</si>
  <si>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</si>
  <si>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</si>
  <si>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</si>
  <si>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</si>
  <si>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</si>
  <si>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</si>
  <si>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</si>
  <si>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</si>
  <si>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</si>
  <si>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</si>
  <si>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</si>
  <si>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</si>
  <si>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</si>
  <si>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</si>
  <si>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</si>
  <si>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</si>
  <si>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</si>
  <si>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</si>
  <si>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</si>
  <si>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</si>
  <si>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</si>
  <si>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</si>
  <si>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</si>
  <si>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</si>
  <si>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</si>
  <si>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</si>
  <si>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</si>
  <si>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</si>
  <si>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</si>
  <si>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</si>
  <si>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</si>
  <si>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</si>
  <si>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</si>
  <si>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</si>
  <si>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</si>
  <si>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</si>
  <si>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</si>
  <si>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</si>
  <si>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</si>
  <si>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</si>
  <si>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</si>
  <si>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</si>
  <si>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</si>
  <si>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</si>
  <si>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</si>
  <si>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</si>
  <si>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</si>
  <si>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</si>
  <si>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</si>
  <si>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</si>
  <si>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</si>
  <si>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</si>
  <si>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</si>
  <si>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</si>
  <si>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</si>
  <si>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</si>
  <si>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</si>
  <si>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</si>
  <si>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</si>
  <si>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</si>
  <si>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</si>
  <si>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</si>
  <si>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</si>
  <si>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</si>
  <si>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</si>
  <si>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</si>
  <si>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</si>
  <si>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</si>
  <si>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</si>
  <si>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</si>
  <si>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</si>
  <si>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</si>
  <si>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</si>
  <si>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</si>
  <si>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</si>
  <si>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</si>
  <si>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</si>
  <si>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</si>
  <si>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</si>
  <si>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</si>
  <si>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</si>
  <si>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</si>
  <si>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</si>
  <si>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</si>
  <si>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</si>
  <si>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</si>
  <si>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</si>
  <si>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</si>
  <si>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</si>
  <si>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</si>
  <si>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</si>
  <si>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</si>
  <si>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</si>
  <si>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</si>
  <si>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</si>
  <si>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</si>
  <si>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</si>
  <si>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</si>
  <si>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</si>
  <si>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</si>
  <si>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</si>
  <si>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</si>
  <si>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</si>
  <si>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</si>
  <si>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</si>
  <si>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</si>
  <si>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</si>
  <si>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</si>
  <si>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</si>
  <si>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</si>
  <si>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</si>
  <si>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</si>
  <si>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</si>
  <si>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</si>
  <si>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</si>
  <si>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</si>
  <si>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</si>
  <si>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</si>
  <si>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</si>
  <si>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</si>
  <si>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</si>
  <si>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</si>
  <si>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</si>
  <si>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</si>
  <si>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</si>
  <si>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</si>
  <si>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</si>
  <si>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</si>
  <si>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</si>
  <si>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</si>
  <si>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</si>
  <si>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</si>
  <si>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</si>
  <si>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</si>
  <si>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</si>
  <si>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</si>
  <si>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</si>
  <si>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</si>
  <si>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</si>
  <si>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</si>
  <si>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</si>
  <si>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</si>
  <si>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</si>
  <si>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</si>
  <si>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</si>
  <si>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</si>
  <si>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</si>
  <si>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</si>
  <si>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</si>
  <si>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</si>
  <si>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</si>
  <si>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</si>
  <si>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</si>
  <si>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</si>
  <si>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</si>
  <si>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</si>
  <si>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</si>
  <si>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</si>
  <si>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</si>
  <si>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</si>
  <si>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</si>
  <si>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</si>
  <si>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</si>
  <si>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</si>
  <si>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</si>
  <si>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</si>
  <si>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</si>
  <si>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</si>
  <si>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</si>
  <si>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</si>
  <si>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</si>
  <si>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</si>
  <si>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</si>
  <si>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</si>
  <si>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</si>
  <si>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</si>
  <si>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</si>
  <si>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</si>
  <si>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</si>
  <si>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</si>
  <si>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</si>
  <si>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</si>
  <si>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</si>
  <si>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</si>
  <si>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</si>
  <si>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</si>
  <si>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</si>
  <si>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</si>
  <si>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</si>
  <si>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</si>
  <si>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</si>
  <si>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</si>
  <si>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</si>
  <si>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</si>
  <si>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</si>
  <si>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</si>
  <si>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</si>
  <si>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</si>
  <si>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</si>
  <si>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</si>
  <si>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</si>
  <si>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</si>
  <si>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</si>
  <si>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</si>
  <si>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</si>
  <si>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</si>
  <si>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</si>
  <si>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</si>
  <si>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</si>
  <si>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</si>
  <si>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</si>
  <si>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</si>
  <si>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</si>
  <si>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</si>
  <si>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</si>
  <si>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</si>
  <si>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</si>
  <si>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</si>
  <si>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</si>
  <si>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</si>
  <si>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</si>
  <si>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</si>
  <si>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</si>
  <si>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</si>
  <si>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</si>
  <si>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</si>
  <si>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</si>
  <si>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</si>
  <si>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</si>
  <si>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</si>
  <si>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</si>
  <si>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</si>
  <si>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</si>
  <si>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</si>
  <si>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</si>
  <si>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</si>
  <si>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</si>
  <si>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</si>
  <si>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</si>
  <si>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</si>
  <si>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</si>
  <si>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</si>
  <si>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</si>
  <si>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</si>
  <si>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</si>
  <si>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</si>
  <si>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</si>
  <si>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</si>
  <si>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</si>
  <si>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</si>
  <si>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</si>
  <si>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</si>
  <si>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</si>
  <si>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</si>
  <si>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</si>
  <si>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</si>
  <si>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</si>
  <si>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</si>
  <si>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</si>
  <si>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</si>
  <si>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</si>
  <si>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</si>
  <si>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</si>
  <si>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</si>
  <si>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</si>
  <si>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</si>
  <si>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</si>
  <si>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</si>
  <si>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</si>
  <si>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</si>
  <si>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</si>
  <si>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</si>
  <si>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</si>
  <si>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</si>
  <si>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</si>
  <si>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</si>
  <si>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</si>
  <si>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</si>
  <si>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</si>
  <si>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</si>
  <si>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</si>
  <si>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</si>
  <si>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</si>
  <si>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</si>
  <si>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</si>
  <si>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</si>
  <si>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</si>
  <si>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</si>
  <si>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</si>
  <si>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</si>
  <si>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</si>
  <si>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</si>
  <si>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</si>
  <si>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</si>
  <si>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</si>
  <si>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</si>
  <si>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</si>
  <si>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</si>
  <si>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</si>
  <si>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</si>
  <si>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</si>
  <si>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</si>
  <si>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</si>
  <si>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</si>
  <si>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</si>
  <si>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</si>
  <si>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</si>
  <si>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</si>
  <si>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</si>
  <si>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</si>
  <si>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</si>
  <si>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</si>
  <si>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</si>
  <si>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</si>
  <si>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</si>
  <si>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</si>
  <si>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</si>
  <si>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</si>
  <si>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</si>
  <si>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</si>
  <si>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</si>
  <si>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</si>
  <si>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</si>
  <si>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</si>
  <si>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</si>
  <si>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</si>
  <si>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</si>
  <si>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</si>
  <si>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</si>
  <si>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</si>
  <si>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</si>
  <si>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</si>
  <si>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</si>
  <si>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</si>
  <si>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</si>
  <si>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</si>
  <si>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</si>
  <si>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</si>
  <si>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</si>
  <si>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</si>
  <si>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</si>
  <si>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</si>
  <si>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</si>
  <si>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</si>
  <si>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</si>
  <si>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</si>
  <si>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</si>
  <si>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</si>
  <si>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</si>
  <si>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</si>
  <si>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</si>
  <si>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</si>
  <si>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</si>
  <si>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</si>
  <si>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</si>
  <si>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</si>
  <si>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</si>
  <si>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</si>
  <si>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</si>
  <si>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</si>
  <si>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</si>
  <si>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</si>
  <si>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</si>
  <si>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</si>
  <si>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</si>
  <si>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</si>
  <si>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</si>
  <si>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</si>
  <si>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</si>
  <si>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</si>
  <si>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</si>
  <si>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</si>
  <si>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</si>
  <si>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</si>
  <si>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</si>
  <si>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</si>
  <si>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</si>
  <si>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</si>
  <si>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</si>
  <si>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</si>
  <si>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</si>
  <si>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</si>
  <si>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</si>
  <si>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</si>
  <si>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</si>
  <si>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</si>
  <si>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</si>
  <si>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</si>
  <si>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</si>
  <si>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</si>
  <si>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</si>
  <si>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</si>
  <si>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</si>
  <si>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</si>
  <si>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</si>
  <si>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</si>
  <si>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</si>
  <si>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</si>
  <si>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</si>
  <si>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</si>
  <si>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</si>
  <si>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</si>
  <si>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</si>
  <si>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</si>
  <si>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</si>
  <si>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</si>
  <si>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</si>
  <si>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</si>
  <si>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</si>
  <si>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</si>
  <si>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</si>
  <si>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</si>
  <si>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</si>
  <si>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</si>
  <si>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</si>
  <si>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</si>
  <si>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</si>
  <si>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</si>
  <si>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</si>
  <si>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</si>
  <si>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</si>
  <si>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</si>
  <si>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</si>
  <si>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</si>
  <si>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</si>
  <si>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</si>
  <si>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</si>
  <si>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</si>
  <si>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</si>
  <si>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</si>
  <si>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</si>
  <si>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</si>
  <si>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</si>
  <si>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</si>
  <si>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</si>
  <si>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</si>
  <si>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</si>
  <si>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</si>
  <si>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</si>
  <si>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</si>
  <si>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</si>
  <si>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</si>
  <si>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</si>
  <si>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</si>
  <si>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</si>
  <si>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</si>
  <si>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</si>
  <si>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</si>
  <si>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</si>
  <si>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</si>
  <si>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</si>
  <si>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</si>
  <si>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</si>
  <si>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</si>
  <si>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</si>
  <si>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</si>
  <si>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</si>
  <si>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</si>
  <si>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</si>
  <si>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</si>
  <si>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</si>
  <si>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</si>
  <si>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</si>
  <si>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</si>
  <si>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</si>
  <si>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</si>
  <si>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</si>
  <si>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</si>
  <si>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</si>
  <si>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</si>
  <si>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</si>
  <si>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</si>
  <si>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</si>
  <si>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</si>
  <si>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</si>
  <si>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</si>
  <si>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</si>
  <si>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</si>
  <si>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</si>
  <si>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</si>
  <si>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</si>
  <si>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</si>
  <si>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</si>
  <si>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</si>
  <si>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</si>
  <si>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</si>
  <si>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</si>
  <si>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</si>
  <si>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</si>
  <si>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</si>
  <si>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</si>
  <si>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</si>
  <si>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</si>
  <si>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</si>
  <si>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</si>
  <si>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</si>
  <si>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</si>
  <si>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</si>
  <si>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</si>
  <si>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</si>
  <si>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</si>
  <si>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</si>
  <si>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</si>
  <si>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</si>
  <si>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</si>
  <si>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</si>
  <si>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</si>
  <si>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</si>
  <si>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</si>
  <si>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</si>
  <si>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</si>
  <si>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</si>
  <si>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</si>
  <si>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</si>
  <si>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</si>
  <si>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</si>
  <si>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</si>
  <si>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</si>
  <si>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</si>
  <si>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</si>
  <si>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</si>
  <si>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</si>
  <si>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</si>
  <si>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</si>
  <si>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</si>
  <si>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</si>
  <si>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</si>
  <si>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</si>
  <si>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</si>
  <si>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</si>
  <si>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</si>
  <si>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</si>
  <si>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</si>
  <si>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</si>
  <si>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</si>
  <si>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</si>
  <si>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</si>
  <si>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</si>
  <si>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</si>
  <si>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</si>
  <si>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</si>
  <si>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</si>
  <si>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</si>
  <si>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</si>
  <si>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</si>
  <si>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</si>
  <si>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</si>
  <si>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</si>
  <si>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</si>
  <si>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</si>
  <si>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</si>
  <si>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</si>
  <si>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</si>
  <si>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</si>
  <si>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</si>
  <si>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</si>
  <si>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</si>
  <si>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</si>
  <si>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</si>
  <si>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</si>
  <si>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</si>
  <si>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</si>
  <si>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</si>
  <si>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</si>
  <si>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</si>
  <si>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</si>
  <si>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</si>
  <si>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</si>
  <si>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</si>
  <si>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</si>
  <si>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</si>
  <si>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</si>
  <si>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</si>
  <si>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</si>
  <si>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</si>
  <si>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</si>
  <si>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</si>
  <si>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</si>
  <si>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</si>
  <si>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</si>
  <si>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</si>
  <si>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</si>
  <si>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</si>
  <si>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</si>
  <si>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</si>
  <si>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</si>
  <si>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</si>
  <si>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</si>
  <si>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</si>
  <si>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</si>
  <si>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</si>
  <si>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</si>
  <si>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</si>
  <si>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</si>
  <si>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</si>
  <si>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</si>
  <si>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</si>
  <si>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</si>
  <si>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</si>
  <si>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</si>
  <si>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</si>
  <si>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</si>
  <si>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</si>
  <si>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</si>
  <si>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</si>
  <si>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</si>
  <si>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</si>
  <si>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</si>
  <si>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</si>
  <si>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</si>
  <si>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</si>
  <si>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</si>
  <si>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</si>
  <si>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</si>
  <si>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</si>
  <si>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</si>
  <si>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</si>
  <si>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</si>
  <si>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</si>
  <si>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</si>
  <si>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</si>
  <si>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</si>
  <si>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</si>
  <si>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</si>
  <si>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</si>
  <si>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</si>
  <si>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</si>
  <si>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</si>
  <si>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</si>
  <si>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</si>
  <si>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</si>
  <si>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</si>
  <si>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</si>
  <si>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</si>
  <si>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</si>
  <si>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</si>
  <si>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</si>
  <si>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</si>
  <si>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</si>
  <si>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</si>
  <si>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</si>
  <si>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</si>
  <si>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</si>
  <si>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</si>
  <si>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</si>
  <si>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</si>
  <si>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</si>
  <si>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</si>
  <si>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</si>
  <si>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</si>
  <si>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</si>
  <si>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</si>
  <si>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</si>
  <si>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</si>
  <si>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</si>
  <si>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</si>
  <si>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</si>
  <si>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</si>
  <si>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</si>
  <si>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</si>
  <si>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</si>
  <si>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</si>
  <si>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</si>
  <si>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</si>
  <si>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</si>
  <si>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</si>
  <si>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</si>
  <si>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</si>
  <si>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</si>
  <si>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</si>
  <si>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</si>
  <si>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</si>
  <si>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</si>
  <si>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</si>
  <si>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</si>
  <si>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</si>
  <si>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</si>
  <si>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</si>
  <si>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</si>
  <si>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</si>
  <si>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</si>
  <si>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</si>
  <si>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</si>
  <si>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</si>
  <si>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</si>
  <si>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</si>
  <si>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</si>
  <si>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</si>
  <si>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</si>
  <si>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</si>
  <si>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</si>
  <si>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</si>
  <si>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</si>
  <si>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</si>
  <si>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</si>
  <si>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</si>
  <si>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</si>
  <si>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</si>
  <si>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</si>
  <si>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</si>
  <si>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</si>
  <si>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</si>
  <si>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</si>
  <si>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</si>
  <si>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</si>
  <si>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</si>
  <si>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</si>
  <si>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</si>
  <si>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</si>
  <si>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</si>
  <si>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</si>
  <si>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</si>
  <si>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</si>
  <si>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</si>
  <si>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</si>
  <si>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</si>
  <si>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</si>
  <si>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</si>
  <si>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</si>
  <si>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</si>
  <si>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</si>
  <si>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</si>
  <si>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</si>
  <si>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</si>
  <si>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</si>
  <si>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</si>
  <si>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</si>
  <si>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</si>
  <si>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</si>
  <si>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</si>
  <si>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</si>
  <si>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</si>
  <si>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</si>
  <si>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</si>
  <si>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</si>
  <si>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</si>
  <si>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</si>
  <si>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</si>
  <si>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</si>
  <si>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</si>
  <si>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</si>
  <si>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</si>
  <si>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</si>
  <si>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</si>
  <si>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</si>
  <si>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</si>
  <si>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</si>
  <si>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</si>
  <si>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</si>
  <si>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</si>
  <si>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</si>
  <si>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</si>
  <si>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</si>
  <si>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</si>
  <si>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</si>
  <si>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</si>
  <si>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</si>
  <si>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</si>
  <si>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</si>
  <si>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</si>
  <si>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</si>
  <si>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</si>
  <si>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</si>
  <si>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</si>
  <si>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</si>
  <si>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</si>
  <si>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</si>
  <si>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</si>
  <si>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</si>
  <si>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</si>
  <si>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</si>
  <si>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</si>
  <si>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</si>
  <si>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</si>
  <si>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</si>
  <si>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</si>
  <si>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</si>
  <si>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</si>
  <si>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</si>
  <si>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</si>
  <si>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</si>
  <si>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</si>
  <si>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</si>
  <si>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</si>
  <si>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</si>
  <si>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</si>
  <si>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</si>
  <si>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</si>
  <si>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</si>
  <si>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</si>
  <si>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</si>
  <si>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</si>
  <si>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</si>
  <si>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</si>
  <si>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</si>
  <si>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</si>
  <si>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</si>
  <si>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</si>
  <si>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</si>
  <si>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</si>
  <si>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</si>
  <si>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</si>
  <si>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</si>
  <si>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</si>
  <si>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</si>
  <si>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</si>
  <si>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</si>
  <si>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</si>
  <si>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</si>
  <si>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</si>
  <si>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</si>
  <si>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</si>
  <si>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</si>
  <si>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</si>
  <si>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</si>
  <si>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</si>
  <si>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</si>
  <si>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</si>
  <si>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</si>
  <si>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</si>
  <si>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</si>
  <si>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</si>
  <si>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</si>
  <si>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</si>
  <si>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</si>
  <si>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</si>
  <si>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</si>
  <si>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</si>
  <si>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</si>
  <si>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</si>
  <si>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</si>
  <si>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</si>
  <si>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</si>
  <si>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</si>
  <si>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</si>
  <si>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</si>
  <si>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</si>
  <si>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</si>
  <si>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</si>
  <si>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</si>
  <si>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</si>
  <si>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</si>
  <si>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</si>
  <si>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</si>
  <si>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</si>
  <si>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</si>
  <si>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</si>
  <si>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</si>
  <si>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</si>
  <si>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</si>
  <si>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</si>
  <si>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</si>
  <si>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</si>
  <si>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</si>
  <si>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</si>
  <si>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</si>
  <si>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</si>
  <si>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</si>
  <si>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</si>
  <si>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</si>
  <si>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</si>
  <si>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</si>
  <si>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</si>
  <si>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</si>
  <si>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</si>
  <si>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</si>
  <si>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</si>
  <si>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</si>
  <si>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</si>
  <si>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</si>
  <si>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</si>
  <si>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</si>
  <si>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</si>
  <si>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</si>
  <si>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</si>
  <si>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</si>
  <si>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</si>
  <si>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</si>
  <si>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</si>
  <si>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</si>
  <si>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</si>
  <si>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</si>
  <si>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</si>
  <si>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</si>
  <si>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</si>
  <si>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</si>
  <si>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</si>
  <si>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</si>
  <si>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</si>
  <si>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</si>
  <si>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</si>
  <si>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</si>
  <si>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</si>
  <si>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</si>
  <si>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</si>
  <si>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</si>
  <si>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</si>
  <si>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</si>
  <si>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</si>
  <si>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</si>
  <si>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</si>
  <si>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</si>
  <si>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</si>
  <si>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</si>
  <si>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</si>
  <si>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</si>
  <si>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</si>
  <si>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</si>
  <si>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</si>
  <si>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</si>
  <si>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</si>
  <si>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</si>
  <si>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</si>
  <si>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</si>
  <si>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</si>
  <si>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</si>
  <si>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</si>
  <si>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</si>
  <si>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</si>
  <si>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</si>
  <si>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</si>
  <si>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</si>
  <si>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</si>
  <si>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</si>
  <si>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</si>
  <si>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</si>
  <si>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</si>
  <si>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</si>
  <si>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</si>
  <si>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</si>
  <si>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</si>
  <si>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</si>
  <si>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</si>
  <si>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</si>
  <si>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</si>
  <si>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</si>
  <si>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</si>
  <si>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</si>
  <si>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</si>
  <si>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</si>
  <si>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</si>
  <si>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</si>
  <si>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</si>
  <si>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</si>
  <si>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</si>
  <si>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</si>
  <si>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</si>
  <si>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</si>
  <si>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</si>
  <si>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</si>
  <si>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</si>
  <si>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</si>
  <si>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</si>
  <si>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</si>
  <si>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</si>
  <si>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</si>
  <si>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</si>
  <si>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</si>
  <si>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</si>
  <si>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</si>
  <si>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</si>
  <si>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</si>
  <si>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</si>
  <si>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</si>
  <si>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</si>
  <si>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</si>
  <si>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</si>
  <si>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</si>
  <si>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</si>
  <si>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</si>
  <si>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</si>
  <si>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</si>
  <si>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</si>
  <si>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</si>
  <si>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</si>
  <si>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</si>
  <si>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</si>
  <si>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</si>
  <si>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</si>
  <si>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</si>
  <si>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</si>
  <si>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</si>
  <si>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</si>
  <si>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</si>
  <si>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</si>
  <si>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</si>
  <si>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</si>
  <si>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</si>
  <si>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</si>
  <si>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</si>
  <si>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</si>
  <si>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</si>
  <si>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</si>
  <si>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</si>
  <si>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</si>
  <si>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</si>
  <si>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</si>
  <si>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</si>
  <si>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</si>
  <si>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</si>
  <si>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</si>
  <si>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</si>
  <si>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</si>
  <si>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</si>
  <si>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</si>
  <si>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</si>
  <si>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</si>
  <si>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</si>
  <si>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</si>
  <si>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</si>
  <si>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</si>
  <si>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</si>
  <si>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</si>
  <si>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</si>
  <si>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</si>
  <si>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</si>
  <si>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</si>
  <si>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</si>
  <si>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</si>
  <si>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</si>
  <si>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</si>
  <si>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</si>
  <si>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</si>
  <si>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</si>
  <si>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</si>
  <si>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</si>
  <si>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</si>
  <si>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</si>
  <si>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</si>
  <si>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</si>
  <si>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</si>
  <si>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</si>
  <si>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</si>
  <si>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</si>
  <si>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</si>
  <si>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</si>
  <si>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</si>
  <si>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</si>
  <si>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</si>
  <si>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</si>
  <si>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</si>
  <si>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</si>
  <si>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</si>
  <si>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</si>
  <si>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</si>
  <si>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</si>
  <si>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</si>
  <si>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</si>
  <si>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</si>
  <si>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</si>
  <si>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</si>
  <si>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</si>
  <si>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</si>
  <si>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</si>
  <si>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</si>
  <si>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</si>
  <si>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</si>
  <si>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</si>
  <si>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</si>
  <si>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</si>
  <si>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</si>
  <si>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</si>
  <si>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</si>
  <si>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</si>
  <si>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</si>
  <si>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</si>
  <si>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</si>
  <si>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</si>
  <si>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</si>
  <si>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</si>
  <si>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</si>
  <si>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</si>
  <si>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</si>
  <si>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</si>
  <si>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</si>
  <si>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</si>
  <si>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</si>
  <si>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</si>
  <si>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</si>
  <si>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</si>
  <si>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</si>
  <si>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</si>
  <si>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</si>
  <si>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</si>
  <si>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</si>
  <si>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</si>
  <si>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</si>
  <si>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</si>
  <si>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</si>
  <si>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</si>
  <si>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</si>
  <si>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</si>
  <si>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</si>
  <si>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</si>
  <si>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</si>
  <si>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</si>
  <si>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</si>
  <si>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</si>
  <si>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</si>
  <si>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</si>
  <si>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</si>
  <si>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</si>
  <si>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</si>
  <si>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</si>
  <si>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</si>
  <si>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</si>
  <si>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</si>
  <si>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</si>
  <si>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</si>
  <si>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</si>
  <si>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</si>
  <si>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</si>
  <si>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</si>
  <si>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</si>
  <si>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</si>
  <si>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</si>
  <si>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</si>
  <si>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</si>
  <si>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</si>
  <si>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</si>
  <si>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</si>
  <si>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</si>
  <si>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</si>
  <si>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</si>
  <si>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</si>
  <si>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</si>
  <si>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</si>
  <si>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</si>
  <si>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</si>
  <si>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</si>
  <si>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</si>
  <si>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</si>
  <si>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</si>
  <si>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</si>
  <si>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</si>
  <si>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</si>
  <si>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</si>
  <si>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</si>
  <si>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</si>
  <si>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</si>
  <si>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</si>
  <si>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</si>
  <si>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</si>
  <si>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</si>
  <si>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</si>
  <si>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</si>
  <si>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</si>
  <si>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</si>
  <si>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</si>
  <si>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</si>
  <si>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</si>
  <si>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</si>
  <si>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</si>
  <si>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</si>
  <si>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</si>
  <si>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</si>
  <si>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</si>
  <si>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</si>
  <si>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</si>
  <si>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</si>
  <si>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</si>
  <si>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</si>
  <si>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</si>
  <si>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</si>
  <si>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</si>
  <si>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</si>
  <si>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</si>
  <si>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</si>
  <si>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</si>
  <si>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</si>
  <si>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</si>
  <si>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</si>
  <si>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</si>
  <si>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</si>
  <si>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</si>
  <si>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</si>
  <si>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</si>
  <si>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</si>
  <si>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</si>
  <si>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</si>
  <si>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</si>
  <si>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</si>
  <si>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</si>
  <si>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</si>
  <si>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</si>
  <si>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</si>
  <si>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</si>
  <si>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</si>
  <si>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</si>
  <si>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</si>
  <si>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</si>
  <si>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</si>
  <si>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</si>
  <si>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</si>
  <si>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</si>
  <si>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</si>
  <si>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</si>
  <si>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</si>
  <si>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</si>
  <si>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</si>
  <si>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</si>
  <si>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</si>
  <si>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</si>
  <si>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</si>
  <si>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</si>
  <si>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</si>
  <si>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</si>
  <si>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</si>
  <si>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</si>
  <si>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</si>
  <si>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</si>
  <si>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</si>
  <si>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</si>
  <si>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</si>
  <si>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</si>
  <si>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</si>
  <si>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</si>
  <si>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</si>
  <si>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</si>
  <si>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</si>
  <si>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</si>
  <si>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</si>
  <si>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</si>
  <si>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</si>
  <si>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</si>
  <si>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</si>
  <si>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</si>
  <si>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</si>
  <si>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</si>
  <si>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</si>
  <si>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</si>
  <si>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</si>
  <si>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</si>
  <si>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</si>
  <si>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</si>
  <si>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</si>
  <si>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</si>
  <si>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</si>
  <si>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</si>
  <si>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</si>
  <si>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</si>
  <si>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</si>
  <si>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</si>
  <si>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</si>
  <si>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</si>
  <si>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</si>
  <si>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</si>
  <si>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</si>
  <si>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</si>
  <si>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</si>
  <si>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</si>
  <si>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</si>
  <si>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</si>
  <si>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</si>
  <si>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</si>
  <si>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</si>
  <si>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</si>
  <si>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</si>
  <si>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</si>
  <si>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</si>
  <si>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</si>
  <si>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</si>
  <si>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</si>
  <si>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</si>
  <si>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</si>
  <si>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</si>
  <si>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</si>
  <si>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</si>
  <si>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</si>
  <si>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</si>
  <si>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</si>
  <si>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</si>
  <si>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</si>
  <si>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</si>
  <si>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</si>
  <si>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</si>
  <si>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</si>
  <si>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</si>
  <si>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</si>
  <si>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</si>
  <si>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</si>
  <si>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</si>
  <si>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</si>
  <si>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</si>
  <si>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</si>
  <si>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</si>
  <si>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</si>
  <si>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</si>
  <si>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</si>
  <si>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</si>
  <si>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</si>
  <si>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</si>
  <si>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</si>
  <si>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</si>
  <si>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</si>
  <si>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</si>
  <si>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</si>
  <si>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</si>
  <si>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</si>
  <si>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</si>
  <si>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</si>
  <si>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</si>
  <si>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</si>
  <si>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</si>
  <si>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</si>
  <si>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</si>
  <si>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</si>
  <si>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</si>
  <si>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</si>
  <si>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</si>
  <si>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</si>
  <si>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</si>
  <si>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</si>
  <si>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</si>
  <si>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</si>
  <si>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</si>
  <si>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</si>
  <si>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</si>
  <si>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</si>
  <si>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</si>
  <si>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</si>
  <si>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</si>
  <si>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</si>
  <si>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</si>
  <si>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</si>
  <si>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</si>
  <si>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</si>
  <si>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</si>
  <si>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</si>
  <si>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</si>
  <si>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</si>
  <si>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</si>
  <si>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</si>
  <si>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</si>
  <si>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</si>
  <si>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</si>
  <si>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</si>
  <si>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</si>
  <si>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</si>
  <si>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</si>
  <si>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</si>
  <si>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</si>
  <si>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</si>
  <si>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</si>
  <si>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</si>
  <si>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</si>
  <si>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</si>
  <si>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</si>
  <si>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</si>
  <si>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</si>
  <si>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</si>
  <si>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</si>
  <si>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</si>
  <si>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</si>
  <si>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</si>
  <si>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</si>
  <si>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</si>
  <si>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</si>
  <si>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</si>
  <si>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</si>
  <si>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</si>
  <si>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</si>
  <si>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</si>
  <si>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</si>
  <si>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</si>
  <si>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</si>
  <si>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</si>
  <si>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</si>
  <si>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</si>
  <si>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</si>
  <si>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</si>
  <si>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</si>
  <si>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</si>
  <si>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</si>
  <si>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</si>
  <si>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</si>
  <si>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</si>
  <si>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</si>
  <si>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</si>
  <si>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</si>
  <si>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</si>
  <si>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</si>
  <si>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</si>
  <si>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</si>
  <si>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</si>
  <si>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</si>
  <si>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</si>
  <si>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</si>
  <si>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</si>
  <si>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</si>
  <si>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</si>
  <si>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</si>
  <si>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</si>
  <si>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</si>
  <si>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</si>
  <si>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</si>
  <si>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</si>
  <si>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</si>
  <si>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</si>
  <si>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</si>
  <si>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</si>
  <si>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</si>
  <si>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</si>
  <si>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</si>
  <si>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</si>
  <si>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</si>
  <si>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</si>
  <si>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</si>
  <si>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</si>
  <si>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</si>
  <si>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</si>
  <si>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</si>
  <si>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</si>
  <si>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</si>
  <si>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</si>
  <si>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</si>
  <si>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</si>
  <si>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</si>
  <si>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</si>
  <si>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</si>
  <si>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</si>
  <si>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</si>
  <si>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</si>
  <si>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</si>
  <si>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</si>
  <si>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</si>
  <si>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</si>
  <si>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</si>
  <si>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</si>
  <si>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</si>
  <si>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</si>
  <si>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</si>
  <si>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</si>
  <si>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</si>
  <si>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</si>
  <si>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</si>
  <si>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</si>
  <si>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</si>
  <si>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</si>
  <si>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</si>
  <si>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</si>
  <si>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</si>
  <si>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</si>
  <si>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</si>
  <si>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</si>
  <si>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</si>
  <si>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</si>
  <si>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</si>
  <si>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</si>
  <si>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</si>
  <si>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</si>
  <si>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</si>
  <si>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</si>
  <si>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</si>
  <si>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</si>
  <si>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</si>
  <si>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</si>
  <si>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</si>
  <si>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</si>
  <si>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</si>
  <si>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</si>
  <si>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</si>
  <si>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</si>
  <si>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</si>
  <si>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</si>
  <si>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</si>
  <si>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</si>
  <si>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</si>
  <si>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</si>
  <si>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</si>
  <si>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</si>
  <si>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</si>
  <si>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</si>
  <si>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</si>
  <si>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</si>
  <si>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</si>
  <si>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</si>
  <si>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</si>
  <si>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</si>
  <si>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</si>
  <si>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</si>
  <si>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</si>
  <si>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</si>
  <si>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</si>
  <si>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</si>
  <si>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</si>
  <si>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</si>
  <si>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</si>
  <si>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</si>
  <si>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</si>
  <si>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</si>
  <si>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</si>
  <si>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</si>
  <si>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</si>
  <si>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</si>
  <si>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</si>
  <si>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</si>
  <si>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</si>
  <si>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</si>
  <si>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</si>
  <si>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</si>
  <si>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</si>
  <si>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</si>
  <si>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</si>
  <si>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</si>
  <si>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</si>
  <si>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</si>
  <si>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</si>
  <si>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</si>
  <si>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</si>
  <si>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</si>
  <si>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</si>
  <si>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MACON</t>
  </si>
  <si>
    <t>430 WEST NORTH STREET</t>
  </si>
  <si>
    <t xml:space="preserve">WARRENSBURG  </t>
  </si>
  <si>
    <t>Dr. KRISTEN KENDRICK-WEIKLE</t>
  </si>
  <si>
    <t>kendrickk@wl.k12.il.us</t>
  </si>
  <si>
    <t>217-672-3514</t>
  </si>
  <si>
    <t>217-672-8468</t>
  </si>
  <si>
    <t>FLOYD &amp; ASSOCIATES, CPAs</t>
  </si>
  <si>
    <t>JULIE M. FLOYD, CPA</t>
  </si>
  <si>
    <t>910 STATE HIGHWAY 54 EAST</t>
  </si>
  <si>
    <t>CLINTON</t>
  </si>
  <si>
    <t>IL</t>
  </si>
  <si>
    <t>217-935-8871</t>
  </si>
  <si>
    <t>217-935-5711</t>
  </si>
  <si>
    <t>julie.floyd@frontier.com</t>
  </si>
  <si>
    <t>.</t>
  </si>
  <si>
    <t>2008 SCHOOL BONDS</t>
  </si>
  <si>
    <t>2009 SCHOOL BONDS</t>
  </si>
  <si>
    <t>2016B GENERAL OBLIGATION REFUNDING BONDS</t>
  </si>
  <si>
    <t>2015 GENERAL OBLIGATION SCHOOL BONDS</t>
  </si>
  <si>
    <t>ED-Support Services-Purchased Services</t>
  </si>
  <si>
    <t>10-2130-3100</t>
  </si>
  <si>
    <t>Decatur Memorial Hospital</t>
  </si>
  <si>
    <t>Macon-Piatt Special Education Cooperative</t>
  </si>
  <si>
    <t>Heartland Technical Academy</t>
  </si>
  <si>
    <t>Maroa-Forsyth C.U.S.D. #2 (Cross County &amp; Soccer)</t>
  </si>
  <si>
    <t>Page 11, Line 107</t>
  </si>
  <si>
    <t xml:space="preserve">   Education Fund</t>
  </si>
  <si>
    <t xml:space="preserve">      SAP</t>
  </si>
  <si>
    <t xml:space="preserve">      Macon County Community Foundation</t>
  </si>
  <si>
    <t xml:space="preserve">      ADM Grant</t>
  </si>
  <si>
    <t xml:space="preserve">      Monsanto </t>
  </si>
  <si>
    <t xml:space="preserve">      Pepsi Rebate</t>
  </si>
  <si>
    <t xml:space="preserve">      Maroa-Forsyth CUSD #2 Athletic Salary Reimbursement</t>
  </si>
  <si>
    <t xml:space="preserve">      Macon-Piatt Regional Office of Education Reimbursement</t>
  </si>
  <si>
    <t xml:space="preserve">      Clow Controls refund</t>
  </si>
  <si>
    <t xml:space="preserve">      Chromebooks Insurance Refund</t>
  </si>
  <si>
    <t xml:space="preserve">      Misc Revenue</t>
  </si>
  <si>
    <t xml:space="preserve">   Operations &amp; Maintenance Fund</t>
  </si>
  <si>
    <t xml:space="preserve">      Parking Fees</t>
  </si>
  <si>
    <t xml:space="preserve">   Transportation Fund</t>
  </si>
  <si>
    <t xml:space="preserve">      Bus Seat Damage Reimbursement</t>
  </si>
  <si>
    <t>Page 12, Line 171</t>
  </si>
  <si>
    <t xml:space="preserve">      Library Per Capita Grant</t>
  </si>
  <si>
    <t>Page 15, Line 41</t>
  </si>
  <si>
    <t xml:space="preserve">      Other Support Services- Pupils</t>
  </si>
  <si>
    <t>Page 18, Line 171</t>
  </si>
  <si>
    <t xml:space="preserve">      Debt Service - Lease Payments</t>
  </si>
  <si>
    <t xml:space="preserve">      Bond Fees</t>
  </si>
  <si>
    <t xml:space="preserve">      Capital Leases</t>
  </si>
  <si>
    <t>Page 19, Line 237</t>
  </si>
  <si>
    <t xml:space="preserve">   Municipal Retirement/Social Security Fund</t>
  </si>
  <si>
    <t xml:space="preserve">      Other Support Services - Pupils</t>
  </si>
  <si>
    <t xml:space="preserve">   Debt Services Fund</t>
  </si>
  <si>
    <t>baileyt@wl.k12.il.us</t>
  </si>
  <si>
    <t>Warrensburg Latham CUSD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</si>
</sst>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6">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 fontId="55" fillId="0" borderId="0" xfId="0" applyNumberFormat="1" applyFo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1218334</xdr:colOff>
          <xdr:row>3</xdr:row>
          <xdr:rowOff>7793</xdr:rowOff>
        </xdr:from>
        <xdr:to>
          <xdr:col>3</xdr:col>
          <xdr:colOff>300470</xdr:colOff>
          <xdr:row>7</xdr:row>
          <xdr:rowOff>56284</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90" zoomScaleNormal="90" workbookViewId="0">
      <selection activeCell="H22" sqref="H22"/>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5" t="s">
        <v>424</v>
      </c>
      <c r="J1" s="2036"/>
      <c r="K1" s="2036"/>
      <c r="L1" s="2036"/>
      <c r="M1" s="2036"/>
      <c r="N1" s="2036"/>
      <c r="O1" s="2036"/>
      <c r="P1" s="2036"/>
      <c r="Q1" s="2036"/>
      <c r="R1" s="2036"/>
      <c r="S1" s="2036"/>
    </row>
    <row r="2" spans="1:28" ht="12" customHeight="1" x14ac:dyDescent="0.2">
      <c r="A2" s="47" t="s">
        <v>1683</v>
      </c>
      <c r="D2" s="48"/>
      <c r="I2" s="2037" t="s">
        <v>1035</v>
      </c>
      <c r="J2" s="2036"/>
      <c r="K2" s="2036"/>
      <c r="L2" s="2036"/>
      <c r="M2" s="2036"/>
      <c r="N2" s="2036"/>
      <c r="O2" s="2036"/>
      <c r="P2" s="2036"/>
      <c r="Q2" s="2036"/>
      <c r="R2" s="2036"/>
      <c r="S2" s="2036"/>
    </row>
    <row r="3" spans="1:28" ht="12" customHeight="1" x14ac:dyDescent="0.2">
      <c r="A3" s="155" t="s">
        <v>1684</v>
      </c>
      <c r="B3" s="156"/>
      <c r="C3" s="156"/>
      <c r="D3" s="157"/>
      <c r="I3" s="2037" t="s">
        <v>54</v>
      </c>
      <c r="J3" s="2036"/>
      <c r="K3" s="2036"/>
      <c r="L3" s="2036"/>
      <c r="M3" s="2036"/>
      <c r="N3" s="2036"/>
      <c r="O3" s="2036"/>
      <c r="P3" s="2036"/>
      <c r="Q3" s="2036"/>
      <c r="R3" s="2036"/>
      <c r="S3" s="2036"/>
    </row>
    <row r="4" spans="1:28" ht="12" customHeight="1" x14ac:dyDescent="0.2">
      <c r="A4" s="37"/>
      <c r="I4" s="2037" t="s">
        <v>544</v>
      </c>
      <c r="J4" s="2036"/>
      <c r="K4" s="2036"/>
      <c r="L4" s="2036"/>
      <c r="M4" s="2036"/>
      <c r="N4" s="2036"/>
      <c r="O4" s="2036"/>
      <c r="P4" s="2036"/>
      <c r="Q4" s="2036"/>
      <c r="R4" s="2036"/>
      <c r="S4" s="2036"/>
    </row>
    <row r="5" spans="1:28" ht="14.1" customHeight="1" x14ac:dyDescent="0.2">
      <c r="B5" s="104" t="s">
        <v>2076</v>
      </c>
      <c r="C5" s="26" t="s">
        <v>965</v>
      </c>
      <c r="D5" s="84"/>
      <c r="E5" s="84"/>
      <c r="H5" s="38"/>
      <c r="I5" s="2044" t="s">
        <v>700</v>
      </c>
      <c r="J5" s="1989"/>
      <c r="K5" s="1989"/>
      <c r="L5" s="1989"/>
      <c r="M5" s="1989"/>
      <c r="N5" s="1989"/>
      <c r="O5" s="1989"/>
      <c r="P5" s="1989"/>
      <c r="Q5" s="1989"/>
      <c r="R5" s="1989"/>
      <c r="S5" s="1989"/>
    </row>
    <row r="6" spans="1:28" ht="14.1" customHeight="1" x14ac:dyDescent="0.2">
      <c r="B6" s="104"/>
      <c r="C6" s="26" t="s">
        <v>966</v>
      </c>
      <c r="D6" s="84"/>
      <c r="E6" s="84"/>
      <c r="I6" s="2043" t="s">
        <v>937</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694</v>
      </c>
      <c r="J9" s="2041"/>
      <c r="K9" s="2041"/>
      <c r="L9" s="2041"/>
      <c r="M9" s="2041"/>
      <c r="N9" s="2041"/>
      <c r="O9" s="2041"/>
      <c r="P9" s="2041"/>
      <c r="Q9" s="2041"/>
      <c r="R9" s="2041"/>
      <c r="S9" s="2042"/>
      <c r="T9" s="1985" t="s">
        <v>553</v>
      </c>
      <c r="U9" s="1986"/>
      <c r="V9" s="1986"/>
      <c r="W9" s="1986"/>
      <c r="X9" s="1986"/>
      <c r="Y9" s="1986"/>
      <c r="Z9" s="1986"/>
      <c r="AA9" s="1987"/>
    </row>
    <row r="10" spans="1:28" ht="13.5" customHeight="1" x14ac:dyDescent="0.2">
      <c r="A10" s="1994" t="s">
        <v>695</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1011</v>
      </c>
      <c r="B11" s="1998"/>
      <c r="C11" s="1998"/>
      <c r="D11" s="1998"/>
      <c r="E11" s="1998"/>
      <c r="F11" s="1998"/>
      <c r="G11" s="1998"/>
      <c r="H11" s="1999"/>
      <c r="I11" s="27"/>
      <c r="J11" s="74"/>
      <c r="K11" s="27"/>
      <c r="O11" s="148" t="s">
        <v>2076</v>
      </c>
      <c r="P11" s="100" t="s">
        <v>210</v>
      </c>
      <c r="Q11" s="30"/>
      <c r="R11" s="28"/>
      <c r="S11" s="27"/>
      <c r="T11" s="1991"/>
      <c r="U11" s="1992"/>
      <c r="V11" s="1992"/>
      <c r="W11" s="1992"/>
      <c r="X11" s="1992"/>
      <c r="Y11" s="1992"/>
      <c r="Z11" s="1992"/>
      <c r="AA11" s="1993"/>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5">
        <v>39055011026</v>
      </c>
      <c r="B13" s="2006"/>
      <c r="C13" s="2006"/>
      <c r="D13" s="2006"/>
      <c r="E13" s="2006"/>
      <c r="F13" s="2006"/>
      <c r="G13" s="2006"/>
      <c r="H13" s="2007"/>
      <c r="I13" s="31"/>
      <c r="J13" s="30"/>
      <c r="K13" s="28"/>
      <c r="L13" s="30"/>
      <c r="M13" s="30"/>
      <c r="N13" s="30"/>
      <c r="O13" s="30"/>
      <c r="P13" s="30"/>
      <c r="Q13" s="30"/>
      <c r="R13" s="30"/>
      <c r="S13" s="30"/>
      <c r="T13" s="2010" t="s">
        <v>2084</v>
      </c>
      <c r="U13" s="2011"/>
      <c r="V13" s="2011"/>
      <c r="W13" s="2011"/>
      <c r="X13" s="2011"/>
      <c r="Y13" s="2012"/>
      <c r="Z13" s="2012"/>
      <c r="AA13" s="2013"/>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3" t="s">
        <v>2077</v>
      </c>
      <c r="B15" s="2008"/>
      <c r="C15" s="2008"/>
      <c r="D15" s="2008"/>
      <c r="E15" s="2008"/>
      <c r="F15" s="2008"/>
      <c r="G15" s="2008"/>
      <c r="H15" s="2009"/>
      <c r="T15" s="1971" t="s">
        <v>2085</v>
      </c>
      <c r="U15" s="1972"/>
      <c r="V15" s="1972"/>
      <c r="W15" s="1972"/>
      <c r="X15" s="1972"/>
      <c r="Y15" s="2014"/>
      <c r="Z15" s="2014"/>
      <c r="AA15" s="2015"/>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3" t="s">
        <v>2132</v>
      </c>
      <c r="B17" s="2033"/>
      <c r="C17" s="2033"/>
      <c r="D17" s="2033"/>
      <c r="E17" s="2033"/>
      <c r="F17" s="2033"/>
      <c r="G17" s="2033"/>
      <c r="H17" s="2034"/>
      <c r="T17" s="2020" t="s">
        <v>2086</v>
      </c>
      <c r="U17" s="2021"/>
      <c r="V17" s="2021"/>
      <c r="W17" s="2021"/>
      <c r="X17" s="2021"/>
      <c r="Y17" s="2021"/>
      <c r="Z17" s="2021"/>
      <c r="AA17" s="2022"/>
    </row>
    <row r="18" spans="1:27" ht="13.5" customHeight="1" x14ac:dyDescent="0.2">
      <c r="A18" s="85" t="s">
        <v>550</v>
      </c>
      <c r="B18" s="76"/>
      <c r="C18" s="72"/>
      <c r="D18" s="76"/>
      <c r="E18" s="76"/>
      <c r="F18" s="76"/>
      <c r="G18" s="76"/>
      <c r="H18" s="56"/>
      <c r="I18" s="2030" t="s">
        <v>696</v>
      </c>
      <c r="J18" s="2031"/>
      <c r="K18" s="2031"/>
      <c r="L18" s="2031"/>
      <c r="M18" s="2031"/>
      <c r="N18" s="2031"/>
      <c r="O18" s="2031"/>
      <c r="P18" s="2031"/>
      <c r="Q18" s="2031"/>
      <c r="R18" s="2031"/>
      <c r="S18" s="2032"/>
      <c r="T18" s="85" t="s">
        <v>734</v>
      </c>
      <c r="U18" s="51"/>
      <c r="V18" s="72"/>
      <c r="W18" s="50"/>
      <c r="X18" s="85" t="s">
        <v>283</v>
      </c>
      <c r="Y18" s="81"/>
      <c r="Z18" s="159" t="s">
        <v>697</v>
      </c>
      <c r="AA18" s="46"/>
    </row>
    <row r="19" spans="1:27" ht="13.5" customHeight="1" x14ac:dyDescent="0.2">
      <c r="A19" s="2003" t="s">
        <v>2078</v>
      </c>
      <c r="B19" s="2004"/>
      <c r="C19" s="2004"/>
      <c r="D19" s="2004"/>
      <c r="E19" s="2004"/>
      <c r="F19" s="2004"/>
      <c r="G19" s="2004"/>
      <c r="H19" s="2002"/>
      <c r="I19" s="30"/>
      <c r="J19" s="99"/>
      <c r="K19" s="40"/>
      <c r="L19" s="38"/>
      <c r="M19" s="112" t="s">
        <v>332</v>
      </c>
      <c r="P19" s="27"/>
      <c r="Q19" s="27"/>
      <c r="R19" s="27"/>
      <c r="S19" s="31"/>
      <c r="T19" s="2003" t="s">
        <v>2087</v>
      </c>
      <c r="U19" s="2001"/>
      <c r="V19" s="2001"/>
      <c r="W19" s="2002"/>
      <c r="X19" s="2018" t="s">
        <v>2088</v>
      </c>
      <c r="Y19" s="2019"/>
      <c r="Z19" s="2016">
        <v>61727</v>
      </c>
      <c r="AA19" s="2017"/>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0" t="s">
        <v>2079</v>
      </c>
      <c r="B21" s="2001"/>
      <c r="C21" s="2001"/>
      <c r="D21" s="2001"/>
      <c r="E21" s="2001"/>
      <c r="F21" s="2001"/>
      <c r="G21" s="2001"/>
      <c r="H21" s="2002"/>
      <c r="I21" s="2026" t="s">
        <v>698</v>
      </c>
      <c r="J21" s="1989"/>
      <c r="K21" s="1989"/>
      <c r="L21" s="1989"/>
      <c r="M21" s="1989"/>
      <c r="N21" s="1989"/>
      <c r="O21" s="1989"/>
      <c r="P21" s="1989"/>
      <c r="Q21" s="1989"/>
      <c r="R21" s="1989"/>
      <c r="S21" s="1990"/>
      <c r="T21" s="1968" t="s">
        <v>2089</v>
      </c>
      <c r="U21" s="1969"/>
      <c r="V21" s="1969"/>
      <c r="W21" s="1969"/>
      <c r="X21" s="1982" t="s">
        <v>2090</v>
      </c>
      <c r="Y21" s="1983"/>
      <c r="Z21" s="1983"/>
      <c r="AA21" s="1984"/>
    </row>
    <row r="22" spans="1:27" ht="13.5" customHeight="1" x14ac:dyDescent="0.2">
      <c r="A22" s="87" t="s">
        <v>551</v>
      </c>
      <c r="B22" s="59"/>
      <c r="C22" s="59"/>
      <c r="D22" s="59"/>
      <c r="E22" s="59"/>
      <c r="F22" s="59"/>
      <c r="G22" s="59"/>
      <c r="H22" s="60"/>
      <c r="I22" s="2027" t="s">
        <v>1503</v>
      </c>
      <c r="J22" s="2028"/>
      <c r="K22" s="2028"/>
      <c r="L22" s="2028"/>
      <c r="M22" s="2028"/>
      <c r="N22" s="2028"/>
      <c r="O22" s="2028"/>
      <c r="P22" s="2028"/>
      <c r="Q22" s="2028"/>
      <c r="R22" s="2028"/>
      <c r="S22" s="2029"/>
      <c r="T22" s="85" t="s">
        <v>1595</v>
      </c>
      <c r="U22" s="51"/>
      <c r="V22" s="72"/>
      <c r="W22" s="51"/>
      <c r="X22" s="160" t="s">
        <v>1384</v>
      </c>
      <c r="Z22" s="45"/>
      <c r="AA22" s="46"/>
    </row>
    <row r="23" spans="1:27" ht="13.5" customHeight="1" x14ac:dyDescent="0.2">
      <c r="A23" s="2023" t="s">
        <v>2131</v>
      </c>
      <c r="B23" s="2024"/>
      <c r="C23" s="2024"/>
      <c r="D23" s="2024"/>
      <c r="E23" s="2024"/>
      <c r="F23" s="2024"/>
      <c r="G23" s="2024"/>
      <c r="H23" s="2025"/>
      <c r="T23" s="1963">
        <v>66.004384999999999</v>
      </c>
      <c r="U23" s="1964"/>
      <c r="V23" s="1964"/>
      <c r="W23" s="1964"/>
      <c r="X23" s="1979">
        <v>43434</v>
      </c>
      <c r="Y23" s="1980"/>
      <c r="Z23" s="1980"/>
      <c r="AA23" s="1981"/>
    </row>
    <row r="24" spans="1:27" ht="14.1" customHeight="1" x14ac:dyDescent="0.2">
      <c r="A24" s="88" t="s">
        <v>697</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551</v>
      </c>
      <c r="U24" s="106"/>
      <c r="V24" s="106"/>
      <c r="W24" s="106"/>
      <c r="X24" s="107"/>
      <c r="Y24" s="107"/>
      <c r="Z24" s="107"/>
      <c r="AA24" s="108"/>
    </row>
    <row r="25" spans="1:27" ht="14.1" customHeight="1" x14ac:dyDescent="0.2">
      <c r="A25" s="2000">
        <v>62573</v>
      </c>
      <c r="B25" s="2001"/>
      <c r="C25" s="2001"/>
      <c r="D25" s="2001"/>
      <c r="E25" s="2001"/>
      <c r="F25" s="2001"/>
      <c r="G25" s="2001"/>
      <c r="H25" s="2002"/>
      <c r="I25" s="113"/>
      <c r="J25" s="2067"/>
      <c r="K25" s="2067"/>
      <c r="L25" s="2067"/>
      <c r="M25" s="2067"/>
      <c r="N25" s="2067"/>
      <c r="O25" s="2067"/>
      <c r="P25" s="2067"/>
      <c r="Q25" s="2067"/>
      <c r="R25" s="2067"/>
      <c r="S25" s="2068"/>
      <c r="T25" s="1960" t="s">
        <v>2091</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8" t="s">
        <v>1590</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c r="F29" s="141" t="s">
        <v>1382</v>
      </c>
      <c r="G29" s="114"/>
      <c r="I29" s="54"/>
      <c r="J29" s="102"/>
      <c r="K29" s="28" t="s">
        <v>596</v>
      </c>
      <c r="L29" s="148" t="s">
        <v>2076</v>
      </c>
      <c r="M29" s="40" t="s">
        <v>101</v>
      </c>
      <c r="N29" s="32" t="s">
        <v>1603</v>
      </c>
      <c r="O29" s="32"/>
      <c r="P29" s="32"/>
      <c r="Q29" s="32"/>
      <c r="R29" s="32"/>
      <c r="S29" s="123"/>
      <c r="T29" s="6"/>
      <c r="U29" s="6"/>
      <c r="V29" s="6"/>
      <c r="W29" s="6"/>
      <c r="X29" s="6"/>
      <c r="Y29" s="6"/>
      <c r="Z29" s="6"/>
      <c r="AA29" s="132"/>
    </row>
    <row r="30" spans="1:27" ht="13.5" customHeight="1" x14ac:dyDescent="0.2">
      <c r="A30" s="153"/>
      <c r="B30" s="136" t="s">
        <v>2076</v>
      </c>
      <c r="C30" s="124" t="s">
        <v>1225</v>
      </c>
      <c r="D30" s="28"/>
      <c r="E30" s="28"/>
      <c r="F30" s="140"/>
      <c r="G30" s="114"/>
      <c r="H30" s="114"/>
      <c r="I30" s="54"/>
      <c r="J30" s="102"/>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02"/>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562</v>
      </c>
      <c r="D34" s="31"/>
      <c r="E34" s="31"/>
      <c r="F34" s="31"/>
      <c r="G34" s="31"/>
      <c r="H34" s="31"/>
      <c r="I34" s="54"/>
      <c r="J34" s="83"/>
      <c r="L34" s="101"/>
      <c r="M34" s="93" t="s">
        <v>730</v>
      </c>
      <c r="N34" s="30"/>
      <c r="O34" s="30"/>
      <c r="P34" s="30"/>
      <c r="Q34" s="30"/>
      <c r="R34" s="30"/>
      <c r="S34" s="55"/>
      <c r="T34" s="30"/>
      <c r="U34" s="102"/>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3" t="s">
        <v>2080</v>
      </c>
      <c r="B38" s="2033"/>
      <c r="C38" s="2033"/>
      <c r="D38" s="2033"/>
      <c r="E38" s="2033"/>
      <c r="F38" s="2001"/>
      <c r="G38" s="2001"/>
      <c r="H38" s="2002"/>
      <c r="I38" s="2052"/>
      <c r="J38" s="1972"/>
      <c r="K38" s="1972"/>
      <c r="L38" s="1972"/>
      <c r="M38" s="1972"/>
      <c r="N38" s="1972"/>
      <c r="O38" s="1972"/>
      <c r="P38" s="1973"/>
      <c r="Q38" s="1973"/>
      <c r="R38" s="1973"/>
      <c r="S38" s="1974"/>
      <c r="T38" s="1971"/>
      <c r="U38" s="1972"/>
      <c r="V38" s="1972"/>
      <c r="W38" s="1972"/>
      <c r="X38" s="1973"/>
      <c r="Y38" s="1973"/>
      <c r="Z38" s="1973"/>
      <c r="AA38" s="1974"/>
    </row>
    <row r="39" spans="1:27" ht="12" customHeight="1" x14ac:dyDescent="0.2">
      <c r="A39" s="2056" t="s">
        <v>551</v>
      </c>
      <c r="B39" s="2057"/>
      <c r="C39" s="72"/>
      <c r="D39" s="69"/>
      <c r="E39" s="69"/>
      <c r="F39" s="79"/>
      <c r="G39" s="69"/>
      <c r="H39" s="56"/>
      <c r="I39" s="2056" t="s">
        <v>551</v>
      </c>
      <c r="J39" s="2057"/>
      <c r="K39" s="2057"/>
      <c r="L39" s="2057"/>
      <c r="M39" s="2057"/>
      <c r="N39" s="67"/>
      <c r="O39" s="72"/>
      <c r="P39" s="72"/>
      <c r="Q39" s="78"/>
      <c r="R39" s="72"/>
      <c r="S39" s="56"/>
      <c r="T39" s="72" t="s">
        <v>551</v>
      </c>
      <c r="U39" s="51"/>
      <c r="V39" s="72"/>
      <c r="W39" s="50"/>
      <c r="X39" s="78"/>
      <c r="Y39" s="45"/>
      <c r="Z39" s="45"/>
      <c r="AA39" s="46"/>
    </row>
    <row r="40" spans="1:27" ht="13.5" customHeight="1" x14ac:dyDescent="0.2">
      <c r="A40" s="2059" t="s">
        <v>2081</v>
      </c>
      <c r="B40" s="2060"/>
      <c r="C40" s="2061"/>
      <c r="D40" s="2061"/>
      <c r="E40" s="2061"/>
      <c r="F40" s="2062"/>
      <c r="G40" s="2062"/>
      <c r="H40" s="2063"/>
      <c r="I40" s="1975"/>
      <c r="J40" s="1977"/>
      <c r="K40" s="1977"/>
      <c r="L40" s="1977"/>
      <c r="M40" s="1977"/>
      <c r="N40" s="1977"/>
      <c r="O40" s="1977"/>
      <c r="P40" s="1977"/>
      <c r="Q40" s="1977"/>
      <c r="R40" s="1977"/>
      <c r="S40" s="1978"/>
      <c r="T40" s="1975"/>
      <c r="U40" s="1976"/>
      <c r="V40" s="1977"/>
      <c r="W40" s="1977"/>
      <c r="X40" s="1977"/>
      <c r="Y40" s="1977"/>
      <c r="Z40" s="1977"/>
      <c r="AA40" s="1978"/>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9" t="s">
        <v>2082</v>
      </c>
      <c r="B42" s="2050"/>
      <c r="C42" s="2051"/>
      <c r="D42" s="2064" t="s">
        <v>2083</v>
      </c>
      <c r="E42" s="2050"/>
      <c r="F42" s="2050"/>
      <c r="G42" s="2050"/>
      <c r="H42" s="2051"/>
      <c r="I42" s="1970"/>
      <c r="J42" s="1966"/>
      <c r="K42" s="1966"/>
      <c r="L42" s="1966"/>
      <c r="M42" s="1966"/>
      <c r="N42" s="1966"/>
      <c r="O42" s="1967"/>
      <c r="P42" s="1965"/>
      <c r="Q42" s="1966"/>
      <c r="R42" s="1966"/>
      <c r="S42" s="1967"/>
      <c r="T42" s="1970"/>
      <c r="U42" s="1966"/>
      <c r="V42" s="1966"/>
      <c r="W42" s="1967"/>
      <c r="X42" s="1965"/>
      <c r="Y42" s="1966"/>
      <c r="Z42" s="1966"/>
      <c r="AA42" s="196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1904</v>
      </c>
      <c r="B2" s="1550" t="s">
        <v>2036</v>
      </c>
      <c r="C2" s="715" t="s">
        <v>1909</v>
      </c>
      <c r="D2" s="715" t="s">
        <v>1910</v>
      </c>
      <c r="E2" s="715" t="s">
        <v>1911</v>
      </c>
      <c r="F2" s="715" t="s">
        <v>1912</v>
      </c>
    </row>
    <row r="3" spans="1:6" ht="12" customHeight="1" x14ac:dyDescent="0.2">
      <c r="A3" s="2203"/>
      <c r="B3" s="1547"/>
      <c r="C3" s="1548"/>
      <c r="D3" s="1549" t="s">
        <v>274</v>
      </c>
      <c r="E3" s="1548"/>
      <c r="F3" s="1549" t="s">
        <v>275</v>
      </c>
    </row>
    <row r="4" spans="1:6" ht="13.7" customHeight="1" x14ac:dyDescent="0.2">
      <c r="A4" s="716" t="s">
        <v>1216</v>
      </c>
      <c r="B4" s="1771">
        <f>'Revenues 9-14'!C5</f>
        <v>2992182</v>
      </c>
      <c r="C4" s="1546"/>
      <c r="D4" s="1774">
        <f>B4-C4</f>
        <v>2992182</v>
      </c>
      <c r="E4" s="1546">
        <v>3043949</v>
      </c>
      <c r="F4" s="1774">
        <f>E4-C4</f>
        <v>3043949</v>
      </c>
    </row>
    <row r="5" spans="1:6" ht="13.7" customHeight="1" x14ac:dyDescent="0.2">
      <c r="A5" s="716" t="s">
        <v>924</v>
      </c>
      <c r="B5" s="1772">
        <f>'Revenues 9-14'!D5</f>
        <v>642099</v>
      </c>
      <c r="C5" s="585"/>
      <c r="D5" s="1775">
        <f t="shared" ref="D5:D18" si="0">B5-C5</f>
        <v>642099</v>
      </c>
      <c r="E5" s="585">
        <v>653208</v>
      </c>
      <c r="F5" s="1775">
        <f>E5-C5</f>
        <v>653208</v>
      </c>
    </row>
    <row r="6" spans="1:6" ht="13.7" customHeight="1" x14ac:dyDescent="0.2">
      <c r="A6" s="716" t="s">
        <v>430</v>
      </c>
      <c r="B6" s="1772">
        <f>'Revenues 9-14'!E5</f>
        <v>1157288</v>
      </c>
      <c r="C6" s="585"/>
      <c r="D6" s="1775">
        <f t="shared" si="0"/>
        <v>1157288</v>
      </c>
      <c r="E6" s="585">
        <v>1292424</v>
      </c>
      <c r="F6" s="1775">
        <f t="shared" ref="F6:F18" si="1">E6-C6</f>
        <v>1292424</v>
      </c>
    </row>
    <row r="7" spans="1:6" ht="13.7" customHeight="1" x14ac:dyDescent="0.2">
      <c r="A7" s="716" t="s">
        <v>157</v>
      </c>
      <c r="B7" s="1772">
        <f>'Revenues 9-14'!F5</f>
        <v>256840</v>
      </c>
      <c r="C7" s="585"/>
      <c r="D7" s="1775">
        <f t="shared" si="0"/>
        <v>256840</v>
      </c>
      <c r="E7" s="585">
        <v>261283</v>
      </c>
      <c r="F7" s="1775">
        <f t="shared" si="1"/>
        <v>261283</v>
      </c>
    </row>
    <row r="8" spans="1:6" ht="13.7" customHeight="1" x14ac:dyDescent="0.2">
      <c r="A8" s="716" t="s">
        <v>1240</v>
      </c>
      <c r="B8" s="1772">
        <f>'Revenues 9-14'!G5</f>
        <v>60062</v>
      </c>
      <c r="C8" s="585"/>
      <c r="D8" s="1775">
        <f t="shared" si="0"/>
        <v>60062</v>
      </c>
      <c r="E8" s="585">
        <v>60004</v>
      </c>
      <c r="F8" s="1775">
        <f t="shared" si="1"/>
        <v>60004</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64210</v>
      </c>
      <c r="C10" s="585"/>
      <c r="D10" s="1775">
        <f t="shared" si="0"/>
        <v>64210</v>
      </c>
      <c r="E10" s="585">
        <v>65321</v>
      </c>
      <c r="F10" s="1775">
        <f t="shared" si="1"/>
        <v>65321</v>
      </c>
    </row>
    <row r="11" spans="1:6" x14ac:dyDescent="0.2">
      <c r="A11" s="716" t="s">
        <v>428</v>
      </c>
      <c r="B11" s="1772">
        <f>'Revenues 9-14'!J5</f>
        <v>402947</v>
      </c>
      <c r="C11" s="585"/>
      <c r="D11" s="1775">
        <f t="shared" si="0"/>
        <v>402947</v>
      </c>
      <c r="E11" s="585">
        <v>410894</v>
      </c>
      <c r="F11" s="1775">
        <f t="shared" si="1"/>
        <v>410894</v>
      </c>
    </row>
    <row r="12" spans="1:6" ht="13.7" customHeight="1" x14ac:dyDescent="0.2">
      <c r="A12" s="716" t="s">
        <v>159</v>
      </c>
      <c r="B12" s="1772">
        <f>'Revenues 9-14'!K5</f>
        <v>64210</v>
      </c>
      <c r="C12" s="585"/>
      <c r="D12" s="1775">
        <f t="shared" si="0"/>
        <v>64210</v>
      </c>
      <c r="E12" s="585">
        <v>65321</v>
      </c>
      <c r="F12" s="1775">
        <f t="shared" si="1"/>
        <v>65321</v>
      </c>
    </row>
    <row r="13" spans="1:6" ht="13.7" customHeight="1" x14ac:dyDescent="0.2">
      <c r="A13" s="716" t="s">
        <v>992</v>
      </c>
      <c r="B13" s="1772">
        <f>SUM('Revenues 9-14'!C6:D6)</f>
        <v>64210</v>
      </c>
      <c r="C13" s="585"/>
      <c r="D13" s="1775">
        <f t="shared" si="0"/>
        <v>64210</v>
      </c>
      <c r="E13" s="585">
        <v>65321</v>
      </c>
      <c r="F13" s="1775">
        <f t="shared" si="1"/>
        <v>65321</v>
      </c>
    </row>
    <row r="14" spans="1:6" ht="13.7" customHeight="1" x14ac:dyDescent="0.2">
      <c r="A14" s="716" t="s">
        <v>429</v>
      </c>
      <c r="B14" s="1772">
        <f>SUM('Revenues 9-14'!C7:D7,'Revenues 9-14'!F7:H7)</f>
        <v>51368</v>
      </c>
      <c r="C14" s="585"/>
      <c r="D14" s="1775">
        <f t="shared" si="0"/>
        <v>51368</v>
      </c>
      <c r="E14" s="585">
        <v>52257</v>
      </c>
      <c r="F14" s="1775">
        <f t="shared" si="1"/>
        <v>52257</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133640</v>
      </c>
      <c r="C16" s="585"/>
      <c r="D16" s="1775">
        <f t="shared" si="0"/>
        <v>133640</v>
      </c>
      <c r="E16" s="585">
        <v>137735</v>
      </c>
      <c r="F16" s="1775">
        <f t="shared" si="1"/>
        <v>137735</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5889056</v>
      </c>
      <c r="C19" s="1773">
        <f>SUM(C4:C18)</f>
        <v>0</v>
      </c>
      <c r="D19" s="1773">
        <f>SUM(D4:D18)</f>
        <v>5889056</v>
      </c>
      <c r="E19" s="1773">
        <f>SUM(E4:E18)</f>
        <v>6107717</v>
      </c>
      <c r="F19" s="1773">
        <f>SUM(F4:F18)</f>
        <v>6107717</v>
      </c>
    </row>
    <row r="20" spans="1:6" ht="13.5" thickTop="1" x14ac:dyDescent="0.2">
      <c r="B20" s="714"/>
      <c r="F20" s="717"/>
    </row>
    <row r="21" spans="1:6" x14ac:dyDescent="0.2">
      <c r="A21" s="718" t="s">
        <v>1914</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B40" sqref="B40"/>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649</v>
      </c>
      <c r="B1" s="2209"/>
      <c r="C1" s="722"/>
    </row>
    <row r="2" spans="1:7" ht="33.75" x14ac:dyDescent="0.2">
      <c r="A2" s="2217" t="s">
        <v>1904</v>
      </c>
      <c r="B2" s="2218"/>
      <c r="C2" s="1909" t="s">
        <v>2037</v>
      </c>
      <c r="D2" s="724" t="s">
        <v>2044</v>
      </c>
      <c r="E2" s="724" t="s">
        <v>2045</v>
      </c>
      <c r="F2" s="1909" t="s">
        <v>2038</v>
      </c>
    </row>
    <row r="3" spans="1:7" ht="15.75" customHeight="1" x14ac:dyDescent="0.2">
      <c r="A3" s="2221" t="s">
        <v>1175</v>
      </c>
      <c r="B3" s="2222"/>
      <c r="C3" s="2210"/>
      <c r="D3" s="2211"/>
      <c r="E3" s="2211"/>
      <c r="F3" s="2212"/>
    </row>
    <row r="4" spans="1:7" ht="12.75" customHeight="1" thickBot="1" x14ac:dyDescent="0.25">
      <c r="A4" s="2219" t="s">
        <v>650</v>
      </c>
      <c r="B4" s="2220"/>
      <c r="C4" s="581"/>
      <c r="D4" s="581"/>
      <c r="E4" s="581"/>
      <c r="F4" s="1777">
        <f>SUM(C4+D4)-E4</f>
        <v>0</v>
      </c>
    </row>
    <row r="5" spans="1:7" ht="15.75" customHeight="1" thickTop="1" x14ac:dyDescent="0.2">
      <c r="A5" s="2204" t="s">
        <v>1171</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6" t="s">
        <v>651</v>
      </c>
      <c r="B15" s="2207"/>
      <c r="C15" s="1777">
        <f>SUM(C6:C14)</f>
        <v>0</v>
      </c>
      <c r="D15" s="1777">
        <f>SUM(D6:D14)</f>
        <v>0</v>
      </c>
      <c r="E15" s="1777">
        <f>SUM(E6:E14)</f>
        <v>0</v>
      </c>
      <c r="F15" s="1777">
        <f>SUM(F6:F14)</f>
        <v>0</v>
      </c>
      <c r="G15" s="552"/>
    </row>
    <row r="16" spans="1:7" s="202" customFormat="1" ht="15.75" customHeight="1" thickTop="1" x14ac:dyDescent="0.2">
      <c r="A16" s="2216" t="s">
        <v>1172</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405</v>
      </c>
      <c r="B19" s="2230"/>
      <c r="C19" s="727"/>
      <c r="D19" s="585"/>
      <c r="E19" s="727"/>
      <c r="F19" s="1777">
        <f>SUM(C19+D19)-E19</f>
        <v>0</v>
      </c>
    </row>
    <row r="20" spans="1:11" ht="12.75" customHeight="1" thickTop="1" thickBot="1" x14ac:dyDescent="0.25">
      <c r="A20" s="2229" t="s">
        <v>467</v>
      </c>
      <c r="B20" s="2230"/>
      <c r="C20" s="727"/>
      <c r="D20" s="585"/>
      <c r="E20" s="727"/>
      <c r="F20" s="1777">
        <f>SUM(C20+D20)-E20</f>
        <v>0</v>
      </c>
    </row>
    <row r="21" spans="1:11" ht="14.25" thickTop="1" thickBot="1" x14ac:dyDescent="0.25">
      <c r="A21" s="2206" t="s">
        <v>652</v>
      </c>
      <c r="B21" s="2207"/>
      <c r="C21" s="1777">
        <f>SUM(C17:C20)</f>
        <v>0</v>
      </c>
      <c r="D21" s="1777">
        <f>SUM(D17:D20)</f>
        <v>0</v>
      </c>
      <c r="E21" s="1777">
        <f>SUM(E17:E20)</f>
        <v>0</v>
      </c>
      <c r="F21" s="1777">
        <f>SUM(F17:F20)</f>
        <v>0</v>
      </c>
      <c r="G21" s="552"/>
    </row>
    <row r="22" spans="1:11" ht="15.75" customHeight="1" thickTop="1" x14ac:dyDescent="0.2">
      <c r="A22" s="2231" t="s">
        <v>1173</v>
      </c>
      <c r="B22" s="2205"/>
      <c r="C22" s="2213"/>
      <c r="D22" s="2214"/>
      <c r="E22" s="2214"/>
      <c r="F22" s="2215"/>
    </row>
    <row r="23" spans="1:11" ht="13.5" thickBot="1" x14ac:dyDescent="0.25">
      <c r="A23" s="2219" t="s">
        <v>653</v>
      </c>
      <c r="B23" s="2220"/>
      <c r="C23" s="581"/>
      <c r="D23" s="581"/>
      <c r="E23" s="581"/>
      <c r="F23" s="1777">
        <f>SUM(C23+D23)-E23</f>
        <v>0</v>
      </c>
      <c r="G23" s="552"/>
    </row>
    <row r="24" spans="1:11" ht="15.75" customHeight="1" thickTop="1" x14ac:dyDescent="0.2">
      <c r="A24" s="2231" t="s">
        <v>1174</v>
      </c>
      <c r="B24" s="2205"/>
      <c r="C24" s="2213"/>
      <c r="D24" s="2214"/>
      <c r="E24" s="2214"/>
      <c r="F24" s="2215"/>
    </row>
    <row r="25" spans="1:11" ht="13.5" thickBot="1" x14ac:dyDescent="0.25">
      <c r="A25" s="2219" t="s">
        <v>654</v>
      </c>
      <c r="B25" s="2220"/>
      <c r="C25" s="581"/>
      <c r="D25" s="581"/>
      <c r="E25" s="581"/>
      <c r="F25" s="1777">
        <f>SUM(C25+D25)-E25</f>
        <v>0</v>
      </c>
      <c r="G25" s="552"/>
    </row>
    <row r="26" spans="1:11" ht="15.75" customHeight="1" thickTop="1" x14ac:dyDescent="0.2">
      <c r="A26" s="2204" t="s">
        <v>677</v>
      </c>
      <c r="B26" s="2205"/>
      <c r="C26" s="728"/>
      <c r="D26" s="728"/>
      <c r="E26" s="728"/>
      <c r="F26" s="729"/>
    </row>
    <row r="27" spans="1:11" ht="13.5" thickBot="1" x14ac:dyDescent="0.25">
      <c r="A27" s="2206" t="s">
        <v>1129</v>
      </c>
      <c r="B27" s="2207"/>
      <c r="C27" s="585"/>
      <c r="D27" s="585"/>
      <c r="E27" s="585"/>
      <c r="F27" s="1777">
        <f>SUM(C27+D27)-E27</f>
        <v>0</v>
      </c>
      <c r="G27" s="552"/>
    </row>
    <row r="28" spans="1:11" ht="7.5" customHeight="1" thickTop="1" x14ac:dyDescent="0.2">
      <c r="A28" s="594"/>
    </row>
    <row r="29" spans="1:11" ht="23.25" customHeight="1" x14ac:dyDescent="0.2">
      <c r="A29" s="2232" t="s">
        <v>602</v>
      </c>
      <c r="B29" s="2209"/>
      <c r="C29" s="730"/>
      <c r="D29" s="730"/>
      <c r="E29" s="730"/>
      <c r="F29" s="730"/>
      <c r="G29" s="730"/>
      <c r="H29" s="730"/>
      <c r="I29" s="730"/>
      <c r="J29" s="730"/>
    </row>
    <row r="30" spans="1:11" ht="33.75" x14ac:dyDescent="0.2">
      <c r="A30" s="1551" t="s">
        <v>1130</v>
      </c>
      <c r="B30" s="731" t="s">
        <v>1185</v>
      </c>
      <c r="C30" s="1910" t="s">
        <v>603</v>
      </c>
      <c r="D30" s="1910" t="s">
        <v>1771</v>
      </c>
      <c r="E30" s="1910" t="s">
        <v>2039</v>
      </c>
      <c r="F30" s="1910" t="s">
        <v>2040</v>
      </c>
      <c r="G30" s="1910" t="s">
        <v>2043</v>
      </c>
      <c r="H30" s="1910" t="s">
        <v>2041</v>
      </c>
      <c r="I30" s="1910" t="s">
        <v>2042</v>
      </c>
      <c r="J30" s="1911" t="s">
        <v>2</v>
      </c>
      <c r="K30" s="732"/>
    </row>
    <row r="31" spans="1:11" ht="12" customHeight="1" x14ac:dyDescent="0.2">
      <c r="A31" s="733" t="s">
        <v>2093</v>
      </c>
      <c r="B31" s="734">
        <v>39783</v>
      </c>
      <c r="C31" s="735">
        <v>9500000</v>
      </c>
      <c r="D31" s="736">
        <v>6</v>
      </c>
      <c r="E31" s="735">
        <v>930000</v>
      </c>
      <c r="F31" s="735"/>
      <c r="G31" s="735"/>
      <c r="H31" s="735">
        <v>445000</v>
      </c>
      <c r="I31" s="1778">
        <f>((E31+F31)-H31)+G31</f>
        <v>485000</v>
      </c>
      <c r="J31" s="735">
        <v>0</v>
      </c>
      <c r="K31" s="737"/>
    </row>
    <row r="32" spans="1:11" ht="12" customHeight="1" x14ac:dyDescent="0.2">
      <c r="A32" s="733" t="s">
        <v>2094</v>
      </c>
      <c r="B32" s="734">
        <v>39845</v>
      </c>
      <c r="C32" s="735">
        <v>2950000</v>
      </c>
      <c r="D32" s="736">
        <v>6</v>
      </c>
      <c r="E32" s="735">
        <v>310000</v>
      </c>
      <c r="F32" s="735"/>
      <c r="G32" s="735"/>
      <c r="H32" s="735">
        <v>155000</v>
      </c>
      <c r="I32" s="1778">
        <f>((E32+F32)-H32)+G32</f>
        <v>155000</v>
      </c>
      <c r="J32" s="735">
        <v>24452</v>
      </c>
      <c r="K32" s="737"/>
    </row>
    <row r="33" spans="1:11" ht="12" customHeight="1" x14ac:dyDescent="0.2">
      <c r="A33" s="733" t="s">
        <v>2096</v>
      </c>
      <c r="B33" s="734">
        <v>42130</v>
      </c>
      <c r="C33" s="735">
        <v>1000000</v>
      </c>
      <c r="D33" s="736">
        <v>1</v>
      </c>
      <c r="E33" s="735">
        <v>850000</v>
      </c>
      <c r="F33" s="735"/>
      <c r="G33" s="735"/>
      <c r="H33" s="735">
        <v>200000</v>
      </c>
      <c r="I33" s="1778">
        <f t="shared" ref="I33:I48" si="1">((E33+F33)-H33)+G33</f>
        <v>650000</v>
      </c>
      <c r="J33" s="735">
        <v>650000</v>
      </c>
      <c r="K33" s="737"/>
    </row>
    <row r="34" spans="1:11" ht="12" customHeight="1" x14ac:dyDescent="0.2">
      <c r="A34" s="733" t="s">
        <v>2095</v>
      </c>
      <c r="B34" s="734">
        <v>42650</v>
      </c>
      <c r="C34" s="735">
        <v>9130000</v>
      </c>
      <c r="D34" s="736">
        <v>3</v>
      </c>
      <c r="E34" s="735">
        <v>9130000</v>
      </c>
      <c r="F34" s="735"/>
      <c r="G34" s="735"/>
      <c r="H34" s="735">
        <v>205000</v>
      </c>
      <c r="I34" s="1778">
        <f t="shared" si="1"/>
        <v>8925000</v>
      </c>
      <c r="J34" s="735">
        <v>8925000</v>
      </c>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281</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22580000</v>
      </c>
      <c r="D49" s="746"/>
      <c r="E49" s="1778">
        <f t="shared" ref="E49:J49" si="2">SUM(E31:E48)</f>
        <v>11220000</v>
      </c>
      <c r="F49" s="1778">
        <f t="shared" si="2"/>
        <v>0</v>
      </c>
      <c r="G49" s="1778">
        <f t="shared" si="2"/>
        <v>0</v>
      </c>
      <c r="H49" s="1778">
        <f t="shared" si="2"/>
        <v>1005000</v>
      </c>
      <c r="I49" s="1778">
        <f t="shared" si="2"/>
        <v>10215000</v>
      </c>
      <c r="J49" s="1778">
        <f t="shared" si="2"/>
        <v>9599452</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967</v>
      </c>
      <c r="B52" s="2223" t="s">
        <v>604</v>
      </c>
      <c r="C52" s="2224"/>
      <c r="D52" s="2224"/>
      <c r="E52" s="750" t="s">
        <v>899</v>
      </c>
      <c r="F52" s="2225"/>
      <c r="G52" s="2226"/>
      <c r="H52" s="737"/>
      <c r="I52" s="737"/>
      <c r="J52" s="747"/>
    </row>
    <row r="53" spans="1:11" ht="11.25" customHeight="1" x14ac:dyDescent="0.2">
      <c r="A53" s="751" t="s">
        <v>968</v>
      </c>
      <c r="B53" s="752" t="s">
        <v>1007</v>
      </c>
      <c r="C53" s="747"/>
      <c r="D53" s="738"/>
      <c r="E53" s="750" t="s">
        <v>517</v>
      </c>
      <c r="F53" s="2227"/>
      <c r="G53" s="2228"/>
      <c r="H53" s="737"/>
      <c r="I53" s="737"/>
      <c r="J53" s="747"/>
    </row>
    <row r="54" spans="1:11" ht="11.25" customHeight="1" x14ac:dyDescent="0.2">
      <c r="A54" s="753" t="s">
        <v>969</v>
      </c>
      <c r="B54" s="748" t="s">
        <v>1008</v>
      </c>
      <c r="C54" s="747"/>
      <c r="D54" s="738"/>
      <c r="E54" s="750" t="s">
        <v>518</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6" sqref="J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910</v>
      </c>
      <c r="B1" s="2258"/>
      <c r="C1" s="2258"/>
      <c r="D1" s="2258"/>
      <c r="E1" s="2258"/>
      <c r="F1" s="2258"/>
      <c r="G1" s="2259"/>
      <c r="H1" s="1552"/>
      <c r="I1" s="761"/>
      <c r="J1" s="433"/>
    </row>
    <row r="2" spans="1:11" ht="26.25" x14ac:dyDescent="0.2">
      <c r="A2" s="2236" t="s">
        <v>1775</v>
      </c>
      <c r="B2" s="2237"/>
      <c r="C2" s="2237"/>
      <c r="D2" s="2237"/>
      <c r="E2" s="2238"/>
      <c r="F2" s="762" t="s">
        <v>959</v>
      </c>
      <c r="G2" s="763" t="s">
        <v>1772</v>
      </c>
      <c r="H2" s="763" t="s">
        <v>429</v>
      </c>
      <c r="I2" s="763" t="s">
        <v>1219</v>
      </c>
      <c r="J2" s="763" t="s">
        <v>1918</v>
      </c>
      <c r="K2" s="763" t="s">
        <v>140</v>
      </c>
    </row>
    <row r="3" spans="1:11" x14ac:dyDescent="0.2">
      <c r="A3" s="2239" t="s">
        <v>1697</v>
      </c>
      <c r="B3" s="2240"/>
      <c r="C3" s="2240"/>
      <c r="D3" s="2240"/>
      <c r="E3" s="2241"/>
      <c r="F3" s="764"/>
      <c r="G3" s="765"/>
      <c r="H3" s="765"/>
      <c r="I3" s="765"/>
      <c r="J3" s="766">
        <v>813306</v>
      </c>
      <c r="K3" s="766"/>
    </row>
    <row r="4" spans="1:11" x14ac:dyDescent="0.2">
      <c r="A4" s="2242" t="s">
        <v>386</v>
      </c>
      <c r="B4" s="2243"/>
      <c r="C4" s="2243"/>
      <c r="D4" s="2243"/>
      <c r="E4" s="2224"/>
      <c r="F4" s="767"/>
      <c r="G4" s="768"/>
      <c r="H4" s="769"/>
      <c r="I4" s="768"/>
      <c r="J4" s="770"/>
      <c r="K4" s="770"/>
    </row>
    <row r="5" spans="1:11" x14ac:dyDescent="0.2">
      <c r="A5" s="2260" t="s">
        <v>1128</v>
      </c>
      <c r="B5" s="2233"/>
      <c r="C5" s="2233"/>
      <c r="D5" s="2233"/>
      <c r="E5" s="2261"/>
      <c r="F5" s="771" t="s">
        <v>902</v>
      </c>
      <c r="G5" s="772"/>
      <c r="H5" s="765">
        <v>51368</v>
      </c>
      <c r="I5" s="773"/>
      <c r="J5" s="774"/>
      <c r="K5" s="774"/>
    </row>
    <row r="6" spans="1:11" x14ac:dyDescent="0.2">
      <c r="A6" s="775" t="s">
        <v>743</v>
      </c>
      <c r="B6" s="776"/>
      <c r="C6" s="776"/>
      <c r="D6" s="776"/>
      <c r="E6" s="777"/>
      <c r="F6" s="778" t="s">
        <v>903</v>
      </c>
      <c r="G6" s="765"/>
      <c r="H6" s="765"/>
      <c r="I6" s="765"/>
      <c r="J6" s="766">
        <v>30239</v>
      </c>
      <c r="K6" s="766"/>
    </row>
    <row r="7" spans="1:11" x14ac:dyDescent="0.2">
      <c r="A7" s="779" t="s">
        <v>264</v>
      </c>
      <c r="B7" s="780"/>
      <c r="C7" s="780"/>
      <c r="D7" s="780"/>
      <c r="E7" s="781"/>
      <c r="F7" s="771" t="s">
        <v>904</v>
      </c>
      <c r="G7" s="768"/>
      <c r="H7" s="768"/>
      <c r="I7" s="768"/>
      <c r="J7" s="782"/>
      <c r="K7" s="766">
        <v>10780</v>
      </c>
    </row>
    <row r="8" spans="1:11" x14ac:dyDescent="0.2">
      <c r="A8" s="779" t="s">
        <v>362</v>
      </c>
      <c r="B8" s="780"/>
      <c r="C8" s="780"/>
      <c r="D8" s="780"/>
      <c r="E8" s="781"/>
      <c r="F8" s="771" t="s">
        <v>905</v>
      </c>
      <c r="G8" s="783"/>
      <c r="H8" s="783"/>
      <c r="I8" s="783"/>
      <c r="J8" s="766">
        <v>561923</v>
      </c>
      <c r="K8" s="770"/>
    </row>
    <row r="9" spans="1:11" x14ac:dyDescent="0.2">
      <c r="A9" s="779" t="s">
        <v>140</v>
      </c>
      <c r="B9" s="780"/>
      <c r="C9" s="780"/>
      <c r="D9" s="780"/>
      <c r="E9" s="781"/>
      <c r="F9" s="778" t="s">
        <v>907</v>
      </c>
      <c r="G9" s="783"/>
      <c r="H9" s="772"/>
      <c r="I9" s="772"/>
      <c r="J9" s="782"/>
      <c r="K9" s="766">
        <v>14170</v>
      </c>
    </row>
    <row r="10" spans="1:11" x14ac:dyDescent="0.2">
      <c r="A10" s="2260" t="s">
        <v>1919</v>
      </c>
      <c r="B10" s="2233"/>
      <c r="C10" s="2233"/>
      <c r="D10" s="2233"/>
      <c r="E10" s="2262"/>
      <c r="F10" s="784" t="s">
        <v>916</v>
      </c>
      <c r="G10" s="783"/>
      <c r="H10" s="785"/>
      <c r="I10" s="765"/>
      <c r="J10" s="766"/>
      <c r="K10" s="766"/>
    </row>
    <row r="11" spans="1:11" x14ac:dyDescent="0.2">
      <c r="A11" s="2260" t="s">
        <v>162</v>
      </c>
      <c r="B11" s="2233"/>
      <c r="C11" s="2233"/>
      <c r="D11" s="2233"/>
      <c r="E11" s="2261"/>
      <c r="F11" s="771" t="s">
        <v>906</v>
      </c>
      <c r="G11" s="772"/>
      <c r="H11" s="765"/>
      <c r="I11" s="765"/>
      <c r="J11" s="766"/>
      <c r="K11" s="774"/>
    </row>
    <row r="12" spans="1:11" ht="13.5" thickBot="1" x14ac:dyDescent="0.25">
      <c r="A12" s="2250" t="s">
        <v>960</v>
      </c>
      <c r="B12" s="2251"/>
      <c r="C12" s="2251"/>
      <c r="D12" s="2251"/>
      <c r="E12" s="2252"/>
      <c r="F12" s="1779"/>
      <c r="G12" s="1780">
        <f>SUM(G5:G11)</f>
        <v>0</v>
      </c>
      <c r="H12" s="1780">
        <f>SUM(H5:H11)</f>
        <v>51368</v>
      </c>
      <c r="I12" s="1780">
        <f>SUM(I5:I11)</f>
        <v>0</v>
      </c>
      <c r="J12" s="1780">
        <f>SUM(J5:J11)</f>
        <v>592162</v>
      </c>
      <c r="K12" s="1780">
        <f>SUM(K5:K11)</f>
        <v>24950</v>
      </c>
    </row>
    <row r="13" spans="1:11" ht="13.5" thickTop="1" x14ac:dyDescent="0.2">
      <c r="A13" s="2244" t="s">
        <v>387</v>
      </c>
      <c r="B13" s="2245"/>
      <c r="C13" s="2245"/>
      <c r="D13" s="2245"/>
      <c r="E13" s="2246"/>
      <c r="F13" s="786"/>
      <c r="G13" s="787"/>
      <c r="H13" s="788"/>
      <c r="I13" s="789"/>
      <c r="J13" s="789"/>
      <c r="K13" s="789"/>
    </row>
    <row r="14" spans="1:11" x14ac:dyDescent="0.2">
      <c r="A14" s="2266" t="s">
        <v>475</v>
      </c>
      <c r="B14" s="2266"/>
      <c r="C14" s="2266"/>
      <c r="D14" s="2266"/>
      <c r="E14" s="2267"/>
      <c r="F14" s="790" t="s">
        <v>908</v>
      </c>
      <c r="G14" s="783"/>
      <c r="H14" s="765">
        <v>51368</v>
      </c>
      <c r="I14" s="772"/>
      <c r="J14" s="774"/>
      <c r="K14" s="766">
        <v>24950</v>
      </c>
    </row>
    <row r="15" spans="1:11" x14ac:dyDescent="0.2">
      <c r="A15" s="2233" t="s">
        <v>4</v>
      </c>
      <c r="B15" s="2233"/>
      <c r="C15" s="2233"/>
      <c r="D15" s="2233"/>
      <c r="E15" s="2261"/>
      <c r="F15" s="790" t="s">
        <v>909</v>
      </c>
      <c r="G15" s="772"/>
      <c r="H15" s="765"/>
      <c r="I15" s="765"/>
      <c r="J15" s="766">
        <v>334395</v>
      </c>
      <c r="K15" s="766"/>
    </row>
    <row r="16" spans="1:11" x14ac:dyDescent="0.2">
      <c r="A16" s="2233" t="s">
        <v>315</v>
      </c>
      <c r="B16" s="2233"/>
      <c r="C16" s="2233"/>
      <c r="D16" s="2233"/>
      <c r="E16" s="2261"/>
      <c r="F16" s="790" t="s">
        <v>979</v>
      </c>
      <c r="G16" s="773"/>
      <c r="H16" s="768"/>
      <c r="I16" s="768"/>
      <c r="J16" s="770"/>
      <c r="K16" s="770"/>
    </row>
    <row r="17" spans="1:11" x14ac:dyDescent="0.2">
      <c r="A17" s="2255" t="s">
        <v>991</v>
      </c>
      <c r="B17" s="2255"/>
      <c r="C17" s="2255"/>
      <c r="D17" s="2255"/>
      <c r="E17" s="2256"/>
      <c r="F17" s="791"/>
      <c r="G17" s="792"/>
      <c r="H17" s="793"/>
      <c r="I17" s="793"/>
      <c r="J17" s="794"/>
      <c r="K17" s="795"/>
    </row>
    <row r="18" spans="1:11" x14ac:dyDescent="0.2">
      <c r="A18" s="2247" t="s">
        <v>385</v>
      </c>
      <c r="B18" s="2248"/>
      <c r="C18" s="2248"/>
      <c r="D18" s="2248"/>
      <c r="E18" s="2249"/>
      <c r="F18" s="790" t="s">
        <v>988</v>
      </c>
      <c r="G18" s="783"/>
      <c r="H18" s="783"/>
      <c r="I18" s="783"/>
      <c r="J18" s="766"/>
      <c r="K18" s="796"/>
    </row>
    <row r="19" spans="1:11" ht="21.75" customHeight="1" x14ac:dyDescent="0.2">
      <c r="A19" s="2268" t="s">
        <v>1915</v>
      </c>
      <c r="B19" s="2268"/>
      <c r="C19" s="2268"/>
      <c r="D19" s="2268"/>
      <c r="E19" s="2269"/>
      <c r="F19" s="790" t="s">
        <v>989</v>
      </c>
      <c r="G19" s="783"/>
      <c r="H19" s="783"/>
      <c r="I19" s="783"/>
      <c r="J19" s="766">
        <v>139749</v>
      </c>
      <c r="K19" s="796"/>
    </row>
    <row r="20" spans="1:11" x14ac:dyDescent="0.2">
      <c r="A20" s="2247" t="s">
        <v>1920</v>
      </c>
      <c r="B20" s="2248"/>
      <c r="C20" s="2248"/>
      <c r="D20" s="2248"/>
      <c r="E20" s="2249"/>
      <c r="F20" s="790" t="s">
        <v>990</v>
      </c>
      <c r="G20" s="783"/>
      <c r="H20" s="783"/>
      <c r="I20" s="783"/>
      <c r="J20" s="766"/>
      <c r="K20" s="796"/>
    </row>
    <row r="21" spans="1:11" ht="13.5" thickBot="1" x14ac:dyDescent="0.25">
      <c r="A21" s="2253" t="s">
        <v>658</v>
      </c>
      <c r="B21" s="2253"/>
      <c r="C21" s="2253"/>
      <c r="D21" s="2253"/>
      <c r="E21" s="2253"/>
      <c r="F21" s="1781"/>
      <c r="G21" s="793"/>
      <c r="H21" s="797"/>
      <c r="I21" s="797"/>
      <c r="J21" s="1782">
        <f>SUM(J18:J20)</f>
        <v>139749</v>
      </c>
      <c r="K21" s="794"/>
    </row>
    <row r="22" spans="1:11" ht="13.5" thickTop="1" x14ac:dyDescent="0.2">
      <c r="A22" s="2233" t="s">
        <v>1921</v>
      </c>
      <c r="B22" s="2233"/>
      <c r="C22" s="2233"/>
      <c r="D22" s="2233"/>
      <c r="E22" s="2261"/>
      <c r="F22" s="790" t="s">
        <v>916</v>
      </c>
      <c r="G22" s="783"/>
      <c r="H22" s="765"/>
      <c r="I22" s="765"/>
      <c r="J22" s="798"/>
      <c r="K22" s="766"/>
    </row>
    <row r="23" spans="1:11" ht="13.5" thickBot="1" x14ac:dyDescent="0.25">
      <c r="A23" s="2254" t="s">
        <v>961</v>
      </c>
      <c r="B23" s="2253"/>
      <c r="C23" s="2253"/>
      <c r="D23" s="2253"/>
      <c r="E23" s="2253"/>
      <c r="F23" s="1783"/>
      <c r="G23" s="1780">
        <f>SUM(G14:G16,G21,G22)</f>
        <v>0</v>
      </c>
      <c r="H23" s="1780">
        <f>SUM(H14:H16,H21,H22)</f>
        <v>51368</v>
      </c>
      <c r="I23" s="1780">
        <f>SUM(I14:I16,I21,I22)</f>
        <v>0</v>
      </c>
      <c r="J23" s="1780">
        <f>SUM(J14:J16,J21,J22)</f>
        <v>474144</v>
      </c>
      <c r="K23" s="1780">
        <f>SUM(K14:K16,K21,K22)</f>
        <v>24950</v>
      </c>
    </row>
    <row r="24" spans="1:11" ht="14.25" thickTop="1" thickBot="1" x14ac:dyDescent="0.25">
      <c r="A24" s="2254" t="s">
        <v>2025</v>
      </c>
      <c r="B24" s="2253"/>
      <c r="C24" s="2253"/>
      <c r="D24" s="2253"/>
      <c r="E24" s="2253"/>
      <c r="F24" s="1784"/>
      <c r="G24" s="1785">
        <f>SUM(G3,G12)-G23</f>
        <v>0</v>
      </c>
      <c r="H24" s="1785">
        <f>SUM(H3,H12)-H23</f>
        <v>0</v>
      </c>
      <c r="I24" s="1785">
        <f>SUM(I3,I12)-I23</f>
        <v>0</v>
      </c>
      <c r="J24" s="1785">
        <f>SUM(J3,J12)-J23</f>
        <v>931324</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931324</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3"/>
      <c r="I31" s="2264"/>
      <c r="J31" s="2264"/>
      <c r="K31" s="2264"/>
    </row>
    <row r="32" spans="1:11" x14ac:dyDescent="0.2">
      <c r="A32" s="810"/>
      <c r="B32" s="237"/>
      <c r="C32" s="237"/>
      <c r="D32" s="237"/>
      <c r="E32" s="806"/>
      <c r="F32" s="812" t="s">
        <v>560</v>
      </c>
      <c r="G32" s="765"/>
      <c r="H32" s="2265"/>
      <c r="I32" s="2264"/>
      <c r="J32" s="2264"/>
      <c r="K32" s="2264"/>
    </row>
    <row r="33" spans="1:11" ht="1.5" customHeight="1" x14ac:dyDescent="0.2">
      <c r="A33" s="813" t="s">
        <v>1230</v>
      </c>
      <c r="B33" s="364"/>
      <c r="C33" s="364"/>
      <c r="D33" s="364"/>
      <c r="E33" s="364"/>
      <c r="F33" s="364"/>
      <c r="G33" s="814"/>
      <c r="H33" s="2265"/>
      <c r="I33" s="2264"/>
      <c r="J33" s="2264"/>
      <c r="K33" s="2264"/>
    </row>
    <row r="34" spans="1:11" x14ac:dyDescent="0.2">
      <c r="A34" s="815" t="s">
        <v>1922</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3" t="s">
        <v>561</v>
      </c>
      <c r="B41" s="2234"/>
      <c r="C41" s="2234"/>
      <c r="D41" s="2234"/>
      <c r="E41" s="2234"/>
      <c r="F41" s="2235"/>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1916</v>
      </c>
      <c r="B46" s="408" t="s">
        <v>1773</v>
      </c>
    </row>
    <row r="47" spans="1:11" s="824" customFormat="1" ht="12.75" customHeight="1" x14ac:dyDescent="0.2">
      <c r="A47" s="822"/>
      <c r="B47" s="823" t="s">
        <v>1774</v>
      </c>
      <c r="E47" s="823"/>
      <c r="K47" s="825"/>
    </row>
    <row r="48" spans="1:11" ht="12.75" customHeight="1" x14ac:dyDescent="0.2">
      <c r="A48" s="1554" t="s">
        <v>1917</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2034</v>
      </c>
      <c r="B1" s="2273"/>
      <c r="C1" s="2274"/>
      <c r="D1" s="827"/>
      <c r="E1" s="828"/>
      <c r="F1" s="828"/>
      <c r="G1" s="829"/>
      <c r="H1" s="830"/>
      <c r="I1" s="831"/>
      <c r="J1" s="2270"/>
      <c r="K1" s="2271"/>
      <c r="L1" s="2271"/>
    </row>
    <row r="2" spans="1:14" ht="69.75" customHeight="1" x14ac:dyDescent="0.2">
      <c r="A2" s="832" t="s">
        <v>1776</v>
      </c>
      <c r="B2" s="833" t="s">
        <v>395</v>
      </c>
      <c r="C2" s="834" t="s">
        <v>2029</v>
      </c>
      <c r="D2" s="834" t="s">
        <v>2026</v>
      </c>
      <c r="E2" s="834" t="s">
        <v>2027</v>
      </c>
      <c r="F2" s="834" t="s">
        <v>2028</v>
      </c>
      <c r="G2" s="834" t="s">
        <v>625</v>
      </c>
      <c r="H2" s="834" t="s">
        <v>2030</v>
      </c>
      <c r="I2" s="834" t="s">
        <v>2031</v>
      </c>
      <c r="J2" s="834" t="s">
        <v>2046</v>
      </c>
      <c r="K2" s="834" t="s">
        <v>2032</v>
      </c>
      <c r="L2" s="834" t="s">
        <v>2033</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376107</v>
      </c>
      <c r="D5" s="842"/>
      <c r="E5" s="842"/>
      <c r="F5" s="1782">
        <f>(C5+D5)-E5</f>
        <v>376107</v>
      </c>
      <c r="G5" s="838"/>
      <c r="H5" s="843"/>
      <c r="I5" s="843"/>
      <c r="J5" s="843"/>
      <c r="K5" s="794"/>
      <c r="L5" s="1791">
        <f>F5-K5</f>
        <v>376107</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33456948</v>
      </c>
      <c r="D8" s="845">
        <v>53239</v>
      </c>
      <c r="E8" s="845"/>
      <c r="F8" s="1782">
        <f>(C8+D8)-E8</f>
        <v>33510187</v>
      </c>
      <c r="G8" s="844">
        <v>50</v>
      </c>
      <c r="H8" s="766">
        <v>8848082</v>
      </c>
      <c r="I8" s="766">
        <v>655498</v>
      </c>
      <c r="J8" s="766"/>
      <c r="K8" s="1791">
        <f>(H8+I8)-J8</f>
        <v>9503580</v>
      </c>
      <c r="L8" s="1791">
        <f>F8-K8</f>
        <v>24006607</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c r="D10" s="847"/>
      <c r="E10" s="847"/>
      <c r="F10" s="1786">
        <f>(C10+D10)-E10</f>
        <v>0</v>
      </c>
      <c r="G10" s="844">
        <v>20</v>
      </c>
      <c r="H10" s="848"/>
      <c r="I10" s="848"/>
      <c r="J10" s="848"/>
      <c r="K10" s="1791">
        <f>(H10+I10)-J10</f>
        <v>0</v>
      </c>
      <c r="L10" s="1791">
        <f>F10-K10</f>
        <v>0</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949312</v>
      </c>
      <c r="D12" s="845">
        <v>178187</v>
      </c>
      <c r="E12" s="845"/>
      <c r="F12" s="1782">
        <f>(C12+D12)-E12</f>
        <v>1127499</v>
      </c>
      <c r="G12" s="844">
        <v>10</v>
      </c>
      <c r="H12" s="766">
        <v>589994</v>
      </c>
      <c r="I12" s="766">
        <v>66054</v>
      </c>
      <c r="J12" s="766"/>
      <c r="K12" s="1791">
        <f>(H12+I12)-J12</f>
        <v>656048</v>
      </c>
      <c r="L12" s="1791">
        <f>F12-K12</f>
        <v>471451</v>
      </c>
    </row>
    <row r="13" spans="1:14" ht="14.25" thickTop="1" thickBot="1" x14ac:dyDescent="0.25">
      <c r="A13" s="849" t="s">
        <v>1183</v>
      </c>
      <c r="B13" s="841">
        <v>252</v>
      </c>
      <c r="C13" s="845">
        <v>1462464</v>
      </c>
      <c r="D13" s="845">
        <v>164492</v>
      </c>
      <c r="E13" s="845">
        <v>58900</v>
      </c>
      <c r="F13" s="1782">
        <f>(C13+D13)-E13</f>
        <v>1568056</v>
      </c>
      <c r="G13" s="844">
        <v>5</v>
      </c>
      <c r="H13" s="766">
        <v>1280580</v>
      </c>
      <c r="I13" s="766">
        <v>96285</v>
      </c>
      <c r="J13" s="766">
        <v>58900</v>
      </c>
      <c r="K13" s="1791">
        <f>(H13+I13)-J13</f>
        <v>1317965</v>
      </c>
      <c r="L13" s="1791">
        <f>F13-K13</f>
        <v>250091</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36244831</v>
      </c>
      <c r="D16" s="1782">
        <f>SUM(D3,D5:D6,D8:D10,D12:D15)</f>
        <v>395918</v>
      </c>
      <c r="E16" s="1782">
        <f>SUM(E3,E5:E6,E8:E10,E12:E15)</f>
        <v>58900</v>
      </c>
      <c r="F16" s="1782">
        <f>SUM(F3,F5:F6,F8:F10,F12:F15)</f>
        <v>36581849</v>
      </c>
      <c r="G16" s="844"/>
      <c r="H16" s="1782">
        <f>SUM(H3,H6,H8:H10,H12:H14,)</f>
        <v>10718656</v>
      </c>
      <c r="I16" s="1782">
        <f>SUM(I3,I6,I8:I10,I12:I14,)</f>
        <v>817837</v>
      </c>
      <c r="J16" s="1782">
        <f>SUM(J3,J6,J8:J10,J12:J14,)</f>
        <v>58900</v>
      </c>
      <c r="K16" s="1782">
        <f>(H16+I16)-J16</f>
        <v>11477593</v>
      </c>
      <c r="L16" s="1782">
        <f>F16-K16</f>
        <v>25104256</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817837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4"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1698</v>
      </c>
      <c r="B1" s="2279"/>
      <c r="C1" s="2279"/>
      <c r="D1" s="2279"/>
      <c r="E1" s="2279"/>
      <c r="F1" s="2280"/>
      <c r="G1" s="856"/>
    </row>
    <row r="2" spans="1:7" ht="15" customHeight="1" thickBot="1" x14ac:dyDescent="0.25">
      <c r="A2" s="2281" t="s">
        <v>497</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4"/>
      <c r="B5" s="2285"/>
      <c r="C5" s="2285"/>
      <c r="D5" s="2285"/>
      <c r="E5" s="2285"/>
      <c r="F5" s="2285"/>
    </row>
    <row r="6" spans="1:7" ht="13.5" customHeight="1" thickBot="1" x14ac:dyDescent="0.25">
      <c r="A6" s="2275" t="s">
        <v>1165</v>
      </c>
      <c r="B6" s="2276"/>
      <c r="C6" s="2276"/>
      <c r="D6" s="2276"/>
      <c r="E6" s="2276"/>
      <c r="F6" s="2277"/>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6752875</v>
      </c>
      <c r="G8" s="866"/>
    </row>
    <row r="9" spans="1:7" x14ac:dyDescent="0.2">
      <c r="A9" s="870" t="s">
        <v>479</v>
      </c>
      <c r="B9" s="871" t="s">
        <v>1988</v>
      </c>
      <c r="C9" s="872"/>
      <c r="D9" s="870" t="s">
        <v>521</v>
      </c>
      <c r="E9" s="869"/>
      <c r="F9" s="1935">
        <f>'Expenditures 15-22'!K151</f>
        <v>618376</v>
      </c>
      <c r="G9" s="873"/>
    </row>
    <row r="10" spans="1:7" x14ac:dyDescent="0.2">
      <c r="A10" s="870" t="s">
        <v>519</v>
      </c>
      <c r="B10" s="871" t="s">
        <v>1989</v>
      </c>
      <c r="C10" s="872"/>
      <c r="D10" s="870" t="s">
        <v>521</v>
      </c>
      <c r="E10" s="869"/>
      <c r="F10" s="1935">
        <f>'Expenditures 15-22'!K174</f>
        <v>1398343</v>
      </c>
      <c r="G10" s="873"/>
    </row>
    <row r="11" spans="1:7" x14ac:dyDescent="0.2">
      <c r="A11" s="870" t="s">
        <v>480</v>
      </c>
      <c r="B11" s="871" t="s">
        <v>1990</v>
      </c>
      <c r="C11" s="872"/>
      <c r="D11" s="870" t="s">
        <v>521</v>
      </c>
      <c r="E11" s="869"/>
      <c r="F11" s="1935">
        <f>'Expenditures 15-22'!K210</f>
        <v>565958</v>
      </c>
      <c r="G11" s="873"/>
    </row>
    <row r="12" spans="1:7" x14ac:dyDescent="0.2">
      <c r="A12" s="870" t="s">
        <v>481</v>
      </c>
      <c r="B12" s="871" t="s">
        <v>1991</v>
      </c>
      <c r="C12" s="872"/>
      <c r="D12" s="870" t="s">
        <v>521</v>
      </c>
      <c r="E12" s="869"/>
      <c r="F12" s="1935">
        <f>'Expenditures 15-22'!K295</f>
        <v>193994</v>
      </c>
      <c r="G12" s="873"/>
    </row>
    <row r="13" spans="1:7" x14ac:dyDescent="0.2">
      <c r="A13" s="870" t="s">
        <v>108</v>
      </c>
      <c r="B13" s="871" t="s">
        <v>1992</v>
      </c>
      <c r="C13" s="872"/>
      <c r="D13" s="870" t="s">
        <v>521</v>
      </c>
      <c r="E13" s="869"/>
      <c r="F13" s="1935">
        <f>'Expenditures 15-22'!K342</f>
        <v>374541</v>
      </c>
      <c r="G13" s="874"/>
    </row>
    <row r="14" spans="1:7" ht="12" customHeight="1" thickBot="1" x14ac:dyDescent="0.25">
      <c r="A14" s="1792"/>
      <c r="B14" s="1793"/>
      <c r="C14" s="1794"/>
      <c r="D14" s="1795" t="s">
        <v>521</v>
      </c>
      <c r="E14" s="1796" t="s">
        <v>1014</v>
      </c>
      <c r="F14" s="1797">
        <f>SUM(F8:F13)</f>
        <v>9904087</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126355</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0</v>
      </c>
      <c r="G52" s="866"/>
    </row>
    <row r="53" spans="1:7" x14ac:dyDescent="0.2">
      <c r="A53" s="870" t="s">
        <v>478</v>
      </c>
      <c r="B53" s="870" t="s">
        <v>1550</v>
      </c>
      <c r="C53" s="890">
        <f>'Expenditures 15-22'!B102</f>
        <v>4000</v>
      </c>
      <c r="D53" s="889" t="str">
        <f>'Expenditures 15-22'!A102</f>
        <v>Total Payments to Other Govt Units</v>
      </c>
      <c r="E53" s="869"/>
      <c r="F53" s="1939">
        <f>'Expenditures 15-22'!K102</f>
        <v>414601</v>
      </c>
      <c r="G53" s="866"/>
    </row>
    <row r="54" spans="1:7" x14ac:dyDescent="0.2">
      <c r="A54" s="870" t="s">
        <v>478</v>
      </c>
      <c r="B54" s="870" t="s">
        <v>1551</v>
      </c>
      <c r="C54" s="890" t="s">
        <v>1038</v>
      </c>
      <c r="D54" s="886" t="s">
        <v>1156</v>
      </c>
      <c r="E54" s="869"/>
      <c r="F54" s="1939">
        <f>'Expenditures 15-22'!G114</f>
        <v>47411</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1993</v>
      </c>
      <c r="C57" s="890">
        <f>'Expenditures 15-22'!B139</f>
        <v>4000</v>
      </c>
      <c r="D57" s="888" t="str">
        <f>'Expenditures 15-22'!A139</f>
        <v>Total Payments to Other Govt Units</v>
      </c>
      <c r="E57" s="869"/>
      <c r="F57" s="1939">
        <f>'Expenditures 15-22'!K139</f>
        <v>0</v>
      </c>
      <c r="G57" s="866"/>
    </row>
    <row r="58" spans="1:7" x14ac:dyDescent="0.2">
      <c r="A58" s="870" t="s">
        <v>479</v>
      </c>
      <c r="B58" s="870" t="s">
        <v>1994</v>
      </c>
      <c r="C58" s="887" t="s">
        <v>1038</v>
      </c>
      <c r="D58" s="886" t="s">
        <v>1156</v>
      </c>
      <c r="E58" s="869"/>
      <c r="F58" s="1941">
        <f>'Expenditures 15-22'!G151</f>
        <v>3172</v>
      </c>
      <c r="G58" s="866"/>
    </row>
    <row r="59" spans="1:7" x14ac:dyDescent="0.2">
      <c r="A59" s="894" t="s">
        <v>479</v>
      </c>
      <c r="B59" s="857" t="s">
        <v>1995</v>
      </c>
      <c r="C59" s="895" t="s">
        <v>1038</v>
      </c>
      <c r="D59" s="857" t="s">
        <v>308</v>
      </c>
      <c r="F59" s="1942">
        <f>'Expenditures 15-22'!I151</f>
        <v>0</v>
      </c>
      <c r="G59" s="866"/>
    </row>
    <row r="60" spans="1:7" x14ac:dyDescent="0.2">
      <c r="A60" s="894" t="s">
        <v>519</v>
      </c>
      <c r="B60" s="857" t="s">
        <v>1996</v>
      </c>
      <c r="C60" s="895">
        <v>4000</v>
      </c>
      <c r="D60" s="857" t="s">
        <v>329</v>
      </c>
      <c r="F60" s="1940">
        <f>'Expenditures 15-22'!K160</f>
        <v>0</v>
      </c>
      <c r="G60" s="866"/>
    </row>
    <row r="61" spans="1:7" x14ac:dyDescent="0.2">
      <c r="A61" s="896" t="s">
        <v>519</v>
      </c>
      <c r="B61" s="896" t="s">
        <v>1997</v>
      </c>
      <c r="C61" s="897" t="str">
        <f>'Expenditures 15-22'!B170</f>
        <v>5300</v>
      </c>
      <c r="D61" s="898" t="s">
        <v>328</v>
      </c>
      <c r="E61" s="880"/>
      <c r="F61" s="1939">
        <f>'Expenditures 15-22'!K170</f>
        <v>1005000</v>
      </c>
      <c r="G61" s="866"/>
    </row>
    <row r="62" spans="1:7" x14ac:dyDescent="0.2">
      <c r="A62" s="870" t="s">
        <v>480</v>
      </c>
      <c r="B62" s="870" t="s">
        <v>1998</v>
      </c>
      <c r="C62" s="887">
        <f>'Expenditures 15-22'!B185</f>
        <v>3000</v>
      </c>
      <c r="D62" s="877" t="s">
        <v>468</v>
      </c>
      <c r="E62" s="869"/>
      <c r="F62" s="1939">
        <f>'Expenditures 15-22'!K185-SUM('Expenditures 15-22'!G185,'Expenditures 15-22'!I185)</f>
        <v>0</v>
      </c>
      <c r="G62" s="866"/>
    </row>
    <row r="63" spans="1:7" x14ac:dyDescent="0.2">
      <c r="A63" s="870" t="s">
        <v>480</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480</v>
      </c>
      <c r="B64" s="896" t="s">
        <v>2000</v>
      </c>
      <c r="C64" s="897" t="str">
        <f>'Expenditures 15-22'!B206</f>
        <v>5300</v>
      </c>
      <c r="D64" s="893" t="s">
        <v>328</v>
      </c>
      <c r="E64" s="869"/>
      <c r="F64" s="1939">
        <f>'Expenditures 15-22'!K206</f>
        <v>0</v>
      </c>
      <c r="G64" s="866"/>
    </row>
    <row r="65" spans="1:8" x14ac:dyDescent="0.2">
      <c r="A65" s="870" t="s">
        <v>480</v>
      </c>
      <c r="B65" s="870" t="s">
        <v>2001</v>
      </c>
      <c r="C65" s="887" t="s">
        <v>1038</v>
      </c>
      <c r="D65" s="886" t="s">
        <v>1156</v>
      </c>
      <c r="E65" s="869"/>
      <c r="F65" s="1939">
        <f>'Expenditures 15-22'!G210</f>
        <v>135288</v>
      </c>
      <c r="G65" s="866"/>
    </row>
    <row r="66" spans="1:8" x14ac:dyDescent="0.2">
      <c r="A66" s="870" t="s">
        <v>480</v>
      </c>
      <c r="B66" s="870" t="s">
        <v>2002</v>
      </c>
      <c r="C66" s="887" t="s">
        <v>1038</v>
      </c>
      <c r="D66" s="886" t="s">
        <v>308</v>
      </c>
      <c r="E66" s="869"/>
      <c r="F66" s="1939">
        <f>'Expenditures 15-22'!I210</f>
        <v>0</v>
      </c>
      <c r="G66" s="866"/>
    </row>
    <row r="67" spans="1:8" x14ac:dyDescent="0.2">
      <c r="A67" s="870" t="s">
        <v>481</v>
      </c>
      <c r="B67" s="870" t="s">
        <v>2003</v>
      </c>
      <c r="C67" s="887" t="str">
        <f>'Expenditures 15-22'!B216</f>
        <v>1125</v>
      </c>
      <c r="D67" s="893" t="str">
        <f>'Expenditures 15-22'!A216</f>
        <v>Pre-K Programs</v>
      </c>
      <c r="E67" s="869"/>
      <c r="F67" s="1939">
        <f>'Expenditures 15-22'!K216</f>
        <v>0</v>
      </c>
      <c r="G67" s="866"/>
    </row>
    <row r="68" spans="1:8" x14ac:dyDescent="0.2">
      <c r="A68" s="870" t="s">
        <v>481</v>
      </c>
      <c r="B68" s="870" t="s">
        <v>1554</v>
      </c>
      <c r="C68" s="887" t="str">
        <f>'Expenditures 15-22'!B218</f>
        <v>1225</v>
      </c>
      <c r="D68" s="893" t="str">
        <f>'Expenditures 15-22'!A218</f>
        <v>Special Education Programs - Pre-K</v>
      </c>
      <c r="E68" s="869"/>
      <c r="F68" s="1939">
        <f>'Expenditures 15-22'!K218</f>
        <v>3539</v>
      </c>
      <c r="G68" s="866"/>
    </row>
    <row r="69" spans="1:8" x14ac:dyDescent="0.2">
      <c r="A69" s="870" t="s">
        <v>481</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2005</v>
      </c>
      <c r="C70" s="887">
        <f>'Expenditures 15-22'!B221</f>
        <v>1300</v>
      </c>
      <c r="D70" s="888" t="str">
        <f>'Expenditures 15-22'!A221</f>
        <v>Adult/Continuing Education Programs</v>
      </c>
      <c r="E70" s="869"/>
      <c r="F70" s="1939">
        <f>'Expenditures 15-22'!K221</f>
        <v>0</v>
      </c>
      <c r="G70" s="866"/>
    </row>
    <row r="71" spans="1:8" x14ac:dyDescent="0.2">
      <c r="A71" s="870" t="s">
        <v>481</v>
      </c>
      <c r="B71" s="870" t="s">
        <v>2006</v>
      </c>
      <c r="C71" s="887">
        <f>'Expenditures 15-22'!B224</f>
        <v>1600</v>
      </c>
      <c r="D71" s="888" t="str">
        <f>'Expenditures 15-22'!A224</f>
        <v>Summer School Programs</v>
      </c>
      <c r="E71" s="869"/>
      <c r="F71" s="1939">
        <f>'Expenditures 15-22'!K224</f>
        <v>0</v>
      </c>
      <c r="G71" s="866"/>
    </row>
    <row r="72" spans="1:8" x14ac:dyDescent="0.2">
      <c r="A72" s="870" t="s">
        <v>481</v>
      </c>
      <c r="B72" s="870" t="s">
        <v>2007</v>
      </c>
      <c r="C72" s="887">
        <f>'Expenditures 15-22'!B280</f>
        <v>3000</v>
      </c>
      <c r="D72" s="877" t="s">
        <v>468</v>
      </c>
      <c r="E72" s="869"/>
      <c r="F72" s="1939">
        <f>'Expenditures 15-22'!K280</f>
        <v>0</v>
      </c>
      <c r="G72" s="866"/>
    </row>
    <row r="73" spans="1:8" x14ac:dyDescent="0.2">
      <c r="A73" s="870" t="s">
        <v>481</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2009</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1014</v>
      </c>
      <c r="F76" s="1800">
        <f>SUM(F18:F74)</f>
        <v>1735366</v>
      </c>
      <c r="G76" s="866"/>
    </row>
    <row r="77" spans="1:8" s="894" customFormat="1" ht="12" customHeight="1" thickTop="1" thickBot="1" x14ac:dyDescent="0.25">
      <c r="A77" s="1801"/>
      <c r="B77" s="1798"/>
      <c r="C77" s="1794"/>
      <c r="D77" s="1799" t="s">
        <v>2011</v>
      </c>
      <c r="E77" s="1796"/>
      <c r="F77" s="1802">
        <f>(F14-F76)</f>
        <v>8168721</v>
      </c>
      <c r="G77" s="870"/>
    </row>
    <row r="78" spans="1:8" s="894" customFormat="1" ht="12" customHeight="1" thickTop="1" x14ac:dyDescent="0.2">
      <c r="A78" s="1803"/>
      <c r="B78" s="1798"/>
      <c r="C78" s="1794"/>
      <c r="D78" s="1799" t="s">
        <v>2058</v>
      </c>
      <c r="E78" s="1796"/>
      <c r="F78" s="899">
        <v>870.05</v>
      </c>
      <c r="G78" s="900"/>
      <c r="H78" s="870"/>
    </row>
    <row r="79" spans="1:8" s="894" customFormat="1" ht="12" customHeight="1" thickBot="1" x14ac:dyDescent="0.25">
      <c r="A79" s="1804"/>
      <c r="B79" s="1798"/>
      <c r="C79" s="1794"/>
      <c r="D79" s="1799" t="s">
        <v>2012</v>
      </c>
      <c r="E79" s="1796" t="s">
        <v>1014</v>
      </c>
      <c r="F79" s="1805">
        <f>IF(F78&gt;0,F77/F78," Complete Line 78")</f>
        <v>9388.7948968450091</v>
      </c>
      <c r="G79" s="870"/>
    </row>
    <row r="80" spans="1:8" s="894" customFormat="1" ht="8.25" customHeight="1" thickTop="1" x14ac:dyDescent="0.2">
      <c r="A80" s="901"/>
      <c r="B80" s="870"/>
      <c r="C80" s="872"/>
      <c r="D80" s="902"/>
      <c r="E80" s="869"/>
      <c r="F80" s="903"/>
      <c r="G80" s="870"/>
    </row>
    <row r="81" spans="1:7" s="894" customFormat="1" ht="12" thickBot="1" x14ac:dyDescent="0.25">
      <c r="A81" s="2275" t="s">
        <v>1166</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3971</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277492</v>
      </c>
      <c r="G94" s="913"/>
    </row>
    <row r="95" spans="1:7" x14ac:dyDescent="0.2">
      <c r="A95" s="909" t="s">
        <v>142</v>
      </c>
      <c r="B95" s="909" t="s">
        <v>177</v>
      </c>
      <c r="C95" s="911">
        <v>1700</v>
      </c>
      <c r="D95" s="919" t="str">
        <f>'Revenues 9-14'!A82</f>
        <v>Total District/School Activity Income</v>
      </c>
      <c r="E95" s="907"/>
      <c r="F95" s="1811">
        <f>SUM('Revenues 9-14'!C82,'Revenues 9-14'!D82)</f>
        <v>41408</v>
      </c>
      <c r="G95" s="913"/>
    </row>
    <row r="96" spans="1:7" x14ac:dyDescent="0.2">
      <c r="A96" s="909" t="s">
        <v>478</v>
      </c>
      <c r="B96" s="909" t="s">
        <v>178</v>
      </c>
      <c r="C96" s="911">
        <f>'Revenues 9-14'!B84</f>
        <v>1811</v>
      </c>
      <c r="D96" s="912" t="str">
        <f>'Revenues 9-14'!A84</f>
        <v>Rentals - Regular Textbooks</v>
      </c>
      <c r="E96" s="907"/>
      <c r="F96" s="1811">
        <f>'Revenues 9-14'!C84</f>
        <v>71623</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10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124101</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0</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2616</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14170</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313170</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750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0</v>
      </c>
      <c r="G128" s="931"/>
    </row>
    <row r="129" spans="1:7" x14ac:dyDescent="0.2">
      <c r="A129" s="928" t="s">
        <v>684</v>
      </c>
      <c r="B129" s="928" t="s">
        <v>802</v>
      </c>
      <c r="C129" s="933">
        <v>4200</v>
      </c>
      <c r="D129" s="930" t="str">
        <f>'Revenues 9-14'!A201</f>
        <v>Total Food Service</v>
      </c>
      <c r="E129" s="907"/>
      <c r="F129" s="1811">
        <f>SUM('Revenues 9-14'!C201,'Revenues 9-14'!G201)</f>
        <v>188239</v>
      </c>
      <c r="G129" s="931"/>
    </row>
    <row r="130" spans="1:7" x14ac:dyDescent="0.2">
      <c r="A130" s="928" t="s">
        <v>688</v>
      </c>
      <c r="B130" s="928" t="s">
        <v>803</v>
      </c>
      <c r="C130" s="933">
        <v>4300</v>
      </c>
      <c r="D130" s="934" t="str">
        <f>'Revenues 9-14'!A211</f>
        <v>Total Title I</v>
      </c>
      <c r="E130" s="907"/>
      <c r="F130" s="1811">
        <f>SUM('Revenues 9-14'!C211,'Revenues 9-14'!D211,'Revenues 9-14'!F211,'Revenues 9-14'!G211)</f>
        <v>178492</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236354</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23969</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7227</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c r="G175" s="928"/>
    </row>
    <row r="176" spans="1:7" x14ac:dyDescent="0.2">
      <c r="A176" s="1944" t="s">
        <v>684</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1014</v>
      </c>
      <c r="F178" s="1810">
        <f>SUM(F84:F136,F161:F176)</f>
        <v>1483592</v>
      </c>
    </row>
    <row r="179" spans="1:7" ht="12" customHeight="1" x14ac:dyDescent="0.2">
      <c r="A179" s="1792"/>
      <c r="B179" s="1806"/>
      <c r="C179" s="1807"/>
      <c r="D179" s="1808" t="s">
        <v>2014</v>
      </c>
      <c r="E179" s="1809"/>
      <c r="F179" s="1811">
        <f>'PCTC-OEPP 27-28'!F77-F178</f>
        <v>6685129</v>
      </c>
    </row>
    <row r="180" spans="1:7" ht="12" customHeight="1" x14ac:dyDescent="0.2">
      <c r="A180" s="1792"/>
      <c r="B180" s="1806"/>
      <c r="C180" s="1807"/>
      <c r="D180" s="1808" t="s">
        <v>1923</v>
      </c>
      <c r="E180" s="1809"/>
      <c r="F180" s="1811">
        <f>'Cap Outlay Deprec 26'!I18</f>
        <v>817837</v>
      </c>
    </row>
    <row r="181" spans="1:7" ht="12" customHeight="1" x14ac:dyDescent="0.2">
      <c r="A181" s="1792"/>
      <c r="B181" s="1806"/>
      <c r="C181" s="1807"/>
      <c r="D181" s="1808" t="s">
        <v>2015</v>
      </c>
      <c r="E181" s="1809"/>
      <c r="F181" s="1811">
        <f>F179+F180</f>
        <v>7502966</v>
      </c>
    </row>
    <row r="182" spans="1:7" ht="12" customHeight="1" x14ac:dyDescent="0.2">
      <c r="A182" s="1792"/>
      <c r="B182" s="1812"/>
      <c r="C182" s="1807"/>
      <c r="D182" s="1808" t="str">
        <f>D78</f>
        <v>9 Month ADA from District Average Daily Attendance/Prior General State Aid Inquiry 2017-2018</v>
      </c>
      <c r="E182" s="1809"/>
      <c r="F182" s="1813">
        <f>'PCTC-OEPP 27-28'!F78</f>
        <v>870.05</v>
      </c>
      <c r="G182" s="931"/>
    </row>
    <row r="183" spans="1:7" ht="12" customHeight="1" thickBot="1" x14ac:dyDescent="0.25">
      <c r="A183" s="1792"/>
      <c r="B183" s="1812"/>
      <c r="C183" s="1807"/>
      <c r="D183" s="1808" t="s">
        <v>2016</v>
      </c>
      <c r="E183" s="1809" t="s">
        <v>1625</v>
      </c>
      <c r="F183" s="1814">
        <f>F181/F182</f>
        <v>8623.6032411930355</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8" sqref="D18"/>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9" t="s">
        <v>1924</v>
      </c>
      <c r="B4" s="2290"/>
      <c r="C4" s="2290"/>
      <c r="D4" s="2290"/>
      <c r="E4" s="2290"/>
      <c r="F4" s="2290"/>
      <c r="G4" s="2291"/>
    </row>
    <row r="5" spans="1:7" x14ac:dyDescent="0.25">
      <c r="A5" s="2292"/>
      <c r="B5" s="2293"/>
      <c r="C5" s="2293"/>
      <c r="D5" s="2293"/>
      <c r="E5" s="2293"/>
      <c r="F5" s="2293"/>
      <c r="G5" s="2294"/>
    </row>
    <row r="6" spans="1:7" ht="18.75" x14ac:dyDescent="0.25">
      <c r="A6" s="1556" t="s">
        <v>1925</v>
      </c>
      <c r="B6" s="1557"/>
      <c r="C6" s="1557"/>
      <c r="D6" s="1557"/>
      <c r="E6" s="1557"/>
      <c r="F6" s="1557"/>
      <c r="G6" s="1558"/>
    </row>
    <row r="7" spans="1:7" ht="30.75" customHeight="1" x14ac:dyDescent="0.25">
      <c r="A7" s="2295" t="s">
        <v>2074</v>
      </c>
      <c r="B7" s="2296"/>
      <c r="C7" s="2296"/>
      <c r="D7" s="2296"/>
      <c r="E7" s="2296"/>
      <c r="F7" s="2296"/>
      <c r="G7" s="2297"/>
    </row>
    <row r="8" spans="1:7" ht="15.75" customHeight="1" x14ac:dyDescent="0.25">
      <c r="A8" s="2298" t="s">
        <v>2023</v>
      </c>
      <c r="B8" s="2299"/>
      <c r="C8" s="2299"/>
      <c r="D8" s="2299"/>
      <c r="E8" s="2299"/>
      <c r="F8" s="2299"/>
      <c r="G8" s="2300"/>
    </row>
    <row r="9" spans="1:7" ht="35.25" customHeight="1" x14ac:dyDescent="0.25">
      <c r="A9" s="2295" t="s">
        <v>2022</v>
      </c>
      <c r="B9" s="2296"/>
      <c r="C9" s="2296"/>
      <c r="D9" s="2296"/>
      <c r="E9" s="2296"/>
      <c r="F9" s="2296"/>
      <c r="G9" s="2297"/>
    </row>
    <row r="10" spans="1:7" ht="15" customHeight="1" x14ac:dyDescent="0.25">
      <c r="A10" s="1559" t="s">
        <v>1926</v>
      </c>
      <c r="B10" s="1560"/>
      <c r="C10" s="1560"/>
      <c r="D10" s="1560"/>
      <c r="E10" s="1560"/>
      <c r="F10" s="1560"/>
      <c r="G10" s="1561"/>
    </row>
    <row r="11" spans="1:7" ht="17.25" customHeight="1" x14ac:dyDescent="0.25">
      <c r="A11" s="2295" t="s">
        <v>1940</v>
      </c>
      <c r="B11" s="2296"/>
      <c r="C11" s="2296"/>
      <c r="D11" s="2296"/>
      <c r="E11" s="2296"/>
      <c r="F11" s="2296"/>
      <c r="G11" s="2297"/>
    </row>
    <row r="12" spans="1:7" ht="15" customHeight="1" x14ac:dyDescent="0.25">
      <c r="A12" s="1559" t="s">
        <v>1931</v>
      </c>
      <c r="B12" s="1560"/>
      <c r="C12" s="1560"/>
      <c r="D12" s="1560"/>
      <c r="E12" s="1560"/>
      <c r="F12" s="1560"/>
      <c r="G12" s="1561"/>
    </row>
    <row r="13" spans="1:7" ht="32.25" customHeight="1" x14ac:dyDescent="0.25">
      <c r="A13" s="2286" t="s">
        <v>1932</v>
      </c>
      <c r="B13" s="2287"/>
      <c r="C13" s="2287"/>
      <c r="D13" s="2287"/>
      <c r="E13" s="2287"/>
      <c r="F13" s="2287"/>
      <c r="G13" s="2288"/>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2097</v>
      </c>
      <c r="B17" s="1957" t="s">
        <v>2098</v>
      </c>
      <c r="C17" s="1958" t="s">
        <v>2099</v>
      </c>
      <c r="D17" s="1867">
        <v>20162</v>
      </c>
      <c r="E17" s="1562">
        <f t="shared" ref="E17:E141" si="1">IF(D17&lt;=25000,D17,IF(D17&gt;25000,25000,0))</f>
        <v>20162</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20162</v>
      </c>
      <c r="E141" s="1563">
        <f t="shared" si="1"/>
        <v>20162</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1" t="s">
        <v>1777</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6" t="s">
        <v>1944</v>
      </c>
      <c r="B11" s="2307"/>
      <c r="C11" s="2307"/>
      <c r="D11" s="2308"/>
      <c r="E11" s="978">
        <v>30225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4656461</v>
      </c>
      <c r="F19" s="1822"/>
      <c r="G19" s="1824">
        <f>'Expenditures 15-22'!K33-SUM('Expenditures 15-22'!G33,'Expenditures 15-22'!I33)+'Expenditures 15-22'!D229</f>
        <v>4656461</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109460</v>
      </c>
      <c r="F21" s="1825"/>
      <c r="G21" s="1828">
        <f>'Expenditures 15-22'!K42-SUM('Expenditures 15-22'!G42,'Expenditures 15-22'!I42)+'Expenditures 15-22'!K120-SUM('Expenditures 15-22'!G120,'Expenditures 15-22'!I120)+'Expenditures 15-22'!K180-SUM('Expenditures 15-22'!G180,'Expenditures 15-22'!I180)+'Expenditures 15-22'!D238</f>
        <v>109460</v>
      </c>
      <c r="H21" s="988"/>
      <c r="I21" s="162"/>
    </row>
    <row r="22" spans="1:9" s="669" customFormat="1" ht="12" customHeight="1" x14ac:dyDescent="0.2">
      <c r="A22" s="995" t="s">
        <v>584</v>
      </c>
      <c r="B22" s="996"/>
      <c r="C22" s="994">
        <v>2200</v>
      </c>
      <c r="D22" s="1825"/>
      <c r="E22" s="1827">
        <f>'Expenditures 15-22'!K47-SUM('Expenditures 15-22'!G47,'Expenditures 15-22'!I47)+'Expenditures 15-22'!D243</f>
        <v>198611</v>
      </c>
      <c r="F22" s="1825"/>
      <c r="G22" s="1828">
        <f>'Expenditures 15-22'!K47-SUM('Expenditures 15-22'!G47,'Expenditures 15-22'!I47)+'Expenditures 15-22'!D243</f>
        <v>198611</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567401</v>
      </c>
      <c r="F23" s="1825"/>
      <c r="G23" s="1827">
        <f>'Expenditures 15-22'!K53-SUM('Expenditures 15-22'!G53,'Expenditures 15-22'!I53)+'Expenditures 15-22'!D257+'Expenditures 15-22'!K330-SUM('Expenditures 15-22'!G330,'Expenditures 15-22'!I330)</f>
        <v>567401</v>
      </c>
      <c r="H23" s="988"/>
      <c r="I23" s="162"/>
    </row>
    <row r="24" spans="1:9" s="669" customFormat="1" ht="12" customHeight="1" x14ac:dyDescent="0.2">
      <c r="A24" s="995" t="s">
        <v>586</v>
      </c>
      <c r="B24" s="996"/>
      <c r="C24" s="994">
        <v>2400</v>
      </c>
      <c r="D24" s="1825"/>
      <c r="E24" s="1827">
        <f>'Expenditures 15-22'!K57-SUM('Expenditures 15-22'!G57,'Expenditures 15-22'!I57)+'Expenditures 15-22'!D261</f>
        <v>572319</v>
      </c>
      <c r="F24" s="1825"/>
      <c r="G24" s="1828">
        <f>'Expenditures 15-22'!K57-SUM('Expenditures 15-22'!G57,'Expenditures 15-22'!I57)+'Expenditures 15-22'!D261</f>
        <v>572319</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128951</v>
      </c>
      <c r="E27" s="1827">
        <f>E8</f>
        <v>0</v>
      </c>
      <c r="F27" s="1827">
        <f>'Expenditures 15-22'!K60-SUM('Expenditures 15-22'!G60,'Expenditures 15-22'!I60)+'Expenditures 15-22'!D264-E8</f>
        <v>128951</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655821</v>
      </c>
      <c r="F28" s="1829">
        <f>'Expenditures 15-22'!K61-SUM('Expenditures 15-22'!G61,'Expenditures 15-22'!I61)+'Expenditures 15-22'!K124-SUM('Expenditures 15-22'!G124,'Expenditures 15-22'!I124)+'Expenditures 15-22'!D266-E9</f>
        <v>655821</v>
      </c>
      <c r="G28" s="1828">
        <f>E9</f>
        <v>0</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459533</v>
      </c>
      <c r="F29" s="1825"/>
      <c r="G29" s="1828">
        <f>'Expenditures 15-22'!K62-SUM('Expenditures 15-22'!G62,'Expenditures 15-22'!I62)+'Expenditures 15-22'!K125-SUM('Expenditures 15-22'!G125,'Expenditures 15-22'!I125)+'Expenditures 15-22'!K182-SUM('Expenditures 15-22'!G182,'Expenditures 15-22'!I182)+'Expenditures 15-22'!D267</f>
        <v>459533</v>
      </c>
      <c r="H29" s="986"/>
    </row>
    <row r="30" spans="1:9" ht="12" customHeight="1" x14ac:dyDescent="0.2">
      <c r="A30" s="995" t="s">
        <v>102</v>
      </c>
      <c r="B30" s="998"/>
      <c r="C30" s="994">
        <v>2560</v>
      </c>
      <c r="D30" s="1825"/>
      <c r="E30" s="1827">
        <f>'Expenditures 15-22'!K63-SUM('Expenditures 15-22'!G63,'Expenditures 15-22'!I63)+'Expenditures 15-22'!D268-E10</f>
        <v>441621</v>
      </c>
      <c r="F30" s="1825"/>
      <c r="G30" s="1827">
        <f>'Expenditures 15-22'!K63-SUM('Expenditures 15-22'!G63,'Expenditures 15-22'!I63)+'Expenditures 15-22'!D268-E10</f>
        <v>441621</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115094</v>
      </c>
      <c r="E37" s="1827">
        <f>E14</f>
        <v>0</v>
      </c>
      <c r="F37" s="1827">
        <f>'Expenditures 15-22'!K71-SUM('Expenditures 15-22'!G71,'Expenditures 15-22'!I71)+'Expenditures 15-22'!D276-E14</f>
        <v>115094</v>
      </c>
      <c r="G37" s="1827">
        <f>E14</f>
        <v>0</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244045</v>
      </c>
      <c r="E41" s="1829">
        <f>SUM(E19:E40)</f>
        <v>7661227</v>
      </c>
      <c r="F41" s="1829">
        <f>SUM(F19:F39)</f>
        <v>899866</v>
      </c>
      <c r="G41" s="1829">
        <f>SUM(G19:G40)</f>
        <v>7005406</v>
      </c>
    </row>
    <row r="42" spans="1:7" x14ac:dyDescent="0.2">
      <c r="A42" s="988"/>
      <c r="B42" s="162"/>
      <c r="C42" s="1002"/>
      <c r="D42" s="2304" t="s">
        <v>542</v>
      </c>
      <c r="E42" s="2305"/>
      <c r="F42" s="1003" t="s">
        <v>543</v>
      </c>
      <c r="G42" s="1004"/>
    </row>
    <row r="43" spans="1:7" ht="12" customHeight="1" x14ac:dyDescent="0.2">
      <c r="A43" s="988"/>
      <c r="B43" s="162"/>
      <c r="C43" s="1002"/>
      <c r="D43" s="1830" t="s">
        <v>492</v>
      </c>
      <c r="E43" s="1831">
        <f>D41</f>
        <v>244045</v>
      </c>
      <c r="F43" s="1830" t="s">
        <v>494</v>
      </c>
      <c r="G43" s="1831">
        <f>F41</f>
        <v>899866</v>
      </c>
    </row>
    <row r="44" spans="1:7" ht="12" customHeight="1" x14ac:dyDescent="0.2">
      <c r="A44" s="988"/>
      <c r="B44" s="162"/>
      <c r="C44" s="1002"/>
      <c r="D44" s="1830" t="s">
        <v>493</v>
      </c>
      <c r="E44" s="1831">
        <f>E41</f>
        <v>7661227</v>
      </c>
      <c r="F44" s="1830" t="s">
        <v>493</v>
      </c>
      <c r="G44" s="1831">
        <f>G41</f>
        <v>7005406</v>
      </c>
    </row>
    <row r="45" spans="1:7" ht="12" customHeight="1" x14ac:dyDescent="0.2">
      <c r="A45" s="988"/>
      <c r="B45" s="162"/>
      <c r="C45" s="162"/>
      <c r="D45" s="1832" t="s">
        <v>1062</v>
      </c>
      <c r="E45" s="1833">
        <f>(E43/E44)</f>
        <v>3.1854558023146948E-2</v>
      </c>
      <c r="F45" s="1832" t="s">
        <v>1062</v>
      </c>
      <c r="G45" s="1833">
        <f>(G43/G44)</f>
        <v>0.1284530832331488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7" activePane="bottomLeft" state="frozen"/>
      <selection activeCell="A47" sqref="A47"/>
      <selection pane="bottomLeft" activeCell="F34" sqref="F34"/>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1445</v>
      </c>
      <c r="B1" s="2312"/>
      <c r="C1" s="2312"/>
      <c r="D1" s="2312"/>
      <c r="E1" s="2312"/>
      <c r="F1" s="2312"/>
    </row>
    <row r="2" spans="1:10" x14ac:dyDescent="0.2">
      <c r="A2" s="1912" t="s">
        <v>2047</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3" t="s">
        <v>1626</v>
      </c>
      <c r="B5" s="2314"/>
      <c r="C5" s="2315"/>
      <c r="D5" s="2315"/>
      <c r="E5" s="2315"/>
      <c r="F5" s="2315"/>
    </row>
    <row r="6" spans="1:10" ht="12" customHeight="1" x14ac:dyDescent="0.25">
      <c r="A6" s="1875"/>
      <c r="B6" s="1876"/>
      <c r="C6" s="2316" t="str">
        <f>COVER!A17</f>
        <v>Warrensburg Latham CUSD 11</v>
      </c>
      <c r="D6" s="2316"/>
      <c r="E6" s="2316"/>
      <c r="F6" s="1877"/>
    </row>
    <row r="7" spans="1:10" ht="11.25" customHeight="1" thickBot="1" x14ac:dyDescent="0.3">
      <c r="A7" s="1875"/>
      <c r="B7" s="1876"/>
      <c r="C7" s="2317">
        <f>COVER!A13</f>
        <v>39055011026</v>
      </c>
      <c r="D7" s="2317"/>
      <c r="E7" s="2317"/>
      <c r="F7" s="1877"/>
    </row>
    <row r="8" spans="1:10" ht="25.5" customHeight="1" thickBot="1" x14ac:dyDescent="0.25">
      <c r="A8" s="1918" t="s">
        <v>2024</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c r="D15" s="1890"/>
      <c r="E15" s="1893"/>
      <c r="F15" s="1892"/>
      <c r="H15" s="1903">
        <f t="shared" si="0"/>
        <v>0</v>
      </c>
      <c r="I15" s="1903">
        <f t="shared" si="1"/>
        <v>0</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c r="D19" s="1890"/>
      <c r="E19" s="1893"/>
      <c r="F19" s="1892"/>
      <c r="H19" s="1903">
        <f t="shared" si="0"/>
        <v>0</v>
      </c>
      <c r="I19" s="1903">
        <f t="shared" si="1"/>
        <v>0</v>
      </c>
      <c r="J19" s="1903">
        <f t="shared" si="2"/>
        <v>0</v>
      </c>
    </row>
    <row r="20" spans="1:12" ht="12" customHeight="1" x14ac:dyDescent="0.2">
      <c r="A20" s="1888" t="s">
        <v>1608</v>
      </c>
      <c r="B20" s="1889"/>
      <c r="C20" s="1890"/>
      <c r="D20" s="1890"/>
      <c r="E20" s="1893"/>
      <c r="F20" s="1892"/>
      <c r="H20" s="1903">
        <f t="shared" si="0"/>
        <v>0</v>
      </c>
      <c r="I20" s="1903">
        <f t="shared" si="1"/>
        <v>0</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2076</v>
      </c>
      <c r="D26" s="1890" t="s">
        <v>2076</v>
      </c>
      <c r="E26" s="1893" t="s">
        <v>2076</v>
      </c>
      <c r="F26" s="1892" t="s">
        <v>2100</v>
      </c>
      <c r="H26" s="1903">
        <f t="shared" si="0"/>
        <v>5</v>
      </c>
      <c r="I26" s="1903">
        <f t="shared" si="1"/>
        <v>5</v>
      </c>
      <c r="J26" s="1903">
        <f t="shared" si="2"/>
        <v>5</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t="s">
        <v>2076</v>
      </c>
      <c r="D31" s="1890" t="s">
        <v>2076</v>
      </c>
      <c r="E31" s="1893" t="s">
        <v>2076</v>
      </c>
      <c r="F31" s="1892" t="s">
        <v>2101</v>
      </c>
      <c r="H31" s="1903">
        <f t="shared" si="0"/>
        <v>5</v>
      </c>
      <c r="I31" s="1903">
        <f t="shared" si="1"/>
        <v>5</v>
      </c>
      <c r="J31" s="1903">
        <f t="shared" si="2"/>
        <v>5</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t="s">
        <v>2076</v>
      </c>
      <c r="D33" s="1890" t="s">
        <v>2076</v>
      </c>
      <c r="E33" s="1893" t="s">
        <v>2076</v>
      </c>
      <c r="F33" s="1892" t="s">
        <v>2102</v>
      </c>
      <c r="H33" s="1903">
        <f t="shared" si="0"/>
        <v>5</v>
      </c>
      <c r="I33" s="1903">
        <f t="shared" si="1"/>
        <v>5</v>
      </c>
      <c r="J33" s="1903">
        <f t="shared" si="2"/>
        <v>5</v>
      </c>
    </row>
    <row r="34" spans="1:11" ht="12" customHeight="1" x14ac:dyDescent="0.25">
      <c r="A34" s="1895"/>
      <c r="B34" s="1895"/>
      <c r="C34" s="1895"/>
      <c r="D34" s="1895"/>
      <c r="E34" s="1895"/>
      <c r="F34" s="1895"/>
      <c r="H34" s="1903">
        <f>SUM(H11:H32)</f>
        <v>10</v>
      </c>
      <c r="I34" s="1903">
        <f>SUM(I11:I32)</f>
        <v>10</v>
      </c>
      <c r="J34" s="1903">
        <f>SUM(J11:J32)</f>
        <v>10</v>
      </c>
      <c r="K34" s="1903">
        <f>SUM(H34:J34)</f>
        <v>30</v>
      </c>
    </row>
    <row r="35" spans="1:11" ht="12" customHeight="1" x14ac:dyDescent="0.2">
      <c r="A35" s="1896" t="s">
        <v>1458</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1457</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6" t="str">
        <f>COVER!A17</f>
        <v>Warrensburg Latham CUSD 11</v>
      </c>
      <c r="J6" s="2337"/>
      <c r="Q6" s="1686"/>
    </row>
    <row r="7" spans="1:17" x14ac:dyDescent="0.2">
      <c r="A7" s="2338" t="s">
        <v>923</v>
      </c>
      <c r="B7" s="2339"/>
      <c r="C7" s="2339"/>
      <c r="D7" s="2339"/>
      <c r="E7" s="2340"/>
      <c r="F7" s="1018"/>
      <c r="G7" s="1010"/>
      <c r="H7" s="1017" t="s">
        <v>389</v>
      </c>
      <c r="I7" s="2341">
        <f>COVER!A13</f>
        <v>39055011026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2" t="s">
        <v>501</v>
      </c>
      <c r="B11" s="2343"/>
      <c r="C11" s="2344"/>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139819</v>
      </c>
      <c r="F12" s="1040"/>
      <c r="G12" s="1834">
        <f t="shared" ref="G12:G18" si="0">SUM(E12:F12)</f>
        <v>139819</v>
      </c>
      <c r="H12" s="1041">
        <v>143407</v>
      </c>
      <c r="I12" s="1040"/>
      <c r="J12" s="1834">
        <f t="shared" ref="J12:J18" si="1">SUM(H12:I12)</f>
        <v>143407</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139819</v>
      </c>
      <c r="F19" s="1836">
        <f t="shared" si="2"/>
        <v>0</v>
      </c>
      <c r="G19" s="1836">
        <f t="shared" si="2"/>
        <v>139819</v>
      </c>
      <c r="H19" s="1836">
        <f t="shared" si="2"/>
        <v>143407</v>
      </c>
      <c r="I19" s="1836">
        <f t="shared" si="2"/>
        <v>0</v>
      </c>
      <c r="J19" s="1836">
        <f t="shared" si="2"/>
        <v>143407</v>
      </c>
    </row>
    <row r="20" spans="1:10" ht="13.5" thickTop="1" x14ac:dyDescent="0.2">
      <c r="A20" s="1036">
        <v>9</v>
      </c>
      <c r="B20" s="2348" t="s">
        <v>1702</v>
      </c>
      <c r="C20" s="2348"/>
      <c r="D20" s="2349"/>
      <c r="E20" s="1047"/>
      <c r="F20" s="1047"/>
      <c r="G20" s="1047"/>
      <c r="H20" s="1047"/>
      <c r="I20" s="1047"/>
      <c r="J20" s="1837">
        <f>IF(AND(G19&gt;0,J19&gt;0),(((J19-G19)/G19)),"Enter Budget Data")</f>
        <v>2.5661748403292828E-2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1092</v>
      </c>
      <c r="D27" s="1053"/>
      <c r="E27" s="1054"/>
      <c r="F27" s="2350" t="s">
        <v>1588</v>
      </c>
      <c r="G27" s="2350"/>
    </row>
    <row r="28" spans="1:10" ht="28.5" customHeight="1" x14ac:dyDescent="0.2">
      <c r="B28" s="1048"/>
      <c r="C28" s="2352"/>
      <c r="D28" s="2352"/>
      <c r="E28" s="1055"/>
      <c r="F28" s="2352"/>
      <c r="G28" s="2352"/>
    </row>
    <row r="29" spans="1:10" x14ac:dyDescent="0.2">
      <c r="B29" s="1048"/>
      <c r="C29" s="1056" t="s">
        <v>1641</v>
      </c>
      <c r="E29" s="1057"/>
      <c r="F29" s="2351" t="s">
        <v>1589</v>
      </c>
      <c r="G29" s="2351"/>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1943</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936</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1970</v>
      </c>
      <c r="C4" s="162" t="s">
        <v>1230</v>
      </c>
      <c r="D4" s="169" t="s">
        <v>10</v>
      </c>
      <c r="E4" s="170" t="s">
        <v>22</v>
      </c>
    </row>
    <row r="5" spans="1:5" x14ac:dyDescent="0.2">
      <c r="A5" s="168" t="s">
        <v>1972</v>
      </c>
      <c r="C5" s="162" t="s">
        <v>1230</v>
      </c>
      <c r="D5" s="169" t="s">
        <v>10</v>
      </c>
      <c r="E5" s="170" t="s">
        <v>22</v>
      </c>
    </row>
    <row r="6" spans="1:5" x14ac:dyDescent="0.2">
      <c r="A6" s="168" t="s">
        <v>1971</v>
      </c>
      <c r="C6" s="162" t="s">
        <v>1230</v>
      </c>
      <c r="D6" s="167" t="s">
        <v>11</v>
      </c>
      <c r="E6" s="170" t="s">
        <v>997</v>
      </c>
    </row>
    <row r="7" spans="1:5" x14ac:dyDescent="0.2">
      <c r="A7" s="168" t="s">
        <v>1973</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1974</v>
      </c>
      <c r="C11" s="162" t="s">
        <v>1230</v>
      </c>
      <c r="D11" s="169" t="s">
        <v>14</v>
      </c>
      <c r="E11" s="170" t="s">
        <v>1217</v>
      </c>
    </row>
    <row r="12" spans="1:5" x14ac:dyDescent="0.2">
      <c r="B12" s="169" t="s">
        <v>1975</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1976</v>
      </c>
      <c r="C15" s="162" t="s">
        <v>1230</v>
      </c>
      <c r="D15" s="169" t="s">
        <v>17</v>
      </c>
      <c r="E15" s="170" t="s">
        <v>656</v>
      </c>
    </row>
    <row r="16" spans="1:5" x14ac:dyDescent="0.2">
      <c r="A16" s="172"/>
      <c r="B16" s="162" t="s">
        <v>1977</v>
      </c>
      <c r="C16" s="162" t="s">
        <v>1230</v>
      </c>
      <c r="D16" s="169" t="s">
        <v>701</v>
      </c>
      <c r="E16" s="170" t="s">
        <v>1099</v>
      </c>
    </row>
    <row r="17" spans="1:5" x14ac:dyDescent="0.2">
      <c r="B17" s="167" t="s">
        <v>1044</v>
      </c>
      <c r="C17" s="162" t="s">
        <v>1230</v>
      </c>
    </row>
    <row r="18" spans="1:5" x14ac:dyDescent="0.2">
      <c r="B18" s="167" t="s">
        <v>1983</v>
      </c>
      <c r="D18" s="169" t="s">
        <v>18</v>
      </c>
      <c r="E18" s="170" t="s">
        <v>1100</v>
      </c>
    </row>
    <row r="19" spans="1:5" x14ac:dyDescent="0.2">
      <c r="A19" s="168" t="s">
        <v>1160</v>
      </c>
      <c r="C19" s="162" t="s">
        <v>1230</v>
      </c>
      <c r="D19" s="169"/>
      <c r="E19" s="171"/>
    </row>
    <row r="20" spans="1:5" x14ac:dyDescent="0.2">
      <c r="B20" s="167" t="s">
        <v>1978</v>
      </c>
      <c r="C20" s="162" t="s">
        <v>1230</v>
      </c>
      <c r="D20" s="169" t="s">
        <v>19</v>
      </c>
      <c r="E20" s="170" t="s">
        <v>53</v>
      </c>
    </row>
    <row r="21" spans="1:5" x14ac:dyDescent="0.2">
      <c r="B21" s="167" t="s">
        <v>1979</v>
      </c>
      <c r="C21" s="162" t="s">
        <v>1230</v>
      </c>
      <c r="D21" s="169" t="s">
        <v>20</v>
      </c>
      <c r="E21" s="170" t="s">
        <v>1707</v>
      </c>
    </row>
    <row r="22" spans="1:5" x14ac:dyDescent="0.2">
      <c r="A22" s="168"/>
      <c r="B22" s="162" t="s">
        <v>1967</v>
      </c>
      <c r="C22" s="162" t="s">
        <v>1230</v>
      </c>
      <c r="D22" s="167" t="s">
        <v>1969</v>
      </c>
      <c r="E22" s="1859" t="s">
        <v>1708</v>
      </c>
    </row>
    <row r="23" spans="1:5" x14ac:dyDescent="0.2">
      <c r="A23" s="168"/>
      <c r="B23" s="162" t="s">
        <v>1968</v>
      </c>
      <c r="D23" s="167" t="s">
        <v>657</v>
      </c>
      <c r="E23" s="1859" t="s">
        <v>1015</v>
      </c>
    </row>
    <row r="24" spans="1:5" x14ac:dyDescent="0.2">
      <c r="A24" s="168" t="s">
        <v>1706</v>
      </c>
      <c r="C24" s="162" t="s">
        <v>1230</v>
      </c>
      <c r="D24" s="167" t="s">
        <v>1459</v>
      </c>
      <c r="E24" s="170" t="s">
        <v>1016</v>
      </c>
    </row>
    <row r="25" spans="1:5" x14ac:dyDescent="0.2">
      <c r="A25" s="168" t="s">
        <v>1980</v>
      </c>
      <c r="C25" s="162" t="s">
        <v>1230</v>
      </c>
      <c r="D25" s="169" t="s">
        <v>21</v>
      </c>
      <c r="E25" s="170" t="s">
        <v>1101</v>
      </c>
    </row>
    <row r="26" spans="1:5" x14ac:dyDescent="0.2">
      <c r="A26" s="168" t="s">
        <v>1981</v>
      </c>
      <c r="C26" s="162" t="s">
        <v>1230</v>
      </c>
      <c r="D26" s="169" t="s">
        <v>583</v>
      </c>
      <c r="E26" s="170" t="s">
        <v>1102</v>
      </c>
    </row>
    <row r="27" spans="1:5" x14ac:dyDescent="0.2">
      <c r="A27" s="168" t="s">
        <v>1982</v>
      </c>
      <c r="C27" s="162" t="s">
        <v>1230</v>
      </c>
      <c r="D27" s="169" t="s">
        <v>577</v>
      </c>
      <c r="E27" s="170" t="s">
        <v>703</v>
      </c>
    </row>
    <row r="28" spans="1:5" x14ac:dyDescent="0.2">
      <c r="A28" s="168" t="s">
        <v>1984</v>
      </c>
      <c r="D28" s="169" t="s">
        <v>704</v>
      </c>
      <c r="E28" s="170" t="s">
        <v>1432</v>
      </c>
    </row>
    <row r="29" spans="1:5" x14ac:dyDescent="0.2">
      <c r="A29" s="168" t="s">
        <v>1985</v>
      </c>
      <c r="D29" s="169" t="s">
        <v>1460</v>
      </c>
      <c r="E29" s="170" t="s">
        <v>1441</v>
      </c>
    </row>
    <row r="30" spans="1:5" x14ac:dyDescent="0.2">
      <c r="A30" s="173" t="s">
        <v>1986</v>
      </c>
      <c r="C30" s="162" t="s">
        <v>1230</v>
      </c>
      <c r="D30" s="169" t="s">
        <v>42</v>
      </c>
      <c r="E30" s="170" t="s">
        <v>1038</v>
      </c>
    </row>
    <row r="31" spans="1:5" x14ac:dyDescent="0.2">
      <c r="A31" s="168" t="s">
        <v>1601</v>
      </c>
      <c r="C31" s="162" t="s">
        <v>1230</v>
      </c>
      <c r="D31" s="167"/>
      <c r="E31" s="171"/>
    </row>
    <row r="32" spans="1:5" x14ac:dyDescent="0.2">
      <c r="B32" s="167" t="s">
        <v>1987</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2" t="s">
        <v>1124</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714</v>
      </c>
      <c r="B40" s="2069"/>
      <c r="C40" s="2069"/>
      <c r="D40" s="2069"/>
      <c r="E40" s="2069"/>
    </row>
    <row r="41" spans="1:5" x14ac:dyDescent="0.2">
      <c r="A41" s="2070" t="s">
        <v>1705</v>
      </c>
      <c r="B41" s="2070"/>
      <c r="C41" s="2070"/>
      <c r="D41" s="2070"/>
      <c r="E41" s="2070"/>
    </row>
    <row r="42" spans="1:5" ht="12.75" customHeight="1" x14ac:dyDescent="0.2">
      <c r="A42" s="2071" t="s">
        <v>1079</v>
      </c>
      <c r="B42" s="2071"/>
      <c r="C42" s="2071"/>
      <c r="D42" s="2071"/>
      <c r="E42" s="2071"/>
    </row>
    <row r="43" spans="1:5" ht="6.75" customHeight="1" x14ac:dyDescent="0.2">
      <c r="A43" s="167"/>
      <c r="B43" s="176"/>
    </row>
    <row r="44" spans="1:5" x14ac:dyDescent="0.2">
      <c r="A44" s="185" t="s">
        <v>1039</v>
      </c>
      <c r="B44" s="186" t="s">
        <v>2017</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1713</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1716</v>
      </c>
    </row>
    <row r="72" spans="1:9" ht="9" customHeight="1" x14ac:dyDescent="0.2">
      <c r="A72" s="192"/>
      <c r="B72" s="199"/>
    </row>
    <row r="73" spans="1:9" x14ac:dyDescent="0.2">
      <c r="A73" s="189" t="s">
        <v>1717</v>
      </c>
      <c r="B73" s="169" t="s">
        <v>1886</v>
      </c>
    </row>
    <row r="74" spans="1:9" x14ac:dyDescent="0.2">
      <c r="A74" s="189"/>
      <c r="B74" s="169" t="s">
        <v>1885</v>
      </c>
    </row>
    <row r="75" spans="1:9" ht="8.25" customHeight="1" x14ac:dyDescent="0.2">
      <c r="A75" s="189"/>
      <c r="B75" s="189"/>
    </row>
    <row r="76" spans="1:9" ht="12.2" customHeight="1" x14ac:dyDescent="0.2">
      <c r="A76" s="189" t="s">
        <v>1718</v>
      </c>
      <c r="B76" s="198" t="s">
        <v>1887</v>
      </c>
    </row>
    <row r="77" spans="1:9" ht="12.2" customHeight="1" x14ac:dyDescent="0.2">
      <c r="A77" s="190"/>
      <c r="B77" s="169" t="s">
        <v>1719</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D65"/>
  <sheetViews>
    <sheetView showGridLines="0" zoomScale="110" zoomScaleNormal="110" workbookViewId="0">
      <selection activeCell="B39" sqref="B39"/>
    </sheetView>
  </sheetViews>
  <sheetFormatPr defaultColWidth="9.140625" defaultRowHeight="12.75" x14ac:dyDescent="0.2"/>
  <cols>
    <col min="1" max="1" width="3" style="329" customWidth="1"/>
    <col min="2" max="2" width="46.85546875" style="329" customWidth="1"/>
    <col min="3" max="3" width="1.85546875" style="329" customWidth="1"/>
    <col min="4" max="16384" width="9.140625" style="329"/>
  </cols>
  <sheetData>
    <row r="2" spans="1:4" x14ac:dyDescent="0.2">
      <c r="A2" s="389"/>
    </row>
    <row r="3" spans="1:4" x14ac:dyDescent="0.2">
      <c r="A3" s="329" t="s">
        <v>276</v>
      </c>
    </row>
    <row r="5" spans="1:4" x14ac:dyDescent="0.2">
      <c r="A5" s="1069">
        <v>1</v>
      </c>
      <c r="B5" s="329" t="s">
        <v>2103</v>
      </c>
    </row>
    <row r="6" spans="1:4" x14ac:dyDescent="0.2">
      <c r="A6" s="1069">
        <v>2</v>
      </c>
      <c r="B6" s="329" t="s">
        <v>2104</v>
      </c>
    </row>
    <row r="7" spans="1:4" x14ac:dyDescent="0.2">
      <c r="A7" s="1069">
        <v>3</v>
      </c>
      <c r="B7" s="329" t="s">
        <v>2105</v>
      </c>
      <c r="C7" s="329" t="s">
        <v>1014</v>
      </c>
      <c r="D7" s="1959">
        <v>8998</v>
      </c>
    </row>
    <row r="8" spans="1:4" x14ac:dyDescent="0.2">
      <c r="A8" s="1069">
        <v>4</v>
      </c>
      <c r="B8" s="329" t="s">
        <v>2106</v>
      </c>
      <c r="D8" s="1959">
        <v>20000</v>
      </c>
    </row>
    <row r="9" spans="1:4" x14ac:dyDescent="0.2">
      <c r="A9" s="1070"/>
      <c r="B9" s="329" t="s">
        <v>2107</v>
      </c>
      <c r="D9" s="1959">
        <v>19905</v>
      </c>
    </row>
    <row r="10" spans="1:4" x14ac:dyDescent="0.2">
      <c r="A10" s="1070"/>
      <c r="B10" s="329" t="s">
        <v>2108</v>
      </c>
      <c r="D10" s="1959">
        <v>10000</v>
      </c>
    </row>
    <row r="11" spans="1:4" x14ac:dyDescent="0.2">
      <c r="A11" s="1070"/>
      <c r="B11" s="329" t="s">
        <v>2109</v>
      </c>
      <c r="D11" s="1959">
        <v>2250</v>
      </c>
    </row>
    <row r="12" spans="1:4" x14ac:dyDescent="0.2">
      <c r="A12" s="1070"/>
      <c r="B12" s="329" t="s">
        <v>2110</v>
      </c>
      <c r="D12" s="1959">
        <v>6639</v>
      </c>
    </row>
    <row r="13" spans="1:4" x14ac:dyDescent="0.2">
      <c r="A13" s="1070"/>
      <c r="B13" s="329" t="s">
        <v>2111</v>
      </c>
      <c r="D13" s="1959">
        <v>2000</v>
      </c>
    </row>
    <row r="14" spans="1:4" x14ac:dyDescent="0.2">
      <c r="A14" s="1070"/>
      <c r="B14" s="329" t="s">
        <v>2112</v>
      </c>
      <c r="D14" s="1959">
        <v>4454</v>
      </c>
    </row>
    <row r="15" spans="1:4" x14ac:dyDescent="0.2">
      <c r="A15" s="1070"/>
      <c r="B15" s="329" t="s">
        <v>2113</v>
      </c>
      <c r="D15" s="1959">
        <v>10141</v>
      </c>
    </row>
    <row r="16" spans="1:4" x14ac:dyDescent="0.2">
      <c r="A16" s="1070"/>
      <c r="B16" s="329" t="s">
        <v>2114</v>
      </c>
      <c r="D16" s="1959">
        <v>12994</v>
      </c>
    </row>
    <row r="17" spans="1:4" x14ac:dyDescent="0.2">
      <c r="A17" s="1070"/>
      <c r="B17" s="329" t="s">
        <v>2115</v>
      </c>
    </row>
    <row r="18" spans="1:4" x14ac:dyDescent="0.2">
      <c r="A18" s="1070"/>
      <c r="B18" s="329" t="s">
        <v>2116</v>
      </c>
      <c r="C18" s="329" t="s">
        <v>1014</v>
      </c>
      <c r="D18" s="1959">
        <v>6504</v>
      </c>
    </row>
    <row r="19" spans="1:4" x14ac:dyDescent="0.2">
      <c r="A19" s="1070"/>
      <c r="B19" s="329" t="s">
        <v>2117</v>
      </c>
    </row>
    <row r="20" spans="1:4" x14ac:dyDescent="0.2">
      <c r="A20" s="1070"/>
      <c r="B20" s="329" t="s">
        <v>2118</v>
      </c>
      <c r="C20" s="329" t="s">
        <v>1014</v>
      </c>
      <c r="D20" s="329">
        <v>40</v>
      </c>
    </row>
    <row r="21" spans="1:4" x14ac:dyDescent="0.2">
      <c r="A21" s="1070"/>
    </row>
    <row r="22" spans="1:4" x14ac:dyDescent="0.2">
      <c r="A22" s="1070"/>
      <c r="B22" s="329" t="s">
        <v>2119</v>
      </c>
    </row>
    <row r="23" spans="1:4" x14ac:dyDescent="0.2">
      <c r="A23" s="1070"/>
      <c r="B23" s="329" t="s">
        <v>2104</v>
      </c>
    </row>
    <row r="24" spans="1:4" x14ac:dyDescent="0.2">
      <c r="A24" s="1070"/>
      <c r="B24" s="329" t="s">
        <v>2120</v>
      </c>
      <c r="C24" s="329" t="s">
        <v>1014</v>
      </c>
      <c r="D24" s="329">
        <v>750</v>
      </c>
    </row>
    <row r="25" spans="1:4" x14ac:dyDescent="0.2">
      <c r="A25" s="1070"/>
    </row>
    <row r="26" spans="1:4" x14ac:dyDescent="0.2">
      <c r="A26" s="1070"/>
      <c r="B26" s="329" t="s">
        <v>2121</v>
      </c>
    </row>
    <row r="27" spans="1:4" x14ac:dyDescent="0.2">
      <c r="A27" s="1070"/>
      <c r="B27" s="329" t="s">
        <v>2104</v>
      </c>
    </row>
    <row r="28" spans="1:4" x14ac:dyDescent="0.2">
      <c r="A28" s="1070"/>
      <c r="B28" s="329" t="s">
        <v>2122</v>
      </c>
      <c r="C28" s="329" t="s">
        <v>1014</v>
      </c>
      <c r="D28" s="1959">
        <v>3504</v>
      </c>
    </row>
    <row r="29" spans="1:4" x14ac:dyDescent="0.2">
      <c r="A29" s="1070"/>
    </row>
    <row r="30" spans="1:4" x14ac:dyDescent="0.2">
      <c r="A30" s="1070"/>
      <c r="B30" s="329" t="s">
        <v>2123</v>
      </c>
    </row>
    <row r="31" spans="1:4" x14ac:dyDescent="0.2">
      <c r="A31" s="1070"/>
      <c r="B31" s="329" t="s">
        <v>2130</v>
      </c>
    </row>
    <row r="32" spans="1:4" x14ac:dyDescent="0.2">
      <c r="A32" s="1070"/>
      <c r="B32" s="329" t="s">
        <v>2124</v>
      </c>
      <c r="C32" s="329" t="s">
        <v>1014</v>
      </c>
      <c r="D32" s="1959">
        <v>21536</v>
      </c>
    </row>
    <row r="33" spans="1:4" x14ac:dyDescent="0.2">
      <c r="A33" s="1070"/>
      <c r="B33" s="329" t="s">
        <v>2125</v>
      </c>
      <c r="D33" s="1959">
        <v>1500</v>
      </c>
    </row>
    <row r="34" spans="1:4" x14ac:dyDescent="0.2">
      <c r="A34" s="1070"/>
      <c r="B34" s="329" t="s">
        <v>2126</v>
      </c>
      <c r="D34" s="1959">
        <v>33226</v>
      </c>
    </row>
    <row r="35" spans="1:4" x14ac:dyDescent="0.2">
      <c r="A35" s="1070"/>
    </row>
    <row r="36" spans="1:4" x14ac:dyDescent="0.2">
      <c r="A36" s="1070"/>
      <c r="B36" s="329" t="s">
        <v>2127</v>
      </c>
    </row>
    <row r="37" spans="1:4" x14ac:dyDescent="0.2">
      <c r="A37" s="1070"/>
      <c r="B37" s="329" t="s">
        <v>2128</v>
      </c>
    </row>
    <row r="38" spans="1:4" x14ac:dyDescent="0.2">
      <c r="A38" s="1070"/>
      <c r="B38" s="329" t="s">
        <v>2129</v>
      </c>
      <c r="D38" s="329">
        <v>268</v>
      </c>
    </row>
    <row r="39" spans="1:4" x14ac:dyDescent="0.2">
      <c r="A39" s="1070"/>
    </row>
    <row r="40" spans="1:4" x14ac:dyDescent="0.2">
      <c r="A40" s="1070"/>
    </row>
    <row r="41" spans="1:4" x14ac:dyDescent="0.2">
      <c r="A41" s="1070"/>
    </row>
    <row r="42" spans="1:4" x14ac:dyDescent="0.2">
      <c r="A42" s="1070"/>
    </row>
    <row r="43" spans="1:4" x14ac:dyDescent="0.2">
      <c r="A43" s="1070"/>
    </row>
    <row r="44" spans="1:4" x14ac:dyDescent="0.2">
      <c r="A44" s="1070"/>
    </row>
    <row r="45" spans="1:4" x14ac:dyDescent="0.2">
      <c r="A45" s="1070"/>
    </row>
    <row r="46" spans="1:4" x14ac:dyDescent="0.2">
      <c r="A46" s="1070"/>
    </row>
    <row r="47" spans="1:4" x14ac:dyDescent="0.2">
      <c r="A47" s="1070"/>
    </row>
    <row r="48" spans="1:4"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Warrensburg Latham CUSD 11</v>
      </c>
    </row>
    <row r="65" spans="2:2" x14ac:dyDescent="0.2">
      <c r="B65" s="1071">
        <f>COVER!A13</f>
        <v>39055011026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C4" sqref="C4"/>
    </sheetView>
  </sheetViews>
  <sheetFormatPr defaultColWidth="9.140625" defaultRowHeight="12.75" x14ac:dyDescent="0.2"/>
  <cols>
    <col min="1" max="1" width="1.85546875" style="329" customWidth="1"/>
    <col min="2" max="2" width="18.2851562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5" t="s">
        <v>1783</v>
      </c>
      <c r="B18" s="2355"/>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3</xdr:row>
                <xdr:rowOff>0</xdr:rowOff>
              </from>
              <to>
                <xdr:col>3</xdr:col>
                <xdr:colOff>304800</xdr:colOff>
                <xdr:row>7</xdr:row>
                <xdr:rowOff>38100</xdr:rowOff>
              </to>
            </anchor>
          </objectPr>
        </oleObject>
      </mc:Choice>
      <mc:Fallback>
        <oleObject progId="Acrobat Document" dvAspect="DVASPECT_ICON" shapeId="358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1789</v>
      </c>
      <c r="B1" s="2357"/>
      <c r="C1" s="2357"/>
      <c r="D1" s="2357"/>
      <c r="E1" s="2357"/>
      <c r="F1" s="2358"/>
    </row>
    <row r="2" spans="1:8" ht="45" customHeight="1" x14ac:dyDescent="0.2">
      <c r="A2" s="2366" t="s">
        <v>1790</v>
      </c>
      <c r="B2" s="2367"/>
      <c r="C2" s="2367"/>
      <c r="D2" s="2367"/>
      <c r="E2" s="2367"/>
      <c r="F2" s="2368"/>
      <c r="G2" s="1075"/>
      <c r="H2" s="1075"/>
    </row>
    <row r="3" spans="1:8" ht="57" customHeight="1" x14ac:dyDescent="0.2">
      <c r="A3" s="2369" t="s">
        <v>1785</v>
      </c>
      <c r="B3" s="2370"/>
      <c r="C3" s="2370"/>
      <c r="D3" s="2370"/>
      <c r="E3" s="2370"/>
      <c r="F3" s="2371"/>
      <c r="G3" s="1075"/>
      <c r="H3" s="1075"/>
    </row>
    <row r="4" spans="1:8" ht="14.25" customHeight="1" x14ac:dyDescent="0.2">
      <c r="A4" s="2375" t="s">
        <v>2055</v>
      </c>
      <c r="B4" s="2376"/>
      <c r="C4" s="2376"/>
      <c r="D4" s="2376"/>
      <c r="E4" s="2376"/>
      <c r="F4" s="2377"/>
      <c r="G4" s="1075"/>
      <c r="H4" s="1075"/>
    </row>
    <row r="5" spans="1:8" ht="14.25" customHeight="1" x14ac:dyDescent="0.2">
      <c r="A5" s="2378" t="s">
        <v>2056</v>
      </c>
      <c r="B5" s="2379"/>
      <c r="C5" s="2379"/>
      <c r="D5" s="2379"/>
      <c r="E5" s="2379"/>
      <c r="F5" s="2380"/>
      <c r="G5" s="1075"/>
      <c r="H5" s="1075"/>
    </row>
    <row r="6" spans="1:8" s="1076" customFormat="1" ht="41.25" customHeight="1" x14ac:dyDescent="0.2">
      <c r="A6" s="2372" t="s">
        <v>1791</v>
      </c>
      <c r="B6" s="2373"/>
      <c r="C6" s="2373"/>
      <c r="D6" s="2373"/>
      <c r="E6" s="2373"/>
      <c r="F6" s="2374"/>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6685779</v>
      </c>
      <c r="C8" s="1838">
        <f>'Acct Summary 7-8'!D8</f>
        <v>679097</v>
      </c>
      <c r="D8" s="1838">
        <f>'Acct Summary 7-8'!F8</f>
        <v>581925</v>
      </c>
      <c r="E8" s="1838">
        <f>'Acct Summary 7-8'!I8</f>
        <v>77800</v>
      </c>
      <c r="F8" s="1838">
        <f>SUM(B8:E8)</f>
        <v>8024601</v>
      </c>
    </row>
    <row r="9" spans="1:8" s="1080" customFormat="1" ht="14.25" customHeight="1" thickBot="1" x14ac:dyDescent="0.25">
      <c r="A9" s="1079" t="s">
        <v>1435</v>
      </c>
      <c r="B9" s="1839">
        <f>'Acct Summary 7-8'!C17</f>
        <v>6752875</v>
      </c>
      <c r="C9" s="1839">
        <f>'Acct Summary 7-8'!D17</f>
        <v>618376</v>
      </c>
      <c r="D9" s="1839">
        <f>'Acct Summary 7-8'!F17</f>
        <v>565958</v>
      </c>
      <c r="E9" s="1838"/>
      <c r="F9" s="1838">
        <f>SUM(B9:E9)</f>
        <v>7937209</v>
      </c>
    </row>
    <row r="10" spans="1:8" s="1080" customFormat="1" ht="14.25" thickTop="1" thickBot="1" x14ac:dyDescent="0.25">
      <c r="A10" s="1081" t="s">
        <v>1436</v>
      </c>
      <c r="B10" s="1840">
        <f>(B8-B9)</f>
        <v>-67096</v>
      </c>
      <c r="C10" s="1840">
        <f>(C8-C9)</f>
        <v>60721</v>
      </c>
      <c r="D10" s="1840">
        <f>(D8-D9)</f>
        <v>15967</v>
      </c>
      <c r="E10" s="1839">
        <f>(E8-E9)</f>
        <v>77800</v>
      </c>
      <c r="F10" s="1841">
        <f>SUM(F8-F9)</f>
        <v>87392</v>
      </c>
    </row>
    <row r="11" spans="1:8" s="1080" customFormat="1" ht="14.25" thickTop="1" thickBot="1" x14ac:dyDescent="0.25">
      <c r="A11" s="1082" t="s">
        <v>1784</v>
      </c>
      <c r="B11" s="1842">
        <f>'Acct Summary 7-8'!C81</f>
        <v>1341397</v>
      </c>
      <c r="C11" s="1842">
        <f>'Acct Summary 7-8'!D81</f>
        <v>304270</v>
      </c>
      <c r="D11" s="1842">
        <f>'Acct Summary 7-8'!F81</f>
        <v>620909</v>
      </c>
      <c r="E11" s="1842">
        <f>'Acct Summary 7-8'!I81</f>
        <v>1148016</v>
      </c>
      <c r="F11" s="1843">
        <f>SUM(B11:E11)</f>
        <v>3414592</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1786</v>
      </c>
      <c r="B16" s="2359"/>
      <c r="C16" s="2359"/>
      <c r="D16" s="2359"/>
      <c r="E16" s="2359"/>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4" colorId="8" zoomScale="110" zoomScaleNormal="110" workbookViewId="0">
      <selection activeCell="C46" sqref="C4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685</v>
      </c>
      <c r="B3" s="2382"/>
      <c r="C3" s="2382"/>
      <c r="D3" s="2383"/>
    </row>
    <row r="4" spans="1:4" x14ac:dyDescent="0.2">
      <c r="A4" s="1153" t="s">
        <v>1792</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2" t="s">
        <v>1583</v>
      </c>
      <c r="D7" s="2393"/>
    </row>
    <row r="8" spans="1:4" s="669" customFormat="1" ht="12.75" x14ac:dyDescent="0.2">
      <c r="A8" s="1139"/>
      <c r="B8" s="1094"/>
      <c r="C8" s="1097" t="s">
        <v>1582</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4" t="s">
        <v>1064</v>
      </c>
      <c r="B15" s="2385"/>
      <c r="C15" s="2385"/>
      <c r="D15" s="2386"/>
    </row>
    <row r="16" spans="1:4" s="669" customFormat="1" ht="24" customHeight="1" x14ac:dyDescent="0.2">
      <c r="A16" s="2387" t="s">
        <v>683</v>
      </c>
      <c r="B16" s="2388"/>
      <c r="C16" s="2388"/>
      <c r="D16" s="2389"/>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6" t="s">
        <v>331</v>
      </c>
      <c r="D21" s="2397"/>
    </row>
    <row r="22" spans="1:10" ht="12.75" x14ac:dyDescent="0.2">
      <c r="A22" s="1140"/>
      <c r="B22" s="1141">
        <v>2</v>
      </c>
      <c r="C22" s="2394" t="s">
        <v>1604</v>
      </c>
      <c r="D22" s="2395"/>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896</v>
      </c>
      <c r="D28" s="1108" t="b">
        <f>IF('Aud Quest 2'!B53="X",IF('Aud Quest 2'!F53&gt;"00/00/00 ","Enter Effective Date","ok"))</f>
        <v>0</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8" t="s">
        <v>556</v>
      </c>
      <c r="D43" s="2399"/>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0" t="s">
        <v>816</v>
      </c>
      <c r="D56" s="2391"/>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1078</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90" t="s">
        <v>1796</v>
      </c>
      <c r="D70" s="2391"/>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278</v>
      </c>
    </row>
    <row r="2" spans="1:2" x14ac:dyDescent="0.2">
      <c r="A2" t="s">
        <v>279</v>
      </c>
      <c r="B2" s="138">
        <f>COVER!A13</f>
        <v>39055011026</v>
      </c>
    </row>
    <row r="3" spans="1:2" x14ac:dyDescent="0.2">
      <c r="A3" t="s">
        <v>1012</v>
      </c>
      <c r="B3" s="138" t="str">
        <f>COVER!A15</f>
        <v>MACON</v>
      </c>
    </row>
    <row r="4" spans="1:2" x14ac:dyDescent="0.2">
      <c r="A4" t="s">
        <v>1063</v>
      </c>
      <c r="B4" s="138" t="str">
        <f>COVER!A17</f>
        <v>Warrensburg Latham CUSD 11</v>
      </c>
    </row>
    <row r="5" spans="1:2" x14ac:dyDescent="0.2">
      <c r="A5" t="s">
        <v>727</v>
      </c>
      <c r="B5" s="138" t="str">
        <f>COVER!A38</f>
        <v>Dr. KRISTEN KENDRICK-WEIKLE</v>
      </c>
    </row>
    <row r="6" spans="1:2" x14ac:dyDescent="0.2">
      <c r="A6" t="s">
        <v>732</v>
      </c>
      <c r="B6" s="138">
        <f>COVER!P35</f>
        <v>0</v>
      </c>
    </row>
    <row r="7" spans="1:2" x14ac:dyDescent="0.2">
      <c r="A7" t="s">
        <v>728</v>
      </c>
      <c r="B7" s="138">
        <f>COVER!I38</f>
        <v>0</v>
      </c>
    </row>
    <row r="8" spans="1:2" x14ac:dyDescent="0.2">
      <c r="A8" t="s">
        <v>729</v>
      </c>
      <c r="B8" s="138">
        <f>COVER!T38</f>
        <v>0</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No</v>
      </c>
    </row>
    <row r="13" spans="1:2" x14ac:dyDescent="0.2">
      <c r="A13" s="1" t="s">
        <v>1624</v>
      </c>
      <c r="B13" s="138">
        <f>IF(COVER!J30="x","Yes",IF(COVER!L30="x","No",0))</f>
        <v>0</v>
      </c>
    </row>
    <row r="14" spans="1:2" x14ac:dyDescent="0.2">
      <c r="A14" t="s">
        <v>496</v>
      </c>
      <c r="B14" s="138">
        <f>IF(COVER!J31="x","Yes",IF(COVER!L31="x","No",0))</f>
        <v>0</v>
      </c>
    </row>
    <row r="15" spans="1:2" x14ac:dyDescent="0.2">
      <c r="A15" t="s">
        <v>597</v>
      </c>
      <c r="B15" s="138">
        <f>COVER!T23</f>
        <v>66.004384999999999</v>
      </c>
    </row>
    <row r="16" spans="1:2" x14ac:dyDescent="0.2">
      <c r="A16" t="s">
        <v>441</v>
      </c>
      <c r="B16" s="138" t="str">
        <f>COVER!T13</f>
        <v>FLOYD &amp; ASSOCIATES, CPAs</v>
      </c>
    </row>
    <row r="17" spans="1:2" x14ac:dyDescent="0.2">
      <c r="A17" t="s">
        <v>938</v>
      </c>
      <c r="B17" s="138" t="str">
        <f>COVER!T15</f>
        <v>JULIE M. FLOYD, CPA</v>
      </c>
    </row>
    <row r="18" spans="1:2" x14ac:dyDescent="0.2">
      <c r="A18" t="s">
        <v>1211</v>
      </c>
      <c r="B18" s="138" t="str">
        <f>COVER!T17</f>
        <v>910 STATE HIGHWAY 54 EAST</v>
      </c>
    </row>
    <row r="19" spans="1:2" x14ac:dyDescent="0.2">
      <c r="A19" t="s">
        <v>940</v>
      </c>
      <c r="B19" s="138" t="str">
        <f>COVER!T25</f>
        <v>julie.floyd@frontier.com</v>
      </c>
    </row>
    <row r="20" spans="1:2" x14ac:dyDescent="0.2">
      <c r="A20" t="s">
        <v>941</v>
      </c>
      <c r="B20" s="138" t="str">
        <f>COVER!T19</f>
        <v>CLINTON</v>
      </c>
    </row>
    <row r="21" spans="1:2" x14ac:dyDescent="0.2">
      <c r="A21" t="s">
        <v>499</v>
      </c>
      <c r="B21" s="138" t="str">
        <f>COVER!X19</f>
        <v>IL</v>
      </c>
    </row>
    <row r="22" spans="1:2" x14ac:dyDescent="0.2">
      <c r="A22" t="s">
        <v>942</v>
      </c>
      <c r="B22" s="138">
        <f>COVER!Z19</f>
        <v>61727</v>
      </c>
    </row>
    <row r="23" spans="1:2" x14ac:dyDescent="0.2">
      <c r="A23" t="s">
        <v>1213</v>
      </c>
      <c r="B23" s="138" t="str">
        <f>COVER!T21</f>
        <v>217-935-8871</v>
      </c>
    </row>
    <row r="24" spans="1:2" x14ac:dyDescent="0.2">
      <c r="A24" t="s">
        <v>1212</v>
      </c>
      <c r="B24" s="138">
        <f>COVER!Y21</f>
        <v>0</v>
      </c>
    </row>
    <row r="25" spans="1:2" x14ac:dyDescent="0.2">
      <c r="A25" t="s">
        <v>784</v>
      </c>
      <c r="B25" s="138">
        <f>COVER!B34</f>
        <v>0</v>
      </c>
    </row>
    <row r="26" spans="1:2" x14ac:dyDescent="0.2">
      <c r="A26" t="s">
        <v>1214</v>
      </c>
      <c r="B26" s="138">
        <f>COVER!L34</f>
        <v>0</v>
      </c>
    </row>
    <row r="27" spans="1:2" x14ac:dyDescent="0.2">
      <c r="A27" t="s">
        <v>285</v>
      </c>
      <c r="B27" s="138">
        <f>COVER!U34</f>
        <v>0</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0</v>
      </c>
    </row>
    <row r="50" spans="1:4" x14ac:dyDescent="0.2">
      <c r="A50" s="1" t="s">
        <v>1558</v>
      </c>
      <c r="B50" s="150">
        <f>'Aud Quest 2'!H53</f>
        <v>0</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1165530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1341397</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1341397</v>
      </c>
      <c r="D92" s="2" t="str">
        <f t="shared" si="0"/>
        <v>Error?</v>
      </c>
    </row>
    <row r="93" spans="1:4" x14ac:dyDescent="0.2">
      <c r="A93" s="5">
        <v>32</v>
      </c>
      <c r="B93" s="138">
        <f>'Assets-Liab 5-6'!C41</f>
        <v>1341397</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293734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304270</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304270</v>
      </c>
      <c r="D123" s="2" t="str">
        <f t="shared" si="0"/>
        <v>Error?</v>
      </c>
    </row>
    <row r="124" spans="1:4" x14ac:dyDescent="0.2">
      <c r="A124" s="5">
        <v>63</v>
      </c>
      <c r="B124" s="138">
        <f>'Assets-Liab 5-6'!D41</f>
        <v>304270</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615545</v>
      </c>
      <c r="D129" s="2" t="str">
        <f t="shared" si="1"/>
        <v>Error?</v>
      </c>
    </row>
    <row r="130" spans="1:4" x14ac:dyDescent="0.2">
      <c r="A130" s="5">
        <v>69</v>
      </c>
      <c r="B130" s="138">
        <f>'Assets-Liab 5-6'!E12</f>
        <v>0</v>
      </c>
      <c r="D130" s="2" t="str">
        <f t="shared" si="1"/>
        <v>Error?</v>
      </c>
    </row>
    <row r="131" spans="1:4" x14ac:dyDescent="0.2">
      <c r="A131" s="5">
        <v>70</v>
      </c>
      <c r="B131" s="138">
        <f>'Assets-Liab 5-6'!E13</f>
        <v>615548</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550751</v>
      </c>
      <c r="D140" s="2" t="str">
        <f t="shared" si="1"/>
        <v>Error?</v>
      </c>
    </row>
    <row r="141" spans="1:4" x14ac:dyDescent="0.2">
      <c r="A141" s="5">
        <v>80</v>
      </c>
      <c r="B141" s="138">
        <f>'Assets-Liab 5-6'!E41</f>
        <v>615548</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610699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620909</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620909</v>
      </c>
      <c r="D170" s="2" t="str">
        <f t="shared" si="1"/>
        <v>Error?</v>
      </c>
    </row>
    <row r="171" spans="1:4" x14ac:dyDescent="0.2">
      <c r="A171" s="5">
        <v>110</v>
      </c>
      <c r="B171" s="138">
        <f>'Assets-Liab 5-6'!F41</f>
        <v>620909</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68183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73324</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73324</v>
      </c>
      <c r="D189" s="2" t="str">
        <f t="shared" si="1"/>
        <v>Error?</v>
      </c>
    </row>
    <row r="190" spans="1:4" x14ac:dyDescent="0.2">
      <c r="A190" s="5">
        <v>129</v>
      </c>
      <c r="B190" s="138">
        <f>'Assets-Liab 5-6'!G41</f>
        <v>73324</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1989680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1989687</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1989687</v>
      </c>
      <c r="D212" s="2" t="str">
        <f t="shared" si="2"/>
        <v>Error?</v>
      </c>
    </row>
    <row r="213" spans="1:4" x14ac:dyDescent="0.2">
      <c r="A213" s="12">
        <v>152</v>
      </c>
      <c r="B213" s="138">
        <f>'Assets-Liab 5-6'!H41</f>
        <v>1989687</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376107</v>
      </c>
      <c r="D273" s="2" t="str">
        <f t="shared" si="3"/>
        <v>Error?</v>
      </c>
    </row>
    <row r="274" spans="1:4" x14ac:dyDescent="0.2">
      <c r="A274" s="5">
        <v>213</v>
      </c>
      <c r="B274" s="138">
        <f>'Assets-Liab 5-6'!M17</f>
        <v>33510187</v>
      </c>
      <c r="D274" s="2" t="str">
        <f t="shared" si="3"/>
        <v>Error?</v>
      </c>
    </row>
    <row r="275" spans="1:4" x14ac:dyDescent="0.2">
      <c r="A275" s="5">
        <v>214</v>
      </c>
      <c r="B275" s="138">
        <f>'Assets-Liab 5-6'!M18</f>
        <v>2695555</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36581849</v>
      </c>
      <c r="C279" s="2" t="s">
        <v>593</v>
      </c>
      <c r="D279" s="2" t="str">
        <f t="shared" si="3"/>
        <v>Error?</v>
      </c>
    </row>
    <row r="280" spans="1:4" x14ac:dyDescent="0.2">
      <c r="A280" s="5">
        <v>219</v>
      </c>
      <c r="B280" s="138">
        <f>'Assets-Liab 5-6'!M40</f>
        <v>36581849</v>
      </c>
      <c r="D280" s="2" t="str">
        <f t="shared" si="3"/>
        <v>Error?</v>
      </c>
    </row>
    <row r="281" spans="1:4" x14ac:dyDescent="0.2">
      <c r="A281" s="5">
        <v>220</v>
      </c>
      <c r="B281" s="138">
        <f>'Assets-Liab 5-6'!M41</f>
        <v>36581849</v>
      </c>
      <c r="C281" s="2" t="s">
        <v>593</v>
      </c>
      <c r="D281" s="2" t="str">
        <f t="shared" si="3"/>
        <v>Error?</v>
      </c>
    </row>
    <row r="282" spans="1:4" x14ac:dyDescent="0.2">
      <c r="A282" s="5">
        <v>221</v>
      </c>
      <c r="B282" s="138">
        <f>'Assets-Liab 5-6'!N21</f>
        <v>615548</v>
      </c>
      <c r="D282" s="2" t="str">
        <f t="shared" si="3"/>
        <v>Error?</v>
      </c>
    </row>
    <row r="283" spans="1:4" x14ac:dyDescent="0.2">
      <c r="A283" s="5">
        <v>222</v>
      </c>
      <c r="B283" s="138">
        <f>'Assets-Liab 5-6'!N22</f>
        <v>9599452</v>
      </c>
      <c r="D283" s="2" t="str">
        <f t="shared" si="3"/>
        <v>Error?</v>
      </c>
    </row>
    <row r="284" spans="1:4" x14ac:dyDescent="0.2">
      <c r="A284" s="5">
        <v>223</v>
      </c>
      <c r="B284" s="138">
        <f>'Assets-Liab 5-6'!N23</f>
        <v>10215000</v>
      </c>
      <c r="C284" s="2" t="s">
        <v>593</v>
      </c>
      <c r="D284" s="2" t="str">
        <f t="shared" si="3"/>
        <v>Error?</v>
      </c>
    </row>
    <row r="285" spans="1:4" x14ac:dyDescent="0.2">
      <c r="A285" s="5">
        <v>224</v>
      </c>
      <c r="B285" s="138">
        <f>'Assets-Liab 5-6'!N36</f>
        <v>10215000</v>
      </c>
      <c r="D285" s="2" t="str">
        <f t="shared" si="3"/>
        <v>Error?</v>
      </c>
    </row>
    <row r="286" spans="1:4" x14ac:dyDescent="0.2">
      <c r="A286" s="10">
        <v>225</v>
      </c>
      <c r="D286" s="2" t="str">
        <f t="shared" si="3"/>
        <v>OK</v>
      </c>
    </row>
    <row r="287" spans="1:4" x14ac:dyDescent="0.2">
      <c r="A287" s="5">
        <v>226</v>
      </c>
      <c r="B287" s="138">
        <f>'Assets-Liab 5-6'!N37</f>
        <v>10215000</v>
      </c>
      <c r="C287" s="2" t="s">
        <v>593</v>
      </c>
      <c r="D287" s="2" t="str">
        <f t="shared" si="3"/>
        <v>Error?</v>
      </c>
    </row>
    <row r="288" spans="1:4" x14ac:dyDescent="0.2">
      <c r="A288" s="5">
        <v>227</v>
      </c>
      <c r="B288" s="138">
        <f>'Assets-Liab 5-6'!N41</f>
        <v>10215000</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3008242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111953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3646270</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77615</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3504</v>
      </c>
      <c r="D726" s="2" t="str">
        <f t="shared" si="10"/>
        <v>Error?</v>
      </c>
    </row>
    <row r="727" spans="1:4" x14ac:dyDescent="0.2">
      <c r="A727" s="5">
        <v>666</v>
      </c>
      <c r="B727" s="138">
        <f>'Expenditures 15-22'!C42</f>
        <v>81119</v>
      </c>
      <c r="C727" s="2" t="s">
        <v>593</v>
      </c>
      <c r="D727" s="2" t="str">
        <f t="shared" si="10"/>
        <v>Error?</v>
      </c>
    </row>
    <row r="728" spans="1:4" x14ac:dyDescent="0.2">
      <c r="A728" s="5">
        <v>667</v>
      </c>
      <c r="B728" s="138">
        <f>'Expenditures 15-22'!C44</f>
        <v>50216</v>
      </c>
      <c r="D728" s="2" t="str">
        <f t="shared" si="10"/>
        <v>Error?</v>
      </c>
    </row>
    <row r="729" spans="1:4" x14ac:dyDescent="0.2">
      <c r="A729" s="5">
        <v>668</v>
      </c>
      <c r="B729" s="138">
        <f>'Expenditures 15-22'!C45</f>
        <v>61416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111632</v>
      </c>
      <c r="C731" s="2" t="s">
        <v>593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116669</v>
      </c>
      <c r="D733" s="2" t="str">
        <f t="shared" si="10"/>
        <v>Error?</v>
      </c>
    </row>
    <row r="734" spans="1:4" x14ac:dyDescent="0.2">
      <c r="A734" s="5">
        <v>673</v>
      </c>
      <c r="B734" s="138">
        <f>'Expenditures 15-22'!C53</f>
        <v>116669</v>
      </c>
      <c r="C734" s="2" t="s">
        <v>593</v>
      </c>
      <c r="D734" s="2" t="str">
        <f t="shared" si="10"/>
        <v>Error?</v>
      </c>
    </row>
    <row r="735" spans="1:4" x14ac:dyDescent="0.2">
      <c r="A735" s="5">
        <v>674</v>
      </c>
      <c r="B735" s="138">
        <f>'Expenditures 15-22'!C55</f>
        <v>453600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453600</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100639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104123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204762</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967782</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4614052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557209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8495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653867</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6337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6337</v>
      </c>
      <c r="C785" s="2" t="s">
        <v>593</v>
      </c>
      <c r="D785" s="2" t="str">
        <f t="shared" si="11"/>
        <v>Error?</v>
      </c>
    </row>
    <row r="786" spans="1:4" x14ac:dyDescent="0.2">
      <c r="A786" s="5">
        <v>725</v>
      </c>
      <c r="B786" s="138">
        <f>'Expenditures 15-22'!D44</f>
        <v>10942</v>
      </c>
      <c r="D786" s="2" t="str">
        <f t="shared" si="11"/>
        <v>Error?</v>
      </c>
    </row>
    <row r="787" spans="1:4" x14ac:dyDescent="0.2">
      <c r="A787" s="5">
        <v>726</v>
      </c>
      <c r="B787" s="138">
        <f>'Expenditures 15-22'!D45</f>
        <v>12251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23193</v>
      </c>
      <c r="C789" s="2" t="s">
        <v>593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21650</v>
      </c>
      <c r="D791" s="2" t="str">
        <f t="shared" si="11"/>
        <v>Error?</v>
      </c>
    </row>
    <row r="792" spans="1:4" x14ac:dyDescent="0.2">
      <c r="A792" s="5">
        <v>731</v>
      </c>
      <c r="B792" s="138">
        <f>'Expenditures 15-22'!D53</f>
        <v>21650</v>
      </c>
      <c r="C792" s="2" t="s">
        <v>593</v>
      </c>
      <c r="D792" s="2" t="str">
        <f t="shared" si="11"/>
        <v>Error?</v>
      </c>
    </row>
    <row r="793" spans="1:4" x14ac:dyDescent="0.2">
      <c r="A793" s="5">
        <v>732</v>
      </c>
      <c r="B793" s="138">
        <f>'Expenditures 15-22'!D55</f>
        <v>95642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95642</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10135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29653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39788</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186610</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840477</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11460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35906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93690</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20162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20162</v>
      </c>
      <c r="C843" s="2" t="s">
        <v>593</v>
      </c>
      <c r="D843" s="2" t="str">
        <f t="shared" si="12"/>
        <v>Error?</v>
      </c>
    </row>
    <row r="844" spans="1:4" x14ac:dyDescent="0.2">
      <c r="A844" s="5">
        <v>783</v>
      </c>
      <c r="B844" s="138">
        <f>'Expenditures 15-22'!E44</f>
        <v>21866</v>
      </c>
      <c r="D844" s="2" t="str">
        <f t="shared" si="12"/>
        <v>Error?</v>
      </c>
    </row>
    <row r="845" spans="1:4" x14ac:dyDescent="0.2">
      <c r="A845" s="5">
        <v>784</v>
      </c>
      <c r="B845" s="138">
        <f>'Expenditures 15-22'!E45</f>
        <v>4395</v>
      </c>
      <c r="D845" s="2" t="str">
        <f t="shared" si="12"/>
        <v>Error?</v>
      </c>
    </row>
    <row r="846" spans="1:4" x14ac:dyDescent="0.2">
      <c r="A846" s="5">
        <v>785</v>
      </c>
      <c r="B846" s="138">
        <f>'Expenditures 15-22'!E46</f>
        <v>120</v>
      </c>
      <c r="D846" s="2" t="str">
        <f t="shared" si="12"/>
        <v>Error?</v>
      </c>
    </row>
    <row r="847" spans="1:4" x14ac:dyDescent="0.2">
      <c r="A847" s="5">
        <v>786</v>
      </c>
      <c r="B847" s="138">
        <f>'Expenditures 15-22'!E47</f>
        <v>26381</v>
      </c>
      <c r="C847" s="2" t="s">
        <v>593</v>
      </c>
      <c r="D847" s="2" t="str">
        <f t="shared" si="12"/>
        <v>Error?</v>
      </c>
    </row>
    <row r="848" spans="1:4" x14ac:dyDescent="0.2">
      <c r="A848" s="5">
        <v>787</v>
      </c>
      <c r="B848" s="138">
        <f>'Expenditures 15-22'!E49</f>
        <v>51166</v>
      </c>
      <c r="D848" s="2" t="str">
        <f t="shared" si="12"/>
        <v>Error?</v>
      </c>
    </row>
    <row r="849" spans="1:4" x14ac:dyDescent="0.2">
      <c r="A849" s="5">
        <v>788</v>
      </c>
      <c r="B849" s="138">
        <f>'Expenditures 15-22'!E50</f>
        <v>1500</v>
      </c>
      <c r="D849" s="2" t="str">
        <f t="shared" si="12"/>
        <v>Error?</v>
      </c>
    </row>
    <row r="850" spans="1:4" x14ac:dyDescent="0.2">
      <c r="A850" s="5">
        <v>789</v>
      </c>
      <c r="B850" s="138">
        <f>'Expenditures 15-22'!E53</f>
        <v>52666</v>
      </c>
      <c r="C850" s="2" t="s">
        <v>593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2719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600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3319</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73253</v>
      </c>
      <c r="D867" s="2" t="str">
        <f t="shared" si="12"/>
        <v>Error?</v>
      </c>
    </row>
    <row r="868" spans="1:4" x14ac:dyDescent="0.2">
      <c r="A868" s="10">
        <v>807</v>
      </c>
      <c r="D868" s="2" t="str">
        <f t="shared" si="12"/>
        <v>OK</v>
      </c>
    </row>
    <row r="869" spans="1:4" x14ac:dyDescent="0.2">
      <c r="A869" s="5">
        <v>808</v>
      </c>
      <c r="B869" s="138">
        <f>'Expenditures 15-22'!E72</f>
        <v>73253</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175781</v>
      </c>
      <c r="C871" s="2" t="s">
        <v>593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269471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48684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576</v>
      </c>
      <c r="D891" s="2" t="str">
        <f t="shared" si="12"/>
        <v>Error?</v>
      </c>
    </row>
    <row r="892" spans="1:4" x14ac:dyDescent="0.2">
      <c r="A892" s="5">
        <v>831</v>
      </c>
      <c r="B892" s="138">
        <f>'Expenditures 15-22'!F14</f>
        <v>10120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179695</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479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479</v>
      </c>
      <c r="C901" s="2" t="s">
        <v>593</v>
      </c>
      <c r="D901" s="2" t="str">
        <f t="shared" si="13"/>
        <v>Error?</v>
      </c>
    </row>
    <row r="902" spans="1:4" x14ac:dyDescent="0.2">
      <c r="A902" s="5">
        <v>841</v>
      </c>
      <c r="B902" s="138">
        <f>'Expenditures 15-22'!F44</f>
        <v>24730</v>
      </c>
      <c r="D902" s="2" t="str">
        <f t="shared" si="13"/>
        <v>Error?</v>
      </c>
    </row>
    <row r="903" spans="1:4" x14ac:dyDescent="0.2">
      <c r="A903" s="5">
        <v>842</v>
      </c>
      <c r="B903" s="138">
        <f>'Expenditures 15-22'!F45</f>
        <v>11162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35892</v>
      </c>
      <c r="C905" s="2" t="s">
        <v>593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289906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289906</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41841</v>
      </c>
      <c r="D925" s="2" t="str">
        <f t="shared" si="13"/>
        <v>Error?</v>
      </c>
    </row>
    <row r="926" spans="1:4" x14ac:dyDescent="0.2">
      <c r="A926" s="10">
        <v>865</v>
      </c>
      <c r="D926" s="2" t="str">
        <f t="shared" si="13"/>
        <v>OK</v>
      </c>
    </row>
    <row r="927" spans="1:4" x14ac:dyDescent="0.2">
      <c r="A927" s="5">
        <v>866</v>
      </c>
      <c r="B927" s="138">
        <f>'Expenditures 15-22'!F72</f>
        <v>41841</v>
      </c>
      <c r="C927" s="2" t="s">
        <v>593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368118</v>
      </c>
      <c r="C929" s="2" t="s">
        <v>593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547813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34420</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12991</v>
      </c>
      <c r="D983" s="2" t="str">
        <f t="shared" si="14"/>
        <v>Error?</v>
      </c>
    </row>
    <row r="984" spans="1:4" x14ac:dyDescent="0.2">
      <c r="A984" s="10">
        <v>923</v>
      </c>
      <c r="D984" s="2" t="str">
        <f t="shared" si="14"/>
        <v>OK</v>
      </c>
    </row>
    <row r="985" spans="1:4" x14ac:dyDescent="0.2">
      <c r="A985" s="5">
        <v>924</v>
      </c>
      <c r="B985" s="138">
        <f>'Expenditures 15-22'!G72</f>
        <v>12991</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12991</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47411</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7825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19050</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414601</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433651</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3625595</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576</v>
      </c>
      <c r="C1105" s="2" t="s">
        <v>593</v>
      </c>
      <c r="D1105" s="2" t="str">
        <f t="shared" si="16"/>
        <v>Error?</v>
      </c>
    </row>
    <row r="1106" spans="1:4" x14ac:dyDescent="0.2">
      <c r="A1106" s="5">
        <v>1045</v>
      </c>
      <c r="B1106" s="138">
        <f>'Expenditures 15-22'!K14</f>
        <v>174299</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4626992</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83952</v>
      </c>
      <c r="C1110" s="2" t="s">
        <v>593</v>
      </c>
      <c r="D1110" s="2" t="str">
        <f t="shared" si="16"/>
        <v>Error?</v>
      </c>
    </row>
    <row r="1111" spans="1:4" x14ac:dyDescent="0.2">
      <c r="A1111" s="5">
        <v>1050</v>
      </c>
      <c r="B1111" s="138">
        <f>'Expenditures 15-22'!K38</f>
        <v>20641</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3504</v>
      </c>
      <c r="C1114" s="2" t="s">
        <v>593</v>
      </c>
      <c r="D1114" s="2" t="str">
        <f t="shared" si="16"/>
        <v>Error?</v>
      </c>
    </row>
    <row r="1115" spans="1:4" x14ac:dyDescent="0.2">
      <c r="A1115" s="5">
        <v>1054</v>
      </c>
      <c r="B1115" s="138">
        <f>'Expenditures 15-22'!K42</f>
        <v>108097</v>
      </c>
      <c r="C1115" s="2" t="s">
        <v>593</v>
      </c>
      <c r="D1115" s="2" t="str">
        <f t="shared" si="16"/>
        <v>Error?</v>
      </c>
    </row>
    <row r="1116" spans="1:4" x14ac:dyDescent="0.2">
      <c r="A1116" s="5">
        <v>1055</v>
      </c>
      <c r="B1116" s="138">
        <f>'Expenditures 15-22'!K44</f>
        <v>107754</v>
      </c>
      <c r="C1116" s="2" t="s">
        <v>593</v>
      </c>
      <c r="D1116" s="2" t="str">
        <f t="shared" si="16"/>
        <v>Error?</v>
      </c>
    </row>
    <row r="1117" spans="1:4" x14ac:dyDescent="0.2">
      <c r="A1117" s="5">
        <v>1056</v>
      </c>
      <c r="B1117" s="138">
        <f>'Expenditures 15-22'!K45</f>
        <v>89224</v>
      </c>
      <c r="C1117" s="2" t="s">
        <v>593</v>
      </c>
      <c r="D1117" s="2" t="str">
        <f t="shared" si="16"/>
        <v>Error?</v>
      </c>
    </row>
    <row r="1118" spans="1:4" x14ac:dyDescent="0.2">
      <c r="A1118" s="5">
        <v>1057</v>
      </c>
      <c r="B1118" s="138">
        <f>'Expenditures 15-22'!K46</f>
        <v>120</v>
      </c>
      <c r="C1118" s="2" t="s">
        <v>593</v>
      </c>
      <c r="D1118" s="2" t="str">
        <f t="shared" si="16"/>
        <v>Error?</v>
      </c>
    </row>
    <row r="1119" spans="1:4" x14ac:dyDescent="0.2">
      <c r="A1119" s="5">
        <v>1058</v>
      </c>
      <c r="B1119" s="138">
        <f>'Expenditures 15-22'!K47</f>
        <v>197098</v>
      </c>
      <c r="C1119" s="2" t="s">
        <v>593</v>
      </c>
      <c r="D1119" s="2" t="str">
        <f t="shared" si="16"/>
        <v>Error?</v>
      </c>
    </row>
    <row r="1120" spans="1:4" x14ac:dyDescent="0.2">
      <c r="A1120" s="5">
        <v>1059</v>
      </c>
      <c r="B1120" s="138">
        <f>'Expenditures 15-22'!K49</f>
        <v>51166</v>
      </c>
      <c r="C1120" s="2" t="s">
        <v>593</v>
      </c>
      <c r="D1120" s="2" t="str">
        <f t="shared" si="16"/>
        <v>Error?</v>
      </c>
    </row>
    <row r="1121" spans="1:4" x14ac:dyDescent="0.2">
      <c r="A1121" s="5">
        <v>1060</v>
      </c>
      <c r="B1121" s="138">
        <f>'Expenditures 15-22'!K50</f>
        <v>139819</v>
      </c>
      <c r="C1121" s="2" t="s">
        <v>593</v>
      </c>
      <c r="D1121" s="2" t="str">
        <f t="shared" si="16"/>
        <v>Error?</v>
      </c>
    </row>
    <row r="1122" spans="1:4" x14ac:dyDescent="0.2">
      <c r="A1122" s="5">
        <v>1061</v>
      </c>
      <c r="B1122" s="138">
        <f>'Expenditures 15-22'!K53</f>
        <v>190985</v>
      </c>
      <c r="C1122" s="2" t="s">
        <v>593</v>
      </c>
      <c r="D1122" s="2" t="str">
        <f t="shared" si="16"/>
        <v>Error?</v>
      </c>
    </row>
    <row r="1123" spans="1:4" x14ac:dyDescent="0.2">
      <c r="A1123" s="5">
        <v>1062</v>
      </c>
      <c r="B1123" s="138">
        <f>'Expenditures 15-22'!K55</f>
        <v>549242</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549242</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113493</v>
      </c>
      <c r="C1127" s="2" t="s">
        <v>593</v>
      </c>
      <c r="D1127" s="2" t="str">
        <f t="shared" si="16"/>
        <v>Error?</v>
      </c>
    </row>
    <row r="1128" spans="1:4" x14ac:dyDescent="0.2">
      <c r="A1128" s="5">
        <v>1067</v>
      </c>
      <c r="B1128" s="138">
        <f>'Expenditures 15-22'!K61</f>
        <v>0</v>
      </c>
      <c r="C1128" s="2" t="s">
        <v>593</v>
      </c>
      <c r="D1128" s="2" t="str">
        <f t="shared" si="16"/>
        <v>Error?</v>
      </c>
    </row>
    <row r="1129" spans="1:4" x14ac:dyDescent="0.2">
      <c r="A1129" s="5">
        <v>1068</v>
      </c>
      <c r="B1129" s="138">
        <f>'Expenditures 15-22'!K62</f>
        <v>0</v>
      </c>
      <c r="C1129" s="2" t="s">
        <v>593</v>
      </c>
      <c r="D1129" s="2" t="str">
        <f t="shared" si="16"/>
        <v>Error?</v>
      </c>
    </row>
    <row r="1130" spans="1:4" x14ac:dyDescent="0.2">
      <c r="A1130" s="5">
        <v>1069</v>
      </c>
      <c r="B1130" s="138">
        <f>'Expenditures 15-22'!K63</f>
        <v>424282</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537775</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128085</v>
      </c>
      <c r="C1139" s="2" t="s">
        <v>593</v>
      </c>
      <c r="D1139" s="2" t="str">
        <f t="shared" si="16"/>
        <v>Error?</v>
      </c>
    </row>
    <row r="1140" spans="1:4" x14ac:dyDescent="0.2">
      <c r="A1140" s="10">
        <v>1079</v>
      </c>
      <c r="D1140" s="2" t="str">
        <f t="shared" si="16"/>
        <v>OK</v>
      </c>
    </row>
    <row r="1141" spans="1:4" x14ac:dyDescent="0.2">
      <c r="A1141" s="5">
        <v>1080</v>
      </c>
      <c r="B1141" s="138">
        <f>'Expenditures 15-22'!K72</f>
        <v>128085</v>
      </c>
      <c r="C1141" s="2" t="s">
        <v>593</v>
      </c>
      <c r="D1141" s="2" t="str">
        <f t="shared" si="16"/>
        <v>Error?</v>
      </c>
    </row>
    <row r="1142" spans="1:4" x14ac:dyDescent="0.2">
      <c r="A1142" s="5">
        <v>1081</v>
      </c>
      <c r="B1142" s="138">
        <f>'Expenditures 15-22'!K73</f>
        <v>0</v>
      </c>
      <c r="C1142" s="2" t="s">
        <v>593</v>
      </c>
      <c r="D1142" s="2" t="str">
        <f t="shared" si="16"/>
        <v>Error?</v>
      </c>
    </row>
    <row r="1143" spans="1:4" x14ac:dyDescent="0.2">
      <c r="A1143" s="5">
        <v>1082</v>
      </c>
      <c r="B1143" s="138">
        <f>'Expenditures 15-22'!K74</f>
        <v>1711282</v>
      </c>
      <c r="C1143" s="2" t="s">
        <v>593</v>
      </c>
      <c r="D1143" s="2" t="str">
        <f t="shared" si="16"/>
        <v>Error?</v>
      </c>
    </row>
    <row r="1144" spans="1:4" x14ac:dyDescent="0.2">
      <c r="A1144" s="5">
        <v>1083</v>
      </c>
      <c r="B1144" s="138">
        <f>'Expenditures 15-22'!K75</f>
        <v>0</v>
      </c>
      <c r="C1144" s="2" t="s">
        <v>593</v>
      </c>
      <c r="D1144" s="2" t="str">
        <f t="shared" si="16"/>
        <v>Error?</v>
      </c>
    </row>
    <row r="1145" spans="1:4" x14ac:dyDescent="0.2">
      <c r="A1145" s="5">
        <v>1084</v>
      </c>
      <c r="B1145" s="138">
        <f>'Expenditures 15-22'!K102</f>
        <v>414601</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6752875</v>
      </c>
      <c r="C1152" s="2" t="s">
        <v>593</v>
      </c>
      <c r="D1152" s="2" t="str">
        <f t="shared" si="17"/>
        <v>Error?</v>
      </c>
    </row>
    <row r="1153" spans="1:4" x14ac:dyDescent="0.2">
      <c r="A1153" s="5">
        <v>1092</v>
      </c>
      <c r="B1153" s="138">
        <f>'Expenditures 15-22'!K115</f>
        <v>-67096</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209927</v>
      </c>
      <c r="D1221" s="2" t="str">
        <f t="shared" si="18"/>
        <v>Error?</v>
      </c>
    </row>
    <row r="1222" spans="1:4" x14ac:dyDescent="0.2">
      <c r="A1222" s="10">
        <v>1161</v>
      </c>
      <c r="D1222" s="2" t="str">
        <f t="shared" si="18"/>
        <v>OK</v>
      </c>
    </row>
    <row r="1223" spans="1:4" x14ac:dyDescent="0.2">
      <c r="A1223" s="5">
        <v>1162</v>
      </c>
      <c r="B1223" s="138">
        <f>'Expenditures 15-22'!C127</f>
        <v>209927</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209927</v>
      </c>
      <c r="C1225" s="2" t="s">
        <v>593</v>
      </c>
      <c r="D1225" s="2" t="str">
        <f t="shared" si="18"/>
        <v>Error?</v>
      </c>
    </row>
    <row r="1226" spans="1:4" x14ac:dyDescent="0.2">
      <c r="A1226" s="5">
        <v>1165</v>
      </c>
      <c r="B1226" s="138">
        <f>'Expenditures 15-22'!C151</f>
        <v>209927</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37268</v>
      </c>
      <c r="D1229" s="2" t="str">
        <f t="shared" si="18"/>
        <v>Error?</v>
      </c>
    </row>
    <row r="1230" spans="1:4" x14ac:dyDescent="0.2">
      <c r="A1230" s="10">
        <v>1169</v>
      </c>
      <c r="D1230" s="2" t="str">
        <f t="shared" si="18"/>
        <v>OK</v>
      </c>
    </row>
    <row r="1231" spans="1:4" x14ac:dyDescent="0.2">
      <c r="A1231" s="5">
        <v>1170</v>
      </c>
      <c r="B1231" s="138">
        <f>'Expenditures 15-22'!D127</f>
        <v>37268</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37268</v>
      </c>
      <c r="C1233" s="2" t="s">
        <v>593</v>
      </c>
      <c r="D1233" s="2" t="str">
        <f t="shared" si="18"/>
        <v>Error?</v>
      </c>
    </row>
    <row r="1234" spans="1:4" x14ac:dyDescent="0.2">
      <c r="A1234" s="5">
        <v>1173</v>
      </c>
      <c r="B1234" s="138">
        <f>'Expenditures 15-22'!D151</f>
        <v>37268</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274729</v>
      </c>
      <c r="D1237" s="2" t="str">
        <f t="shared" si="18"/>
        <v>Error?</v>
      </c>
    </row>
    <row r="1238" spans="1:4" x14ac:dyDescent="0.2">
      <c r="A1238" s="10">
        <v>1177</v>
      </c>
      <c r="D1238" s="2" t="str">
        <f t="shared" si="18"/>
        <v>OK</v>
      </c>
    </row>
    <row r="1239" spans="1:4" x14ac:dyDescent="0.2">
      <c r="A1239" s="5">
        <v>1178</v>
      </c>
      <c r="B1239" s="138">
        <f>'Expenditures 15-22'!E127</f>
        <v>274729</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274729</v>
      </c>
      <c r="C1241" s="2" t="s">
        <v>593</v>
      </c>
      <c r="D1241" s="2" t="str">
        <f t="shared" si="18"/>
        <v>Error?</v>
      </c>
    </row>
    <row r="1242" spans="1:4" x14ac:dyDescent="0.2">
      <c r="A1242" s="5">
        <v>1181</v>
      </c>
      <c r="B1242" s="138">
        <f>'Expenditures 15-22'!E151</f>
        <v>274729</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93280</v>
      </c>
      <c r="D1245" s="2" t="str">
        <f t="shared" si="18"/>
        <v>Error?</v>
      </c>
    </row>
    <row r="1246" spans="1:4" x14ac:dyDescent="0.2">
      <c r="A1246" s="10">
        <v>1185</v>
      </c>
      <c r="D1246" s="2" t="str">
        <f t="shared" si="18"/>
        <v>OK</v>
      </c>
    </row>
    <row r="1247" spans="1:4" x14ac:dyDescent="0.2">
      <c r="A1247" s="5">
        <v>1186</v>
      </c>
      <c r="B1247" s="138">
        <f>'Expenditures 15-22'!F127</f>
        <v>93280</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93280</v>
      </c>
      <c r="C1249" s="2" t="s">
        <v>593</v>
      </c>
      <c r="D1249" s="2" t="str">
        <f t="shared" si="18"/>
        <v>Error?</v>
      </c>
    </row>
    <row r="1250" spans="1:4" x14ac:dyDescent="0.2">
      <c r="A1250" s="5">
        <v>1189</v>
      </c>
      <c r="B1250" s="138">
        <f>'Expenditures 15-22'!F151</f>
        <v>93280</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3172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3172</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3172</v>
      </c>
      <c r="C1258" s="2" t="s">
        <v>593</v>
      </c>
      <c r="D1258" s="2" t="str">
        <f t="shared" si="18"/>
        <v>Error?</v>
      </c>
    </row>
    <row r="1259" spans="1:4" x14ac:dyDescent="0.2">
      <c r="A1259" s="5">
        <v>1198</v>
      </c>
      <c r="B1259" s="138">
        <f>'Expenditures 15-22'!G151</f>
        <v>3172</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0</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0</v>
      </c>
      <c r="C1275" s="2" t="s">
        <v>593</v>
      </c>
      <c r="D1275" s="2" t="str">
        <f t="shared" si="18"/>
        <v>Error?</v>
      </c>
    </row>
    <row r="1276" spans="1:4" x14ac:dyDescent="0.2">
      <c r="A1276" s="5">
        <v>1215</v>
      </c>
      <c r="B1276" s="138">
        <f>'Expenditures 15-22'!K124</f>
        <v>618376</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618376</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618376</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618376</v>
      </c>
      <c r="C1288" s="2" t="s">
        <v>593</v>
      </c>
      <c r="D1288" s="2" t="str">
        <f t="shared" si="19"/>
        <v>Error?</v>
      </c>
    </row>
    <row r="1289" spans="1:4" x14ac:dyDescent="0.2">
      <c r="A1289" s="5">
        <v>1228</v>
      </c>
      <c r="B1289" s="138">
        <f>'Expenditures 15-22'!K152</f>
        <v>60721</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21536</v>
      </c>
      <c r="D1307" s="2" t="str">
        <f t="shared" si="19"/>
        <v>Error?</v>
      </c>
    </row>
    <row r="1308" spans="1:4" x14ac:dyDescent="0.2">
      <c r="A1308" s="5">
        <v>1247</v>
      </c>
      <c r="B1308" s="138">
        <f>'Expenditures 15-22'!E172</f>
        <v>21536</v>
      </c>
      <c r="C1308" s="2" t="s">
        <v>593</v>
      </c>
      <c r="D1308" s="2" t="str">
        <f t="shared" si="19"/>
        <v>Error?</v>
      </c>
    </row>
    <row r="1309" spans="1:4" x14ac:dyDescent="0.2">
      <c r="A1309" s="5">
        <v>1248</v>
      </c>
      <c r="B1309" s="138">
        <f>'Expenditures 15-22'!E174</f>
        <v>21536</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337081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1005000</v>
      </c>
      <c r="D1315" s="2" t="str">
        <f t="shared" si="19"/>
        <v>Error?</v>
      </c>
    </row>
    <row r="1316" spans="1:4" x14ac:dyDescent="0.2">
      <c r="A1316" s="5">
        <v>1255</v>
      </c>
      <c r="B1316" s="138">
        <f>'Expenditures 15-22'!H171</f>
        <v>34726</v>
      </c>
      <c r="D1316" s="2" t="str">
        <f t="shared" si="19"/>
        <v>Error?</v>
      </c>
    </row>
    <row r="1317" spans="1:4" x14ac:dyDescent="0.2">
      <c r="A1317" s="5">
        <v>1256</v>
      </c>
      <c r="B1317" s="138">
        <f>'Expenditures 15-22'!H172</f>
        <v>1376807</v>
      </c>
      <c r="C1317" s="2" t="s">
        <v>593</v>
      </c>
      <c r="D1317" s="2" t="str">
        <f t="shared" si="19"/>
        <v>Error?</v>
      </c>
    </row>
    <row r="1318" spans="1:4" x14ac:dyDescent="0.2">
      <c r="A1318" s="5">
        <v>1257</v>
      </c>
      <c r="B1318" s="138">
        <f>'Expenditures 15-22'!H174</f>
        <v>1376807</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337081</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1005000</v>
      </c>
      <c r="C1329" s="2" t="s">
        <v>593</v>
      </c>
      <c r="D1329" s="2" t="str">
        <f t="shared" si="19"/>
        <v>Error?</v>
      </c>
    </row>
    <row r="1330" spans="1:4" x14ac:dyDescent="0.2">
      <c r="A1330" s="5">
        <v>1269</v>
      </c>
      <c r="B1330" s="138">
        <f>'Expenditures 15-22'!K171</f>
        <v>56262</v>
      </c>
      <c r="C1330" s="2" t="s">
        <v>593</v>
      </c>
      <c r="D1330" s="2" t="str">
        <f t="shared" si="19"/>
        <v>Error?</v>
      </c>
    </row>
    <row r="1331" spans="1:4" x14ac:dyDescent="0.2">
      <c r="A1331" s="5">
        <v>1270</v>
      </c>
      <c r="B1331" s="138">
        <f>'Expenditures 15-22'!K172</f>
        <v>1398343</v>
      </c>
      <c r="C1331" s="2" t="s">
        <v>593</v>
      </c>
      <c r="D1331" s="2" t="str">
        <f t="shared" si="19"/>
        <v>Error?</v>
      </c>
    </row>
    <row r="1332" spans="1:4" x14ac:dyDescent="0.2">
      <c r="A1332" s="5">
        <v>1271</v>
      </c>
      <c r="B1332" s="138">
        <f>'Expenditures 15-22'!K174</f>
        <v>1398343</v>
      </c>
      <c r="C1332" s="2" t="s">
        <v>593</v>
      </c>
      <c r="D1332" s="2" t="str">
        <f t="shared" si="19"/>
        <v>Error?</v>
      </c>
    </row>
    <row r="1333" spans="1:4" x14ac:dyDescent="0.2">
      <c r="A1333" s="5">
        <v>1272</v>
      </c>
      <c r="B1333" s="138">
        <f>'Expenditures 15-22'!K175</f>
        <v>-89472</v>
      </c>
      <c r="C1333" s="2" t="s">
        <v>593</v>
      </c>
      <c r="D1333" s="2" t="str">
        <f t="shared" si="19"/>
        <v>Error?</v>
      </c>
    </row>
    <row r="1334" spans="1:4" x14ac:dyDescent="0.2">
      <c r="A1334" s="10">
        <v>1273</v>
      </c>
      <c r="D1334" s="2" t="str">
        <f t="shared" si="19"/>
        <v>OK</v>
      </c>
    </row>
    <row r="1335" spans="1:4" x14ac:dyDescent="0.2">
      <c r="A1335" s="5">
        <v>1274</v>
      </c>
      <c r="B1335" s="138">
        <f>'Expenditures 15-22'!C182</f>
        <v>290752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290752</v>
      </c>
      <c r="C1339" s="2" t="s">
        <v>593</v>
      </c>
      <c r="D1339" s="2" t="str">
        <f t="shared" si="19"/>
        <v>Error?</v>
      </c>
    </row>
    <row r="1340" spans="1:4" x14ac:dyDescent="0.2">
      <c r="A1340" s="5">
        <v>1279</v>
      </c>
      <c r="B1340" s="138">
        <f>'Expenditures 15-22'!C210</f>
        <v>290752</v>
      </c>
      <c r="C1340" s="2" t="s">
        <v>593</v>
      </c>
      <c r="D1340" s="2" t="str">
        <f t="shared" si="19"/>
        <v>Error?</v>
      </c>
    </row>
    <row r="1341" spans="1:4" x14ac:dyDescent="0.2">
      <c r="A1341" s="5">
        <v>1280</v>
      </c>
      <c r="B1341" s="138">
        <f>'Expenditures 15-22'!D182</f>
        <v>5068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5068</v>
      </c>
      <c r="C1345" s="2" t="s">
        <v>593</v>
      </c>
      <c r="D1345" s="2" t="str">
        <f t="shared" si="20"/>
        <v>Error?</v>
      </c>
    </row>
    <row r="1346" spans="1:4" x14ac:dyDescent="0.2">
      <c r="A1346" s="5">
        <v>1285</v>
      </c>
      <c r="B1346" s="138">
        <f>'Expenditures 15-22'!D210</f>
        <v>5068</v>
      </c>
      <c r="C1346" s="2" t="s">
        <v>593</v>
      </c>
      <c r="D1346" s="2" t="str">
        <f t="shared" si="20"/>
        <v>Error?</v>
      </c>
    </row>
    <row r="1347" spans="1:4" x14ac:dyDescent="0.2">
      <c r="A1347" s="5">
        <v>1286</v>
      </c>
      <c r="B1347" s="138">
        <f>'Expenditures 15-22'!E182</f>
        <v>35640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35640</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35640</v>
      </c>
      <c r="C1353" s="2" t="s">
        <v>593</v>
      </c>
      <c r="D1353" s="2" t="str">
        <f t="shared" si="20"/>
        <v>Error?</v>
      </c>
    </row>
    <row r="1354" spans="1:4" x14ac:dyDescent="0.2">
      <c r="A1354" s="5">
        <v>1293</v>
      </c>
      <c r="B1354" s="138">
        <f>'Expenditures 15-22'!F182</f>
        <v>99210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99210</v>
      </c>
      <c r="C1358" s="2" t="s">
        <v>593</v>
      </c>
      <c r="D1358" s="2" t="str">
        <f t="shared" si="20"/>
        <v>Error?</v>
      </c>
    </row>
    <row r="1359" spans="1:4" x14ac:dyDescent="0.2">
      <c r="A1359" s="5">
        <v>1298</v>
      </c>
      <c r="B1359" s="138">
        <f>'Expenditures 15-22'!F210</f>
        <v>99210</v>
      </c>
      <c r="C1359" s="2" t="s">
        <v>593</v>
      </c>
      <c r="D1359" s="2" t="str">
        <f t="shared" si="20"/>
        <v>Error?</v>
      </c>
    </row>
    <row r="1360" spans="1:4" x14ac:dyDescent="0.2">
      <c r="A1360" s="5">
        <v>1299</v>
      </c>
      <c r="B1360" s="138">
        <f>'Expenditures 15-22'!G182</f>
        <v>135288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135288</v>
      </c>
      <c r="C1364" s="2" t="s">
        <v>593</v>
      </c>
      <c r="D1364" s="2" t="str">
        <f t="shared" si="20"/>
        <v>Error?</v>
      </c>
    </row>
    <row r="1365" spans="1:4" x14ac:dyDescent="0.2">
      <c r="A1365" s="5">
        <v>1304</v>
      </c>
      <c r="B1365" s="138">
        <f>'Expenditures 15-22'!G210</f>
        <v>135288</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565958</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565958</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565958</v>
      </c>
      <c r="C1388" s="2" t="s">
        <v>593</v>
      </c>
      <c r="D1388" s="2" t="str">
        <f t="shared" si="20"/>
        <v>Error?</v>
      </c>
    </row>
    <row r="1389" spans="1:4" x14ac:dyDescent="0.2">
      <c r="A1389" s="5">
        <v>1328</v>
      </c>
      <c r="B1389" s="138">
        <f>'Expenditures 15-22'!K211</f>
        <v>15967</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3061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63889</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1095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268</v>
      </c>
      <c r="D1416" s="2" t="str">
        <f t="shared" si="21"/>
        <v>Error?</v>
      </c>
    </row>
    <row r="1417" spans="1:4" x14ac:dyDescent="0.2">
      <c r="A1417" s="5">
        <v>1356</v>
      </c>
      <c r="B1417" s="138">
        <f>'Expenditures 15-22'!D238</f>
        <v>1363</v>
      </c>
      <c r="C1417" s="2" t="s">
        <v>593</v>
      </c>
      <c r="D1417" s="2" t="str">
        <f t="shared" si="21"/>
        <v>Error?</v>
      </c>
    </row>
    <row r="1418" spans="1:4" x14ac:dyDescent="0.2">
      <c r="A1418" s="5">
        <v>1357</v>
      </c>
      <c r="B1418" s="138">
        <f>'Expenditures 15-22'!D240</f>
        <v>627</v>
      </c>
      <c r="D1418" s="2" t="str">
        <f t="shared" si="21"/>
        <v>Error?</v>
      </c>
    </row>
    <row r="1419" spans="1:4" x14ac:dyDescent="0.2">
      <c r="A1419" s="5">
        <v>1358</v>
      </c>
      <c r="B1419" s="138">
        <f>'Expenditures 15-22'!D241</f>
        <v>886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1513</v>
      </c>
      <c r="C1421" s="2" t="s">
        <v>593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1875</v>
      </c>
      <c r="D1423" s="2" t="str">
        <f t="shared" si="21"/>
        <v>Error?</v>
      </c>
    </row>
    <row r="1424" spans="1:4" x14ac:dyDescent="0.2">
      <c r="A1424" s="5">
        <v>1363</v>
      </c>
      <c r="B1424" s="138">
        <f>'Expenditures 15-22'!D257</f>
        <v>1875</v>
      </c>
      <c r="C1424" s="2" t="s">
        <v>593</v>
      </c>
      <c r="D1424" s="2" t="str">
        <f t="shared" si="21"/>
        <v>Error?</v>
      </c>
    </row>
    <row r="1425" spans="1:4" x14ac:dyDescent="0.2">
      <c r="A1425" s="5">
        <v>1364</v>
      </c>
      <c r="B1425" s="138">
        <f>'Expenditures 15-22'!D259</f>
        <v>23077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23077</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15458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40617</v>
      </c>
      <c r="D1431" s="2" t="str">
        <f t="shared" si="21"/>
        <v>Error?</v>
      </c>
    </row>
    <row r="1432" spans="1:4" x14ac:dyDescent="0.2">
      <c r="A1432" s="5">
        <v>1371</v>
      </c>
      <c r="B1432" s="138">
        <f>'Expenditures 15-22'!D267</f>
        <v>28863</v>
      </c>
      <c r="D1432" s="2" t="str">
        <f t="shared" si="21"/>
        <v>Error?</v>
      </c>
    </row>
    <row r="1433" spans="1:4" x14ac:dyDescent="0.2">
      <c r="A1433" s="5">
        <v>1372</v>
      </c>
      <c r="B1433" s="138">
        <f>'Expenditures 15-22'!D268</f>
        <v>17339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102277</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130105</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193994</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0</v>
      </c>
      <c r="C1471" s="2" t="s">
        <v>593</v>
      </c>
      <c r="D1471" s="2" t="str">
        <f t="shared" ref="D1471:D1534" si="22">IF(ISBLANK(B1471),"OK",IF(A1471-B1471=0,"OK","Error?"))</f>
        <v>Error?</v>
      </c>
    </row>
    <row r="1472" spans="1:4" x14ac:dyDescent="0.2">
      <c r="A1472" s="5">
        <v>1411</v>
      </c>
      <c r="B1472" s="138">
        <f>'Expenditures 15-22'!K223</f>
        <v>3061</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63889</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1095</v>
      </c>
      <c r="C1476" s="2" t="s">
        <v>593</v>
      </c>
      <c r="D1476" s="2" t="str">
        <f t="shared" si="22"/>
        <v>Error?</v>
      </c>
    </row>
    <row r="1477" spans="1:4" x14ac:dyDescent="0.2">
      <c r="A1477" s="5">
        <v>1416</v>
      </c>
      <c r="B1477" s="138">
        <f>'Expenditures 15-22'!K234</f>
        <v>0</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268</v>
      </c>
      <c r="C1480" s="2" t="s">
        <v>593</v>
      </c>
      <c r="D1480" s="2" t="str">
        <f t="shared" si="22"/>
        <v>Error?</v>
      </c>
    </row>
    <row r="1481" spans="1:4" x14ac:dyDescent="0.2">
      <c r="A1481" s="5">
        <v>1420</v>
      </c>
      <c r="B1481" s="138">
        <f>'Expenditures 15-22'!K238</f>
        <v>1363</v>
      </c>
      <c r="C1481" s="2" t="s">
        <v>593</v>
      </c>
      <c r="D1481" s="2" t="str">
        <f t="shared" si="22"/>
        <v>Error?</v>
      </c>
    </row>
    <row r="1482" spans="1:4" x14ac:dyDescent="0.2">
      <c r="A1482" s="5">
        <v>1421</v>
      </c>
      <c r="B1482" s="138">
        <f>'Expenditures 15-22'!K240</f>
        <v>627</v>
      </c>
      <c r="C1482" s="2" t="s">
        <v>593</v>
      </c>
      <c r="D1482" s="2" t="str">
        <f t="shared" si="22"/>
        <v>Error?</v>
      </c>
    </row>
    <row r="1483" spans="1:4" x14ac:dyDescent="0.2">
      <c r="A1483" s="5">
        <v>1422</v>
      </c>
      <c r="B1483" s="138">
        <f>'Expenditures 15-22'!K241</f>
        <v>886</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1513</v>
      </c>
      <c r="C1485" s="2" t="s">
        <v>593</v>
      </c>
      <c r="D1485" s="2" t="str">
        <f t="shared" si="22"/>
        <v>Error?</v>
      </c>
    </row>
    <row r="1486" spans="1:4" x14ac:dyDescent="0.2">
      <c r="A1486" s="5">
        <v>1425</v>
      </c>
      <c r="B1486" s="138">
        <f>'Expenditures 15-22'!K245</f>
        <v>0</v>
      </c>
      <c r="C1486" s="2" t="s">
        <v>593</v>
      </c>
      <c r="D1486" s="2" t="str">
        <f t="shared" si="22"/>
        <v>Error?</v>
      </c>
    </row>
    <row r="1487" spans="1:4" x14ac:dyDescent="0.2">
      <c r="A1487" s="5">
        <v>1426</v>
      </c>
      <c r="B1487" s="138">
        <f>'Expenditures 15-22'!K246</f>
        <v>1875</v>
      </c>
      <c r="C1487" s="2" t="s">
        <v>593</v>
      </c>
      <c r="D1487" s="2" t="str">
        <f t="shared" si="22"/>
        <v>Error?</v>
      </c>
    </row>
    <row r="1488" spans="1:4" x14ac:dyDescent="0.2">
      <c r="A1488" s="5">
        <v>1427</v>
      </c>
      <c r="B1488" s="138">
        <f>'Expenditures 15-22'!K257</f>
        <v>1875</v>
      </c>
      <c r="C1488" s="2" t="s">
        <v>593</v>
      </c>
      <c r="D1488" s="2" t="str">
        <f t="shared" si="22"/>
        <v>Error?</v>
      </c>
    </row>
    <row r="1489" spans="1:4" x14ac:dyDescent="0.2">
      <c r="A1489" s="5">
        <v>1428</v>
      </c>
      <c r="B1489" s="138">
        <f>'Expenditures 15-22'!K259</f>
        <v>23077</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23077</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15458</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40617</v>
      </c>
      <c r="C1495" s="2" t="s">
        <v>593</v>
      </c>
      <c r="D1495" s="2" t="str">
        <f t="shared" si="22"/>
        <v>Error?</v>
      </c>
    </row>
    <row r="1496" spans="1:4" x14ac:dyDescent="0.2">
      <c r="A1496" s="5">
        <v>1435</v>
      </c>
      <c r="B1496" s="138">
        <f>'Expenditures 15-22'!K267</f>
        <v>28863</v>
      </c>
      <c r="C1496" s="2" t="s">
        <v>593</v>
      </c>
      <c r="D1496" s="2" t="str">
        <f t="shared" si="22"/>
        <v>Error?</v>
      </c>
    </row>
    <row r="1497" spans="1:4" x14ac:dyDescent="0.2">
      <c r="A1497" s="5">
        <v>1436</v>
      </c>
      <c r="B1497" s="138">
        <f>'Expenditures 15-22'!K268</f>
        <v>17339</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102277</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0</v>
      </c>
      <c r="C1506" s="2" t="s">
        <v>593</v>
      </c>
      <c r="D1506" s="2" t="str">
        <f t="shared" si="22"/>
        <v>Error?</v>
      </c>
    </row>
    <row r="1507" spans="1:4" x14ac:dyDescent="0.2">
      <c r="A1507" s="10">
        <v>1446</v>
      </c>
      <c r="D1507" s="2" t="str">
        <f t="shared" si="22"/>
        <v>OK</v>
      </c>
    </row>
    <row r="1508" spans="1:4" x14ac:dyDescent="0.2">
      <c r="A1508" s="5">
        <v>1447</v>
      </c>
      <c r="B1508" s="138">
        <f>'Expenditures 15-22'!K277</f>
        <v>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130105</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193994</v>
      </c>
      <c r="C1517" s="2" t="s">
        <v>593</v>
      </c>
      <c r="D1517" s="2" t="str">
        <f t="shared" si="22"/>
        <v>Error?</v>
      </c>
    </row>
    <row r="1518" spans="1:4" x14ac:dyDescent="0.2">
      <c r="A1518" s="5">
        <v>1457</v>
      </c>
      <c r="B1518" s="138">
        <f>'Expenditures 15-22'!K296</f>
        <v>9419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125660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125660</v>
      </c>
      <c r="C1535" s="2" t="s">
        <v>593</v>
      </c>
      <c r="D1535" s="2" t="str">
        <f t="shared" ref="D1535:D1598" si="23">IF(ISBLANK(B1535),"OK",IF(A1535-B1535=0,"OK","Error?"))</f>
        <v>Error?</v>
      </c>
    </row>
    <row r="1536" spans="1:4" x14ac:dyDescent="0.2">
      <c r="A1536" s="5">
        <v>1475</v>
      </c>
      <c r="B1536" s="138">
        <f>'Expenditures 15-22'!E312</f>
        <v>125660</v>
      </c>
      <c r="C1536" s="2" t="s">
        <v>593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593</v>
      </c>
      <c r="D1541" s="2" t="str">
        <f t="shared" si="23"/>
        <v>Error?</v>
      </c>
    </row>
    <row r="1542" spans="1:4" x14ac:dyDescent="0.2">
      <c r="A1542" s="5">
        <v>1481</v>
      </c>
      <c r="B1542" s="138">
        <f>'Expenditures 15-22'!F312</f>
        <v>0</v>
      </c>
      <c r="C1542" s="2" t="s">
        <v>593</v>
      </c>
      <c r="D1542" s="2" t="str">
        <f t="shared" si="23"/>
        <v>Error?</v>
      </c>
    </row>
    <row r="1543" spans="1:4" x14ac:dyDescent="0.2">
      <c r="A1543" s="5">
        <v>1482</v>
      </c>
      <c r="B1543" s="138">
        <f>'Expenditures 15-22'!G301</f>
        <v>208735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208735</v>
      </c>
      <c r="C1547" s="2" t="s">
        <v>593</v>
      </c>
      <c r="D1547" s="2" t="str">
        <f t="shared" si="23"/>
        <v>Error?</v>
      </c>
    </row>
    <row r="1548" spans="1:4" x14ac:dyDescent="0.2">
      <c r="A1548" s="5">
        <v>1487</v>
      </c>
      <c r="B1548" s="138">
        <f>'Expenditures 15-22'!G312</f>
        <v>208735</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334395</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334395</v>
      </c>
      <c r="C1559" s="2" t="s">
        <v>593</v>
      </c>
      <c r="D1559" s="2" t="str">
        <f t="shared" si="23"/>
        <v>Error?</v>
      </c>
    </row>
    <row r="1560" spans="1:4" x14ac:dyDescent="0.2">
      <c r="A1560" s="5">
        <v>1499</v>
      </c>
      <c r="B1560" s="138">
        <f>'Expenditures 15-22'!K312</f>
        <v>334395</v>
      </c>
      <c r="C1560" s="2" t="s">
        <v>593</v>
      </c>
      <c r="D1560" s="2" t="str">
        <f t="shared" si="23"/>
        <v>Error?</v>
      </c>
    </row>
    <row r="1561" spans="1:4" x14ac:dyDescent="0.2">
      <c r="A1561" s="5">
        <v>1500</v>
      </c>
      <c r="B1561" s="138">
        <f>'Expenditures 15-22'!K313</f>
        <v>118018</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972703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1341397</v>
      </c>
      <c r="C1630" s="2" t="s">
        <v>593</v>
      </c>
      <c r="D1630" s="2" t="str">
        <f t="shared" si="24"/>
        <v>Error?</v>
      </c>
    </row>
    <row r="1631" spans="1:4" x14ac:dyDescent="0.2">
      <c r="A1631" s="5">
        <v>1570</v>
      </c>
      <c r="B1631" s="138">
        <f>'Acct Summary 7-8'!D79</f>
        <v>243549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304270</v>
      </c>
      <c r="C1644" s="2" t="s">
        <v>593</v>
      </c>
      <c r="D1644" s="2" t="str">
        <f t="shared" si="24"/>
        <v>Error?</v>
      </c>
    </row>
    <row r="1645" spans="1:4" x14ac:dyDescent="0.2">
      <c r="A1645" s="5">
        <v>1584</v>
      </c>
      <c r="B1645" s="138">
        <f>'Acct Summary 7-8'!E79</f>
        <v>640810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615548</v>
      </c>
      <c r="C1658" s="2" t="s">
        <v>593</v>
      </c>
      <c r="D1658" s="2" t="str">
        <f t="shared" si="24"/>
        <v>Error?</v>
      </c>
    </row>
    <row r="1659" spans="1:4" x14ac:dyDescent="0.2">
      <c r="A1659" s="5">
        <v>1598</v>
      </c>
      <c r="B1659" s="138">
        <f>'Acct Summary 7-8'!F79</f>
        <v>604942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620909</v>
      </c>
      <c r="C1672" s="2" t="s">
        <v>593</v>
      </c>
      <c r="D1672" s="2" t="str">
        <f t="shared" si="25"/>
        <v>Error?</v>
      </c>
    </row>
    <row r="1673" spans="1:4" x14ac:dyDescent="0.2">
      <c r="A1673" s="5">
        <v>1612</v>
      </c>
      <c r="B1673" s="138">
        <f>'Acct Summary 7-8'!G79</f>
        <v>63905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73324</v>
      </c>
      <c r="C1686" s="2" t="s">
        <v>593</v>
      </c>
      <c r="D1686" s="2" t="str">
        <f t="shared" si="25"/>
        <v>Error?</v>
      </c>
    </row>
    <row r="1687" spans="1:4" x14ac:dyDescent="0.2">
      <c r="A1687" s="5">
        <v>1626</v>
      </c>
      <c r="B1687" s="138">
        <f>'Acct Summary 7-8'!H79</f>
        <v>2371669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1989687</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2992182</v>
      </c>
      <c r="C1744" s="2" t="s">
        <v>593</v>
      </c>
      <c r="D1744" s="2" t="str">
        <f t="shared" si="26"/>
        <v>Error?</v>
      </c>
    </row>
    <row r="1745" spans="1:5" x14ac:dyDescent="0.2">
      <c r="A1745" s="5">
        <v>1684</v>
      </c>
      <c r="B1745" s="138">
        <f>'Tax Sched 23'!B5</f>
        <v>642099</v>
      </c>
      <c r="C1745" s="2" t="s">
        <v>593</v>
      </c>
      <c r="D1745" s="2" t="str">
        <f t="shared" si="26"/>
        <v>Error?</v>
      </c>
    </row>
    <row r="1746" spans="1:5" x14ac:dyDescent="0.2">
      <c r="A1746" s="5">
        <v>1685</v>
      </c>
      <c r="B1746" s="138">
        <f>'Tax Sched 23'!B6</f>
        <v>1157288</v>
      </c>
      <c r="C1746" s="2" t="s">
        <v>593</v>
      </c>
      <c r="D1746" s="2" t="str">
        <f t="shared" si="26"/>
        <v>Error?</v>
      </c>
    </row>
    <row r="1747" spans="1:5" x14ac:dyDescent="0.2">
      <c r="A1747" s="5">
        <v>1686</v>
      </c>
      <c r="B1747" s="138">
        <f>'Tax Sched 23'!B7</f>
        <v>256840</v>
      </c>
      <c r="C1747" s="2" t="s">
        <v>593</v>
      </c>
      <c r="D1747" s="2" t="str">
        <f t="shared" si="26"/>
        <v>Error?</v>
      </c>
    </row>
    <row r="1748" spans="1:5" x14ac:dyDescent="0.2">
      <c r="A1748" s="5">
        <v>1687</v>
      </c>
      <c r="B1748" s="138">
        <f>'Tax Sched 23'!B8</f>
        <v>60062</v>
      </c>
      <c r="C1748" s="2" t="s">
        <v>593</v>
      </c>
      <c r="D1748" s="2" t="str">
        <f t="shared" si="26"/>
        <v>Error?</v>
      </c>
    </row>
    <row r="1749" spans="1:5" x14ac:dyDescent="0.2">
      <c r="A1749" s="5">
        <v>1688</v>
      </c>
      <c r="B1749" s="138">
        <f>'Tax Sched 23'!B10</f>
        <v>64210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402947</v>
      </c>
      <c r="C1752" s="2" t="s">
        <v>593</v>
      </c>
      <c r="D1752" s="2" t="str">
        <f t="shared" si="26"/>
        <v>Error?</v>
      </c>
    </row>
    <row r="1753" spans="1:5" x14ac:dyDescent="0.2">
      <c r="A1753" s="5">
        <v>1692</v>
      </c>
      <c r="B1753" s="138">
        <f>'Tax Sched 23'!B12</f>
        <v>64210</v>
      </c>
      <c r="C1753" s="2" t="s">
        <v>593</v>
      </c>
      <c r="D1753" s="2" t="str">
        <f t="shared" si="26"/>
        <v>Error?</v>
      </c>
    </row>
    <row r="1754" spans="1:5" x14ac:dyDescent="0.2">
      <c r="A1754" s="5">
        <v>1693</v>
      </c>
      <c r="B1754" s="138">
        <f>'Tax Sched 23'!B14</f>
        <v>51368</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5889056</v>
      </c>
      <c r="C1759" s="2" t="s">
        <v>593</v>
      </c>
      <c r="D1759" s="2" t="str">
        <f t="shared" si="26"/>
        <v>Error?</v>
      </c>
    </row>
    <row r="1760" spans="1:5" x14ac:dyDescent="0.2">
      <c r="A1760" s="5">
        <v>1699</v>
      </c>
      <c r="B1760" s="138">
        <f>'Tax Sched 23'!D4</f>
        <v>2992182</v>
      </c>
      <c r="C1760" s="2" t="s">
        <v>593</v>
      </c>
      <c r="D1760" s="2" t="str">
        <f t="shared" si="26"/>
        <v>Error?</v>
      </c>
    </row>
    <row r="1761" spans="1:5" x14ac:dyDescent="0.2">
      <c r="A1761" s="5">
        <v>1700</v>
      </c>
      <c r="B1761" s="138">
        <f>'Tax Sched 23'!D5</f>
        <v>642099</v>
      </c>
      <c r="C1761" s="2" t="s">
        <v>593</v>
      </c>
      <c r="D1761" s="2" t="str">
        <f t="shared" si="26"/>
        <v>Error?</v>
      </c>
    </row>
    <row r="1762" spans="1:5" s="8" customFormat="1" x14ac:dyDescent="0.2">
      <c r="A1762" s="5">
        <v>1701</v>
      </c>
      <c r="B1762" s="138">
        <f>'Tax Sched 23'!D6</f>
        <v>1157288</v>
      </c>
      <c r="C1762" s="2" t="s">
        <v>593</v>
      </c>
      <c r="D1762" s="2" t="str">
        <f t="shared" si="26"/>
        <v>Error?</v>
      </c>
      <c r="E1762" s="9"/>
    </row>
    <row r="1763" spans="1:5" x14ac:dyDescent="0.2">
      <c r="A1763" s="5">
        <v>1702</v>
      </c>
      <c r="B1763" s="138">
        <f>'Tax Sched 23'!D7</f>
        <v>256840</v>
      </c>
      <c r="C1763" s="2" t="s">
        <v>593</v>
      </c>
      <c r="D1763" s="2" t="str">
        <f t="shared" si="26"/>
        <v>Error?</v>
      </c>
    </row>
    <row r="1764" spans="1:5" x14ac:dyDescent="0.2">
      <c r="A1764" s="5">
        <v>1703</v>
      </c>
      <c r="B1764" s="138">
        <f>'Tax Sched 23'!D8</f>
        <v>60062</v>
      </c>
      <c r="C1764" s="2" t="s">
        <v>593</v>
      </c>
      <c r="D1764" s="2" t="str">
        <f t="shared" si="26"/>
        <v>Error?</v>
      </c>
    </row>
    <row r="1765" spans="1:5" x14ac:dyDescent="0.2">
      <c r="A1765" s="5">
        <v>1704</v>
      </c>
      <c r="B1765" s="138">
        <f>'Tax Sched 23'!D10</f>
        <v>64210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402947</v>
      </c>
      <c r="C1768" s="2" t="s">
        <v>593</v>
      </c>
      <c r="D1768" s="2" t="str">
        <f t="shared" si="26"/>
        <v>Error?</v>
      </c>
    </row>
    <row r="1769" spans="1:5" x14ac:dyDescent="0.2">
      <c r="A1769" s="5">
        <v>1708</v>
      </c>
      <c r="B1769" s="138">
        <f>'Tax Sched 23'!D12</f>
        <v>64210</v>
      </c>
      <c r="C1769" s="2" t="s">
        <v>593</v>
      </c>
      <c r="D1769" s="2" t="str">
        <f t="shared" si="26"/>
        <v>Error?</v>
      </c>
    </row>
    <row r="1770" spans="1:5" x14ac:dyDescent="0.2">
      <c r="A1770" s="5">
        <v>1709</v>
      </c>
      <c r="B1770" s="138">
        <f>'Tax Sched 23'!D14</f>
        <v>51368</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5889056</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3043949</v>
      </c>
      <c r="C1792" s="2" t="s">
        <v>593</v>
      </c>
      <c r="D1792" s="2" t="str">
        <f t="shared" si="27"/>
        <v>Error?</v>
      </c>
    </row>
    <row r="1793" spans="1:4" x14ac:dyDescent="0.2">
      <c r="A1793" s="5">
        <v>1732</v>
      </c>
      <c r="B1793" s="138">
        <f>'Tax Sched 23'!F5</f>
        <v>653208</v>
      </c>
      <c r="C1793" s="2" t="s">
        <v>593</v>
      </c>
      <c r="D1793" s="2" t="str">
        <f t="shared" si="27"/>
        <v>Error?</v>
      </c>
    </row>
    <row r="1794" spans="1:4" x14ac:dyDescent="0.2">
      <c r="A1794" s="5">
        <v>1733</v>
      </c>
      <c r="B1794" s="138">
        <f>'Tax Sched 23'!F6</f>
        <v>1292424</v>
      </c>
      <c r="C1794" s="2" t="s">
        <v>593</v>
      </c>
      <c r="D1794" s="2" t="str">
        <f t="shared" si="27"/>
        <v>Error?</v>
      </c>
    </row>
    <row r="1795" spans="1:4" x14ac:dyDescent="0.2">
      <c r="A1795" s="5">
        <v>1734</v>
      </c>
      <c r="B1795" s="138">
        <f>'Tax Sched 23'!F7</f>
        <v>261283</v>
      </c>
      <c r="C1795" s="2" t="s">
        <v>593</v>
      </c>
      <c r="D1795" s="2" t="str">
        <f t="shared" si="27"/>
        <v>Error?</v>
      </c>
    </row>
    <row r="1796" spans="1:4" x14ac:dyDescent="0.2">
      <c r="A1796" s="5">
        <v>1735</v>
      </c>
      <c r="B1796" s="138">
        <f>'Tax Sched 23'!F8</f>
        <v>60004</v>
      </c>
      <c r="C1796" s="2" t="s">
        <v>593</v>
      </c>
      <c r="D1796" s="2" t="str">
        <f t="shared" si="27"/>
        <v>Error?</v>
      </c>
    </row>
    <row r="1797" spans="1:4" x14ac:dyDescent="0.2">
      <c r="A1797" s="5">
        <v>1736</v>
      </c>
      <c r="B1797" s="138">
        <f>'Tax Sched 23'!F10</f>
        <v>65321</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410894</v>
      </c>
      <c r="C1800" s="2" t="s">
        <v>593</v>
      </c>
      <c r="D1800" s="2" t="str">
        <f t="shared" si="27"/>
        <v>Error?</v>
      </c>
    </row>
    <row r="1801" spans="1:4" x14ac:dyDescent="0.2">
      <c r="A1801" s="5">
        <v>1740</v>
      </c>
      <c r="B1801" s="138">
        <f>'Tax Sched 23'!F12</f>
        <v>65321</v>
      </c>
      <c r="C1801" s="2" t="s">
        <v>593</v>
      </c>
      <c r="D1801" s="2" t="str">
        <f t="shared" si="27"/>
        <v>Error?</v>
      </c>
    </row>
    <row r="1802" spans="1:4" x14ac:dyDescent="0.2">
      <c r="A1802" s="5">
        <v>1741</v>
      </c>
      <c r="B1802" s="138">
        <f>'Tax Sched 23'!F14</f>
        <v>52257</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6107717</v>
      </c>
      <c r="C1807" s="2" t="s">
        <v>593</v>
      </c>
      <c r="D1807" s="2" t="str">
        <f t="shared" si="27"/>
        <v>Error?</v>
      </c>
    </row>
    <row r="1808" spans="1:4" x14ac:dyDescent="0.2">
      <c r="A1808" s="5">
        <v>1747</v>
      </c>
      <c r="B1808" s="138">
        <f>'Tax Sched 23'!E4</f>
        <v>3043949</v>
      </c>
      <c r="D1808" s="2" t="str">
        <f t="shared" si="27"/>
        <v>Error?</v>
      </c>
    </row>
    <row r="1809" spans="1:4" x14ac:dyDescent="0.2">
      <c r="A1809" s="5">
        <v>1748</v>
      </c>
      <c r="B1809" s="138">
        <f>'Tax Sched 23'!E5</f>
        <v>653208</v>
      </c>
      <c r="D1809" s="2" t="str">
        <f t="shared" si="27"/>
        <v>Error?</v>
      </c>
    </row>
    <row r="1810" spans="1:4" x14ac:dyDescent="0.2">
      <c r="A1810" s="5">
        <v>1749</v>
      </c>
      <c r="B1810" s="138">
        <f>'Tax Sched 23'!E6</f>
        <v>1292424</v>
      </c>
      <c r="D1810" s="2" t="str">
        <f t="shared" si="27"/>
        <v>Error?</v>
      </c>
    </row>
    <row r="1811" spans="1:4" x14ac:dyDescent="0.2">
      <c r="A1811" s="5">
        <v>1750</v>
      </c>
      <c r="B1811" s="138">
        <f>'Tax Sched 23'!E7</f>
        <v>261283</v>
      </c>
      <c r="D1811" s="2" t="str">
        <f t="shared" si="27"/>
        <v>Error?</v>
      </c>
    </row>
    <row r="1812" spans="1:4" x14ac:dyDescent="0.2">
      <c r="A1812" s="5">
        <v>1751</v>
      </c>
      <c r="B1812" s="138">
        <f>'Tax Sched 23'!E8</f>
        <v>60004</v>
      </c>
      <c r="D1812" s="2" t="str">
        <f t="shared" si="27"/>
        <v>Error?</v>
      </c>
    </row>
    <row r="1813" spans="1:4" x14ac:dyDescent="0.2">
      <c r="A1813" s="5">
        <v>1752</v>
      </c>
      <c r="B1813" s="138">
        <f>'Tax Sched 23'!E10</f>
        <v>65321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410894</v>
      </c>
      <c r="D1816" s="2" t="str">
        <f t="shared" si="27"/>
        <v>Error?</v>
      </c>
    </row>
    <row r="1817" spans="1:4" x14ac:dyDescent="0.2">
      <c r="A1817" s="5">
        <v>1756</v>
      </c>
      <c r="B1817" s="138">
        <f>'Tax Sched 23'!E12</f>
        <v>65321</v>
      </c>
      <c r="D1817" s="2" t="str">
        <f t="shared" si="27"/>
        <v>Error?</v>
      </c>
    </row>
    <row r="1818" spans="1:4" x14ac:dyDescent="0.2">
      <c r="A1818" s="5">
        <v>1757</v>
      </c>
      <c r="B1818" s="138">
        <f>'Tax Sched 23'!E14</f>
        <v>52257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6107717</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11220000</v>
      </c>
      <c r="C1939" s="2" t="s">
        <v>593</v>
      </c>
      <c r="D1939" s="2" t="str">
        <f t="shared" si="29"/>
        <v>Error?</v>
      </c>
    </row>
    <row r="1940" spans="1:5" x14ac:dyDescent="0.2">
      <c r="A1940" s="5">
        <v>1879</v>
      </c>
      <c r="B1940" s="138">
        <f>'Short-Term Long-Term Debt 24'!F49</f>
        <v>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51368</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51368</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51368</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376107</v>
      </c>
      <c r="D2008" s="2" t="str">
        <f t="shared" si="30"/>
        <v>Error?</v>
      </c>
    </row>
    <row r="2009" spans="1:4" x14ac:dyDescent="0.2">
      <c r="A2009" s="5">
        <v>1948</v>
      </c>
      <c r="B2009" s="138">
        <f>'Cap Outlay Deprec 26'!C8</f>
        <v>33456948</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949312</v>
      </c>
      <c r="D2011" s="2" t="str">
        <f t="shared" si="30"/>
        <v>Error?</v>
      </c>
    </row>
    <row r="2012" spans="1:4" x14ac:dyDescent="0.2">
      <c r="A2012" s="5">
        <v>1951</v>
      </c>
      <c r="B2012" s="138">
        <f>'Cap Outlay Deprec 26'!C13</f>
        <v>1462464</v>
      </c>
      <c r="D2012" s="2" t="str">
        <f t="shared" si="30"/>
        <v>Error?</v>
      </c>
    </row>
    <row r="2013" spans="1:4" x14ac:dyDescent="0.2">
      <c r="A2013" s="5">
        <v>1952</v>
      </c>
      <c r="B2013" s="138">
        <f>'Cap Outlay Deprec 26'!C16</f>
        <v>36244831</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53239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178187</v>
      </c>
      <c r="D2017" s="2" t="str">
        <f t="shared" si="30"/>
        <v>Error?</v>
      </c>
    </row>
    <row r="2018" spans="1:4" x14ac:dyDescent="0.2">
      <c r="A2018" s="5">
        <v>1957</v>
      </c>
      <c r="B2018" s="138">
        <f>'Cap Outlay Deprec 26'!D13</f>
        <v>164492</v>
      </c>
      <c r="D2018" s="2" t="str">
        <f t="shared" si="30"/>
        <v>Error?</v>
      </c>
    </row>
    <row r="2019" spans="1:4" x14ac:dyDescent="0.2">
      <c r="A2019" s="5">
        <v>1958</v>
      </c>
      <c r="B2019" s="138">
        <f>'Cap Outlay Deprec 26'!D16</f>
        <v>395918</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58900</v>
      </c>
      <c r="D2024" s="2" t="str">
        <f t="shared" si="30"/>
        <v>Error?</v>
      </c>
    </row>
    <row r="2025" spans="1:4" x14ac:dyDescent="0.2">
      <c r="A2025" s="5">
        <v>1964</v>
      </c>
      <c r="B2025" s="138">
        <f>'Cap Outlay Deprec 26'!E16</f>
        <v>58900</v>
      </c>
      <c r="C2025" s="2" t="s">
        <v>593</v>
      </c>
      <c r="D2025" s="2" t="str">
        <f t="shared" si="30"/>
        <v>Error?</v>
      </c>
    </row>
    <row r="2026" spans="1:4" x14ac:dyDescent="0.2">
      <c r="A2026" s="5">
        <v>1965</v>
      </c>
      <c r="B2026" s="138">
        <f>'Cap Outlay Deprec 26'!F5</f>
        <v>376107</v>
      </c>
      <c r="C2026" s="2" t="s">
        <v>593</v>
      </c>
      <c r="D2026" s="2" t="str">
        <f t="shared" si="30"/>
        <v>Error?</v>
      </c>
    </row>
    <row r="2027" spans="1:4" x14ac:dyDescent="0.2">
      <c r="A2027" s="5">
        <v>1966</v>
      </c>
      <c r="B2027" s="138">
        <f>'Cap Outlay Deprec 26'!F8</f>
        <v>33510187</v>
      </c>
      <c r="C2027" s="2" t="s">
        <v>593</v>
      </c>
      <c r="D2027" s="2" t="str">
        <f t="shared" si="30"/>
        <v>Error?</v>
      </c>
    </row>
    <row r="2028" spans="1:4" x14ac:dyDescent="0.2">
      <c r="A2028" s="5">
        <v>1967</v>
      </c>
      <c r="B2028" s="138">
        <f>'Cap Outlay Deprec 26'!F10</f>
        <v>0</v>
      </c>
      <c r="C2028" s="2" t="s">
        <v>593</v>
      </c>
      <c r="D2028" s="2" t="str">
        <f t="shared" si="30"/>
        <v>Error?</v>
      </c>
    </row>
    <row r="2029" spans="1:4" x14ac:dyDescent="0.2">
      <c r="A2029" s="5">
        <v>1968</v>
      </c>
      <c r="B2029" s="138">
        <f>'Cap Outlay Deprec 26'!F12</f>
        <v>1127499</v>
      </c>
      <c r="C2029" s="2" t="s">
        <v>593</v>
      </c>
      <c r="D2029" s="2" t="str">
        <f t="shared" si="30"/>
        <v>Error?</v>
      </c>
    </row>
    <row r="2030" spans="1:4" x14ac:dyDescent="0.2">
      <c r="A2030" s="5">
        <v>1969</v>
      </c>
      <c r="B2030" s="138">
        <f>'Cap Outlay Deprec 26'!F13</f>
        <v>1568056</v>
      </c>
      <c r="C2030" s="2" t="s">
        <v>593</v>
      </c>
      <c r="D2030" s="2" t="str">
        <f t="shared" si="30"/>
        <v>Error?</v>
      </c>
    </row>
    <row r="2031" spans="1:4" x14ac:dyDescent="0.2">
      <c r="A2031" s="5">
        <v>1970</v>
      </c>
      <c r="B2031" s="138">
        <f>'Cap Outlay Deprec 26'!F16</f>
        <v>36581849</v>
      </c>
      <c r="C2031" s="2" t="s">
        <v>593</v>
      </c>
      <c r="D2031" s="2" t="str">
        <f t="shared" si="30"/>
        <v>Error?</v>
      </c>
    </row>
    <row r="2032" spans="1:4" x14ac:dyDescent="0.2">
      <c r="A2032" s="10">
        <v>1971</v>
      </c>
      <c r="D2032" s="2" t="str">
        <f t="shared" si="30"/>
        <v>OK</v>
      </c>
    </row>
    <row r="2033" spans="1:4" x14ac:dyDescent="0.2">
      <c r="A2033" s="5">
        <v>1972</v>
      </c>
      <c r="B2033" s="138">
        <f>'Cap Outlay Deprec 26'!H8</f>
        <v>8848082</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589994</v>
      </c>
      <c r="D2035" s="2" t="str">
        <f t="shared" si="30"/>
        <v>Error?</v>
      </c>
    </row>
    <row r="2036" spans="1:4" x14ac:dyDescent="0.2">
      <c r="A2036" s="5">
        <v>1975</v>
      </c>
      <c r="B2036" s="138">
        <f>'Cap Outlay Deprec 26'!H13</f>
        <v>1280580</v>
      </c>
      <c r="D2036" s="2" t="str">
        <f t="shared" si="30"/>
        <v>Error?</v>
      </c>
    </row>
    <row r="2037" spans="1:4" x14ac:dyDescent="0.2">
      <c r="A2037" s="5">
        <v>1976</v>
      </c>
      <c r="B2037" s="138">
        <f>'Cap Outlay Deprec 26'!H16</f>
        <v>10718656</v>
      </c>
      <c r="C2037" s="2" t="s">
        <v>593</v>
      </c>
      <c r="D2037" s="2" t="str">
        <f t="shared" si="30"/>
        <v>Error?</v>
      </c>
    </row>
    <row r="2038" spans="1:4" x14ac:dyDescent="0.2">
      <c r="A2038" s="10">
        <v>1977</v>
      </c>
      <c r="D2038" s="2" t="str">
        <f t="shared" si="30"/>
        <v>OK</v>
      </c>
    </row>
    <row r="2039" spans="1:4" x14ac:dyDescent="0.2">
      <c r="A2039" s="5">
        <v>1978</v>
      </c>
      <c r="B2039" s="138">
        <f>'Cap Outlay Deprec 26'!I8</f>
        <v>655498</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66054</v>
      </c>
      <c r="D2041" s="2" t="str">
        <f t="shared" si="30"/>
        <v>Error?</v>
      </c>
    </row>
    <row r="2042" spans="1:4" x14ac:dyDescent="0.2">
      <c r="A2042" s="5">
        <v>1981</v>
      </c>
      <c r="B2042" s="138">
        <f>'Cap Outlay Deprec 26'!I13</f>
        <v>96285</v>
      </c>
      <c r="D2042" s="2" t="str">
        <f t="shared" si="30"/>
        <v>Error?</v>
      </c>
    </row>
    <row r="2043" spans="1:4" x14ac:dyDescent="0.2">
      <c r="A2043" s="5">
        <v>1982</v>
      </c>
      <c r="B2043" s="138">
        <f>'Cap Outlay Deprec 26'!I16</f>
        <v>817837</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58900</v>
      </c>
      <c r="D2048" s="2" t="str">
        <f t="shared" si="31"/>
        <v>Error?</v>
      </c>
    </row>
    <row r="2049" spans="1:4" x14ac:dyDescent="0.2">
      <c r="A2049" s="5">
        <v>1988</v>
      </c>
      <c r="B2049" s="138">
        <f>'Cap Outlay Deprec 26'!J16</f>
        <v>58900</v>
      </c>
      <c r="C2049" s="2" t="s">
        <v>593</v>
      </c>
      <c r="D2049" s="2" t="str">
        <f t="shared" si="31"/>
        <v>Error?</v>
      </c>
    </row>
    <row r="2050" spans="1:4" x14ac:dyDescent="0.2">
      <c r="A2050" s="10">
        <v>1989</v>
      </c>
      <c r="D2050" s="2" t="str">
        <f t="shared" si="31"/>
        <v>OK</v>
      </c>
    </row>
    <row r="2051" spans="1:4" x14ac:dyDescent="0.2">
      <c r="A2051" s="5">
        <v>1990</v>
      </c>
      <c r="B2051" s="138">
        <f>'Cap Outlay Deprec 26'!K8</f>
        <v>9503580</v>
      </c>
      <c r="C2051" s="2" t="s">
        <v>593</v>
      </c>
      <c r="D2051" s="2" t="str">
        <f t="shared" si="31"/>
        <v>Error?</v>
      </c>
    </row>
    <row r="2052" spans="1:4" x14ac:dyDescent="0.2">
      <c r="A2052" s="5">
        <v>1991</v>
      </c>
      <c r="B2052" s="138">
        <f>'Cap Outlay Deprec 26'!K10</f>
        <v>0</v>
      </c>
      <c r="C2052" s="2" t="s">
        <v>593</v>
      </c>
      <c r="D2052" s="2" t="str">
        <f t="shared" si="31"/>
        <v>Error?</v>
      </c>
    </row>
    <row r="2053" spans="1:4" x14ac:dyDescent="0.2">
      <c r="A2053" s="5">
        <v>1992</v>
      </c>
      <c r="B2053" s="138">
        <f>'Cap Outlay Deprec 26'!K12</f>
        <v>656048</v>
      </c>
      <c r="C2053" s="2" t="s">
        <v>593</v>
      </c>
      <c r="D2053" s="2" t="str">
        <f t="shared" si="31"/>
        <v>Error?</v>
      </c>
    </row>
    <row r="2054" spans="1:4" x14ac:dyDescent="0.2">
      <c r="A2054" s="5">
        <v>1993</v>
      </c>
      <c r="B2054" s="138">
        <f>'Cap Outlay Deprec 26'!K13</f>
        <v>1317965</v>
      </c>
      <c r="C2054" s="2" t="s">
        <v>593</v>
      </c>
      <c r="D2054" s="2" t="str">
        <f t="shared" si="31"/>
        <v>Error?</v>
      </c>
    </row>
    <row r="2055" spans="1:4" x14ac:dyDescent="0.2">
      <c r="A2055" s="5">
        <v>1994</v>
      </c>
      <c r="B2055" s="138">
        <f>'Cap Outlay Deprec 26'!K16</f>
        <v>11477593</v>
      </c>
      <c r="C2055" s="2" t="s">
        <v>593</v>
      </c>
      <c r="D2055" s="2" t="str">
        <f t="shared" si="31"/>
        <v>Error?</v>
      </c>
    </row>
    <row r="2056" spans="1:4" x14ac:dyDescent="0.2">
      <c r="A2056" s="5">
        <v>1995</v>
      </c>
      <c r="B2056" s="138">
        <f>'Cap Outlay Deprec 26'!L5</f>
        <v>376107</v>
      </c>
      <c r="C2056" s="2" t="s">
        <v>593</v>
      </c>
      <c r="D2056" s="2" t="str">
        <f t="shared" si="31"/>
        <v>Error?</v>
      </c>
    </row>
    <row r="2057" spans="1:4" x14ac:dyDescent="0.2">
      <c r="A2057" s="5">
        <v>1996</v>
      </c>
      <c r="B2057" s="138">
        <f>'Cap Outlay Deprec 26'!L8</f>
        <v>24006607</v>
      </c>
      <c r="C2057" s="2" t="s">
        <v>593</v>
      </c>
      <c r="D2057" s="2" t="str">
        <f t="shared" si="31"/>
        <v>Error?</v>
      </c>
    </row>
    <row r="2058" spans="1:4" x14ac:dyDescent="0.2">
      <c r="A2058" s="5">
        <v>1997</v>
      </c>
      <c r="B2058" s="138">
        <f>'Cap Outlay Deprec 26'!L10</f>
        <v>0</v>
      </c>
      <c r="C2058" s="2" t="s">
        <v>593</v>
      </c>
      <c r="D2058" s="2" t="str">
        <f t="shared" si="31"/>
        <v>Error?</v>
      </c>
    </row>
    <row r="2059" spans="1:4" x14ac:dyDescent="0.2">
      <c r="A2059" s="5">
        <v>1998</v>
      </c>
      <c r="B2059" s="138">
        <f>'Cap Outlay Deprec 26'!L12</f>
        <v>471451</v>
      </c>
      <c r="C2059" s="2" t="s">
        <v>593</v>
      </c>
      <c r="D2059" s="2" t="str">
        <f t="shared" si="31"/>
        <v>Error?</v>
      </c>
    </row>
    <row r="2060" spans="1:4" x14ac:dyDescent="0.2">
      <c r="A2060" s="5">
        <v>1999</v>
      </c>
      <c r="B2060" s="138">
        <f>'Cap Outlay Deprec 26'!L13</f>
        <v>250091</v>
      </c>
      <c r="C2060" s="2" t="s">
        <v>593</v>
      </c>
      <c r="D2060" s="2" t="str">
        <f t="shared" si="31"/>
        <v>Error?</v>
      </c>
    </row>
    <row r="2061" spans="1:4" x14ac:dyDescent="0.2">
      <c r="A2061" s="5">
        <v>2000</v>
      </c>
      <c r="B2061" s="138">
        <f>'Cap Outlay Deprec 26'!L16</f>
        <v>25104256</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593</v>
      </c>
      <c r="D2088" s="2" t="str">
        <f t="shared" si="31"/>
        <v>Error?</v>
      </c>
    </row>
    <row r="2089" spans="1:4" x14ac:dyDescent="0.2">
      <c r="A2089" s="5">
        <v>2028</v>
      </c>
      <c r="B2089" s="138">
        <f>'Expenditures 15-22'!K92</f>
        <v>414601</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64797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3747503</v>
      </c>
      <c r="C2551" s="2" t="s">
        <v>593</v>
      </c>
      <c r="D2551" s="2" t="str">
        <f t="shared" si="38"/>
        <v>Error?</v>
      </c>
    </row>
    <row r="2552" spans="1:4" x14ac:dyDescent="0.2">
      <c r="A2552" s="10">
        <v>2491</v>
      </c>
      <c r="D2552" s="2" t="str">
        <f t="shared" si="38"/>
        <v>OK</v>
      </c>
    </row>
    <row r="2553" spans="1:4" x14ac:dyDescent="0.2">
      <c r="A2553" s="5">
        <v>2492</v>
      </c>
      <c r="B2553" s="138">
        <f>'Acct Summary 7-8'!C6</f>
        <v>2294594</v>
      </c>
      <c r="C2553" s="2" t="s">
        <v>593</v>
      </c>
      <c r="D2553" s="2" t="str">
        <f t="shared" si="38"/>
        <v>Error?</v>
      </c>
    </row>
    <row r="2554" spans="1:4" x14ac:dyDescent="0.2">
      <c r="A2554" s="5">
        <v>2493</v>
      </c>
      <c r="B2554" s="138">
        <f>'Acct Summary 7-8'!C7</f>
        <v>643682</v>
      </c>
      <c r="C2554" s="2" t="s">
        <v>593</v>
      </c>
      <c r="D2554" s="2" t="str">
        <f t="shared" si="38"/>
        <v>Error?</v>
      </c>
    </row>
    <row r="2555" spans="1:4" x14ac:dyDescent="0.2">
      <c r="A2555" s="5">
        <v>2494</v>
      </c>
      <c r="B2555" s="138">
        <f>'Acct Summary 7-8'!C8</f>
        <v>6685779</v>
      </c>
      <c r="C2555" s="2" t="s">
        <v>593</v>
      </c>
      <c r="D2555" s="2" t="str">
        <f t="shared" si="38"/>
        <v>Error?</v>
      </c>
    </row>
    <row r="2556" spans="1:4" x14ac:dyDescent="0.2">
      <c r="A2556" s="5">
        <v>2495</v>
      </c>
      <c r="B2556" s="138">
        <f>'Acct Summary 7-8'!C12</f>
        <v>4626992</v>
      </c>
      <c r="C2556" s="2" t="s">
        <v>593</v>
      </c>
      <c r="D2556" s="2" t="str">
        <f t="shared" si="38"/>
        <v>Error?</v>
      </c>
    </row>
    <row r="2557" spans="1:4" x14ac:dyDescent="0.2">
      <c r="A2557" s="5">
        <v>2496</v>
      </c>
      <c r="B2557" s="138">
        <f>'Acct Summary 7-8'!C13</f>
        <v>1711282</v>
      </c>
      <c r="C2557" s="2" t="s">
        <v>593</v>
      </c>
      <c r="D2557" s="2" t="str">
        <f t="shared" si="38"/>
        <v>Error?</v>
      </c>
    </row>
    <row r="2558" spans="1:4" x14ac:dyDescent="0.2">
      <c r="A2558" s="5">
        <v>2497</v>
      </c>
      <c r="B2558" s="138">
        <f>'Acct Summary 7-8'!C14</f>
        <v>0</v>
      </c>
      <c r="C2558" s="2" t="s">
        <v>593</v>
      </c>
      <c r="D2558" s="2" t="str">
        <f t="shared" si="38"/>
        <v>Error?</v>
      </c>
    </row>
    <row r="2559" spans="1:4" x14ac:dyDescent="0.2">
      <c r="A2559" s="5">
        <v>2498</v>
      </c>
      <c r="B2559" s="138">
        <f>'Acct Summary 7-8'!C15</f>
        <v>414601</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6752875</v>
      </c>
      <c r="C2561" s="2" t="s">
        <v>593</v>
      </c>
      <c r="D2561" s="2" t="str">
        <f t="shared" si="39"/>
        <v>Error?</v>
      </c>
    </row>
    <row r="2562" spans="1:4" x14ac:dyDescent="0.2">
      <c r="A2562" s="5">
        <v>2501</v>
      </c>
      <c r="B2562" s="138">
        <f>'Acct Summary 7-8'!C20</f>
        <v>-67096</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679097</v>
      </c>
      <c r="C2564" s="2" t="s">
        <v>593</v>
      </c>
      <c r="D2564" s="2" t="str">
        <f t="shared" si="39"/>
        <v>Error?</v>
      </c>
    </row>
    <row r="2565" spans="1:4" x14ac:dyDescent="0.2">
      <c r="A2565" s="10">
        <v>2504</v>
      </c>
      <c r="D2565" s="2" t="str">
        <f t="shared" si="39"/>
        <v>OK</v>
      </c>
    </row>
    <row r="2566" spans="1:4" x14ac:dyDescent="0.2">
      <c r="A2566" s="5">
        <v>2505</v>
      </c>
      <c r="B2566" s="138">
        <f>'Acct Summary 7-8'!D6</f>
        <v>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679097</v>
      </c>
      <c r="C2568" s="2" t="s">
        <v>593</v>
      </c>
      <c r="D2568" s="2" t="str">
        <f t="shared" si="39"/>
        <v>Error?</v>
      </c>
    </row>
    <row r="2569" spans="1:4" x14ac:dyDescent="0.2">
      <c r="A2569" s="5">
        <v>2508</v>
      </c>
      <c r="B2569" s="138">
        <f>'Acct Summary 7-8'!D13</f>
        <v>618376</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618376</v>
      </c>
      <c r="C2573" s="2" t="s">
        <v>593</v>
      </c>
      <c r="D2573" s="2" t="str">
        <f t="shared" si="39"/>
        <v>Error?</v>
      </c>
    </row>
    <row r="2574" spans="1:4" x14ac:dyDescent="0.2">
      <c r="A2574" s="5">
        <v>2513</v>
      </c>
      <c r="B2574" s="138">
        <f>'Acct Summary 7-8'!D20</f>
        <v>60721</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268755</v>
      </c>
      <c r="C2591" s="2" t="s">
        <v>593</v>
      </c>
      <c r="D2591" s="2" t="str">
        <f t="shared" si="39"/>
        <v>Error?</v>
      </c>
    </row>
    <row r="2592" spans="1:4" x14ac:dyDescent="0.2">
      <c r="A2592" s="10">
        <v>2531</v>
      </c>
      <c r="D2592" s="2" t="str">
        <f t="shared" si="39"/>
        <v>OK</v>
      </c>
    </row>
    <row r="2593" spans="1:4" x14ac:dyDescent="0.2">
      <c r="A2593" s="5">
        <v>2532</v>
      </c>
      <c r="B2593" s="138">
        <f>'Acct Summary 7-8'!F6</f>
        <v>313170</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581925</v>
      </c>
      <c r="C2595" s="2" t="s">
        <v>593</v>
      </c>
      <c r="D2595" s="2" t="str">
        <f t="shared" si="39"/>
        <v>Error?</v>
      </c>
    </row>
    <row r="2596" spans="1:4" x14ac:dyDescent="0.2">
      <c r="A2596" s="5">
        <v>2535</v>
      </c>
      <c r="B2596" s="138">
        <f>'Acct Summary 7-8'!F13</f>
        <v>565958</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565958</v>
      </c>
      <c r="C2600" s="2" t="s">
        <v>593</v>
      </c>
      <c r="D2600" s="2" t="str">
        <f t="shared" si="39"/>
        <v>Error?</v>
      </c>
    </row>
    <row r="2601" spans="1:4" x14ac:dyDescent="0.2">
      <c r="A2601" s="5">
        <v>2540</v>
      </c>
      <c r="B2601" s="138">
        <f>'Acct Summary 7-8'!F20</f>
        <v>15967</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203413</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203413</v>
      </c>
      <c r="C2606" s="2" t="s">
        <v>593</v>
      </c>
      <c r="D2606" s="2" t="str">
        <f t="shared" si="39"/>
        <v>Error?</v>
      </c>
    </row>
    <row r="2607" spans="1:4" x14ac:dyDescent="0.2">
      <c r="A2607" s="5">
        <v>2546</v>
      </c>
      <c r="B2607" s="138">
        <f>'Acct Summary 7-8'!G12</f>
        <v>63889</v>
      </c>
      <c r="C2607" s="2" t="s">
        <v>593</v>
      </c>
      <c r="D2607" s="2" t="str">
        <f t="shared" si="39"/>
        <v>Error?</v>
      </c>
    </row>
    <row r="2608" spans="1:4" x14ac:dyDescent="0.2">
      <c r="A2608" s="5">
        <v>2547</v>
      </c>
      <c r="B2608" s="138">
        <f>'Acct Summary 7-8'!G13</f>
        <v>130105</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193994</v>
      </c>
      <c r="C2612" s="2" t="s">
        <v>593</v>
      </c>
      <c r="D2612" s="2" t="str">
        <f t="shared" si="39"/>
        <v>Error?</v>
      </c>
    </row>
    <row r="2613" spans="1:4" x14ac:dyDescent="0.2">
      <c r="A2613" s="5">
        <v>2552</v>
      </c>
      <c r="B2613" s="138">
        <f>'Acct Summary 7-8'!G20</f>
        <v>9419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1308871</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1308871</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1398343</v>
      </c>
      <c r="C2634" s="2" t="s">
        <v>593</v>
      </c>
      <c r="D2634" s="2" t="str">
        <f t="shared" si="40"/>
        <v>Error?</v>
      </c>
    </row>
    <row r="2635" spans="1:4" x14ac:dyDescent="0.2">
      <c r="A2635" s="5">
        <v>2574</v>
      </c>
      <c r="B2635" s="138">
        <f>'Acct Summary 7-8'!E17</f>
        <v>1398343</v>
      </c>
      <c r="C2635" s="2" t="s">
        <v>593</v>
      </c>
      <c r="D2635" s="2" t="str">
        <f t="shared" si="40"/>
        <v>Error?</v>
      </c>
    </row>
    <row r="2636" spans="1:4" x14ac:dyDescent="0.2">
      <c r="A2636" s="5">
        <v>2575</v>
      </c>
      <c r="B2636" s="138">
        <f>'Acct Summary 7-8'!E20</f>
        <v>-89472</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452413</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452413</v>
      </c>
      <c r="C2658" s="2" t="s">
        <v>593</v>
      </c>
      <c r="D2658" s="2" t="str">
        <f t="shared" si="40"/>
        <v>Error?</v>
      </c>
    </row>
    <row r="2659" spans="1:4" x14ac:dyDescent="0.2">
      <c r="A2659" s="5">
        <v>2598</v>
      </c>
      <c r="B2659" s="138">
        <f>'Acct Summary 7-8'!H13</f>
        <v>334395</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334395</v>
      </c>
      <c r="C2661" s="2" t="s">
        <v>593</v>
      </c>
      <c r="D2661" s="2" t="str">
        <f t="shared" si="40"/>
        <v>Error?</v>
      </c>
    </row>
    <row r="2662" spans="1:4" x14ac:dyDescent="0.2">
      <c r="A2662" s="5">
        <v>2601</v>
      </c>
      <c r="B2662" s="138">
        <f>'Acct Summary 7-8'!H20</f>
        <v>118018</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1148013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1148016</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107993</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1148016</v>
      </c>
      <c r="D2912" s="2" t="str">
        <f t="shared" si="44"/>
        <v>Error?</v>
      </c>
    </row>
    <row r="2913" spans="1:4" x14ac:dyDescent="0.2">
      <c r="A2913" s="5">
        <v>2852</v>
      </c>
      <c r="B2913" s="138">
        <f>'Assets-Liab 5-6'!I41</f>
        <v>1148016</v>
      </c>
      <c r="C2913" s="2" t="s">
        <v>593</v>
      </c>
      <c r="D2913" s="2" t="str">
        <f t="shared" si="44"/>
        <v>Error?</v>
      </c>
    </row>
    <row r="2914" spans="1:4" x14ac:dyDescent="0.2">
      <c r="A2914" s="5">
        <v>2853</v>
      </c>
      <c r="B2914" s="138">
        <f>'Assets-Liab 5-6'!L33</f>
        <v>107993</v>
      </c>
      <c r="D2914" s="2" t="str">
        <f t="shared" si="44"/>
        <v>Error?</v>
      </c>
    </row>
    <row r="2915" spans="1:4" x14ac:dyDescent="0.2">
      <c r="A2915" s="10">
        <v>2854</v>
      </c>
      <c r="D2915" s="2" t="str">
        <f t="shared" si="44"/>
        <v>OK</v>
      </c>
    </row>
    <row r="2916" spans="1:4" x14ac:dyDescent="0.2">
      <c r="A2916" s="5">
        <v>2855</v>
      </c>
      <c r="B2916" s="138">
        <f>'Assets-Liab 5-6'!L34</f>
        <v>107993</v>
      </c>
      <c r="C2916" s="2" t="s">
        <v>593</v>
      </c>
      <c r="D2916" s="2" t="str">
        <f t="shared" si="44"/>
        <v>Error?</v>
      </c>
    </row>
    <row r="2917" spans="1:4" x14ac:dyDescent="0.2">
      <c r="A2917" s="5">
        <v>2856</v>
      </c>
      <c r="B2917" s="138">
        <f>'Assets-Liab 5-6'!L41</f>
        <v>107993</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0</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88201</v>
      </c>
      <c r="D3055" s="2" t="str">
        <f t="shared" si="46"/>
        <v>Error?</v>
      </c>
    </row>
    <row r="3056" spans="1:4" x14ac:dyDescent="0.2">
      <c r="A3056" s="5">
        <v>2995</v>
      </c>
      <c r="B3056" s="138">
        <f>'Expenditures 15-22'!D10</f>
        <v>22283</v>
      </c>
      <c r="D3056" s="2" t="str">
        <f t="shared" si="46"/>
        <v>Error?</v>
      </c>
    </row>
    <row r="3057" spans="1:4" x14ac:dyDescent="0.2">
      <c r="A3057" s="5">
        <v>2996</v>
      </c>
      <c r="B3057" s="138">
        <f>'Expenditures 15-22'!E10</f>
        <v>26851</v>
      </c>
      <c r="D3057" s="2" t="str">
        <f t="shared" si="46"/>
        <v>Error?</v>
      </c>
    </row>
    <row r="3058" spans="1:4" x14ac:dyDescent="0.2">
      <c r="A3058" s="5">
        <v>2997</v>
      </c>
      <c r="B3058" s="138">
        <f>'Expenditures 15-22'!F10</f>
        <v>42907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1065</v>
      </c>
      <c r="D3060" s="2" t="str">
        <f t="shared" si="46"/>
        <v>Error?</v>
      </c>
    </row>
    <row r="3061" spans="1:4" x14ac:dyDescent="0.2">
      <c r="A3061" s="10">
        <v>3000</v>
      </c>
      <c r="D3061" s="2" t="str">
        <f t="shared" si="46"/>
        <v>OK</v>
      </c>
    </row>
    <row r="3062" spans="1:4" x14ac:dyDescent="0.2">
      <c r="A3062" s="5">
        <v>3001</v>
      </c>
      <c r="B3062" s="138">
        <f>'Expenditures 15-22'!K10</f>
        <v>181307</v>
      </c>
      <c r="C3062" s="2" t="s">
        <v>593</v>
      </c>
      <c r="D3062" s="2" t="str">
        <f t="shared" si="46"/>
        <v>Error?</v>
      </c>
    </row>
    <row r="3063" spans="1:4" x14ac:dyDescent="0.2">
      <c r="A3063" s="10">
        <v>3002</v>
      </c>
      <c r="D3063" s="2" t="str">
        <f t="shared" si="46"/>
        <v>OK</v>
      </c>
    </row>
    <row r="3064" spans="1:4" x14ac:dyDescent="0.2">
      <c r="A3064" s="5">
        <v>3003</v>
      </c>
      <c r="B3064" s="138">
        <f>'Expenditures 15-22'!D219</f>
        <v>3320</v>
      </c>
      <c r="D3064" s="2" t="str">
        <f t="shared" si="46"/>
        <v>Error?</v>
      </c>
    </row>
    <row r="3065" spans="1:4" x14ac:dyDescent="0.2">
      <c r="A3065" s="5">
        <v>3004</v>
      </c>
      <c r="B3065" s="138">
        <f>'Expenditures 15-22'!K219</f>
        <v>3320</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500000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500000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77800</v>
      </c>
      <c r="C3225" s="2" t="s">
        <v>593</v>
      </c>
      <c r="D3225" s="2" t="str">
        <f t="shared" si="49"/>
        <v>Error?</v>
      </c>
    </row>
    <row r="3226" spans="1:4" x14ac:dyDescent="0.2">
      <c r="A3226" s="5">
        <v>3165</v>
      </c>
      <c r="B3226" s="138">
        <f>'Acct Summary 7-8'!I8</f>
        <v>77800</v>
      </c>
      <c r="C3226" s="2" t="s">
        <v>593</v>
      </c>
      <c r="D3226" s="2" t="str">
        <f t="shared" si="49"/>
        <v>Error?</v>
      </c>
    </row>
    <row r="3227" spans="1:4" x14ac:dyDescent="0.2">
      <c r="A3227" s="5">
        <v>3166</v>
      </c>
      <c r="B3227" s="138">
        <f>'Acct Summary 7-8'!I20</f>
        <v>77800</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500000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64210</v>
      </c>
      <c r="C3231" s="2" t="s">
        <v>593</v>
      </c>
      <c r="D3231" s="2" t="str">
        <f t="shared" si="49"/>
        <v>Error?</v>
      </c>
    </row>
    <row r="3232" spans="1:4" x14ac:dyDescent="0.2">
      <c r="A3232" s="5">
        <v>3171</v>
      </c>
      <c r="B3232" s="138">
        <f>'Acct Summary 7-8'!C77</f>
        <v>435790</v>
      </c>
      <c r="C3232" s="2" t="s">
        <v>593</v>
      </c>
      <c r="D3232" s="2" t="str">
        <f t="shared" si="49"/>
        <v>Error?</v>
      </c>
    </row>
    <row r="3233" spans="1:4" x14ac:dyDescent="0.2">
      <c r="A3233" s="5">
        <v>3172</v>
      </c>
      <c r="B3233" s="138">
        <f>'Acct Summary 7-8'!C78</f>
        <v>368694</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500000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500000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60721</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15967</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9419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64210</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64210</v>
      </c>
      <c r="C3277" s="2" t="s">
        <v>593</v>
      </c>
      <c r="D3277" s="2" t="str">
        <f t="shared" si="50"/>
        <v>Error?</v>
      </c>
    </row>
    <row r="3278" spans="1:4" x14ac:dyDescent="0.2">
      <c r="A3278" s="5">
        <v>3217</v>
      </c>
      <c r="B3278" s="138">
        <f>'Acct Summary 7-8'!E78</f>
        <v>-25262</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500000</v>
      </c>
      <c r="C3298" s="2" t="s">
        <v>593</v>
      </c>
      <c r="D3298" s="2" t="str">
        <f t="shared" si="50"/>
        <v>Error?</v>
      </c>
    </row>
    <row r="3299" spans="1:4" x14ac:dyDescent="0.2">
      <c r="A3299" s="5">
        <v>3238</v>
      </c>
      <c r="B3299" s="138">
        <f>'Acct Summary 7-8'!H77</f>
        <v>-500000</v>
      </c>
      <c r="C3299" s="2" t="s">
        <v>593</v>
      </c>
      <c r="D3299" s="2" t="str">
        <f t="shared" si="50"/>
        <v>Error?</v>
      </c>
    </row>
    <row r="3300" spans="1:4" x14ac:dyDescent="0.2">
      <c r="A3300" s="5">
        <v>3239</v>
      </c>
      <c r="B3300" s="138">
        <f>'Acct Summary 7-8'!H78</f>
        <v>-381982</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0</v>
      </c>
      <c r="C3319" s="2" t="s">
        <v>593</v>
      </c>
      <c r="D3319" s="2" t="str">
        <f t="shared" si="50"/>
        <v>Error?</v>
      </c>
    </row>
    <row r="3320" spans="1:4" x14ac:dyDescent="0.2">
      <c r="A3320" s="5">
        <v>3259</v>
      </c>
      <c r="B3320" s="138">
        <f>'Acct Summary 7-8'!I78</f>
        <v>77800</v>
      </c>
      <c r="C3320" s="2" t="s">
        <v>593</v>
      </c>
      <c r="D3320" s="2" t="str">
        <f t="shared" si="50"/>
        <v>Error?</v>
      </c>
    </row>
    <row r="3321" spans="1:4" x14ac:dyDescent="0.2">
      <c r="A3321" s="5">
        <v>3260</v>
      </c>
      <c r="B3321" s="138">
        <f>'Acct Summary 7-8'!I79</f>
        <v>1070216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1148016</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308178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45156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13411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55050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27457</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10160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449252</v>
      </c>
      <c r="C3380" s="2" t="s">
        <v>593</v>
      </c>
      <c r="D3380" s="2" t="str">
        <f t="shared" si="51"/>
        <v>Error?</v>
      </c>
    </row>
    <row r="3381" spans="1:4" x14ac:dyDescent="0.2">
      <c r="A3381" s="5">
        <v>3320</v>
      </c>
      <c r="B3381" s="138">
        <f>'Expenditures 15-22'!K19</f>
        <v>10160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48807</v>
      </c>
      <c r="D3387" s="2" t="str">
        <f t="shared" si="51"/>
        <v>Error?</v>
      </c>
    </row>
    <row r="3388" spans="1:4" x14ac:dyDescent="0.2">
      <c r="A3388" s="5">
        <v>3327</v>
      </c>
      <c r="B3388" s="138">
        <f>'Expenditures 15-22'!D217</f>
        <v>4430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48807</v>
      </c>
      <c r="C3390" s="2" t="s">
        <v>593</v>
      </c>
      <c r="D3390" s="2" t="str">
        <f t="shared" si="51"/>
        <v>Error?</v>
      </c>
    </row>
    <row r="3391" spans="1:4" x14ac:dyDescent="0.2">
      <c r="A3391" s="5">
        <v>3330</v>
      </c>
      <c r="B3391" s="138">
        <f>'Expenditures 15-22'!K217</f>
        <v>4430</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175867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10536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v>
      </c>
      <c r="D3417" s="2" t="str">
        <f t="shared" si="52"/>
        <v>Error?</v>
      </c>
    </row>
    <row r="3418" spans="1:4" x14ac:dyDescent="0.2">
      <c r="A3418" s="10">
        <v>3357</v>
      </c>
      <c r="D3418" s="2" t="str">
        <f t="shared" si="52"/>
        <v>OK</v>
      </c>
    </row>
    <row r="3419" spans="1:4" x14ac:dyDescent="0.2">
      <c r="A3419" s="5">
        <v>3358</v>
      </c>
      <c r="B3419" s="138">
        <f>'Assets-Liab 5-6'!F4</f>
        <v>10210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5141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v>
      </c>
      <c r="D3425" s="2" t="str">
        <f t="shared" si="52"/>
        <v>Error?</v>
      </c>
    </row>
    <row r="3426" spans="1:4" x14ac:dyDescent="0.2">
      <c r="A3426" s="10">
        <v>3365</v>
      </c>
      <c r="D3426" s="2" t="str">
        <f t="shared" si="52"/>
        <v>OK</v>
      </c>
    </row>
    <row r="3427" spans="1:4" x14ac:dyDescent="0.2">
      <c r="A3427" s="5">
        <v>3366</v>
      </c>
      <c r="B3427" s="138">
        <f>'Assets-Liab 5-6'!I4</f>
        <v>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107993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133640</v>
      </c>
      <c r="C3446" s="2" t="s">
        <v>593</v>
      </c>
      <c r="D3446" s="2" t="str">
        <f t="shared" si="52"/>
        <v>Error?</v>
      </c>
    </row>
    <row r="3447" spans="1:4" x14ac:dyDescent="0.2">
      <c r="A3447" s="5">
        <v>3386</v>
      </c>
      <c r="B3447" s="138">
        <f>'Tax Sched 23'!D16</f>
        <v>133640</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137735</v>
      </c>
      <c r="C3449" s="2" t="s">
        <v>593</v>
      </c>
      <c r="D3449" s="2" t="str">
        <f t="shared" si="52"/>
        <v>Error?</v>
      </c>
    </row>
    <row r="3450" spans="1:4" x14ac:dyDescent="0.2">
      <c r="A3450" s="5">
        <v>3389</v>
      </c>
      <c r="B3450" s="138">
        <f>'Tax Sched 23'!E16</f>
        <v>137735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t="str">
        <f>'Expenditures 15-22'!G125</f>
        <v>.</v>
      </c>
      <c r="D3486" s="2" t="e">
        <f t="shared" si="53"/>
        <v>#VALUE!</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408942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408942</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408942</v>
      </c>
      <c r="D3567" s="2" t="str">
        <f t="shared" si="54"/>
        <v>Error?</v>
      </c>
    </row>
    <row r="3568" spans="1:4" x14ac:dyDescent="0.2">
      <c r="A3568" s="5">
        <v>3507</v>
      </c>
      <c r="B3568" s="138">
        <f>'Assets-Liab 5-6'!K41</f>
        <v>408942</v>
      </c>
      <c r="C3568" s="2" t="s">
        <v>593</v>
      </c>
      <c r="D3568" s="2" t="str">
        <f t="shared" si="54"/>
        <v>Error?</v>
      </c>
    </row>
    <row r="3569" spans="1:4" x14ac:dyDescent="0.2">
      <c r="A3569" s="5">
        <v>3508</v>
      </c>
      <c r="B3569" s="138">
        <f>'Acct Summary 7-8'!K4</f>
        <v>69457</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69457</v>
      </c>
      <c r="C3571" s="2" t="s">
        <v>593</v>
      </c>
      <c r="D3571" s="2" t="str">
        <f t="shared" si="54"/>
        <v>Error?</v>
      </c>
    </row>
    <row r="3572" spans="1:4" x14ac:dyDescent="0.2">
      <c r="A3572" s="5">
        <v>3511</v>
      </c>
      <c r="B3572" s="138">
        <f>'Acct Summary 7-8'!K13</f>
        <v>1312</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1312</v>
      </c>
      <c r="C3575" s="2" t="s">
        <v>593</v>
      </c>
      <c r="D3575" s="2" t="str">
        <f t="shared" si="54"/>
        <v>Error?</v>
      </c>
    </row>
    <row r="3576" spans="1:4" x14ac:dyDescent="0.2">
      <c r="A3576" s="5">
        <v>3515</v>
      </c>
      <c r="B3576" s="138">
        <f>'Acct Summary 7-8'!K20</f>
        <v>68145</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68145</v>
      </c>
      <c r="C3588" s="2" t="s">
        <v>593</v>
      </c>
      <c r="D3588" s="2" t="str">
        <f t="shared" si="55"/>
        <v>Error?</v>
      </c>
    </row>
    <row r="3589" spans="1:4" x14ac:dyDescent="0.2">
      <c r="A3589" s="5">
        <v>3528</v>
      </c>
      <c r="B3589" s="138">
        <f>'Acct Summary 7-8'!K79</f>
        <v>340797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408942</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593</v>
      </c>
      <c r="D3635" s="2" t="str">
        <f t="shared" si="55"/>
        <v>Error?</v>
      </c>
    </row>
    <row r="3636" spans="1:4" x14ac:dyDescent="0.2">
      <c r="A3636" s="5">
        <v>3575</v>
      </c>
      <c r="B3636" s="138">
        <f>'Expenditures 15-22'!E367</f>
        <v>0</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1312</v>
      </c>
      <c r="D3646" s="2" t="str">
        <f t="shared" si="55"/>
        <v>Error?</v>
      </c>
    </row>
    <row r="3647" spans="1:4" x14ac:dyDescent="0.2">
      <c r="A3647" s="5">
        <v>3586</v>
      </c>
      <c r="B3647" s="138">
        <f>'Expenditures 15-22'!G350</f>
        <v>1312</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1312</v>
      </c>
      <c r="C3649" s="2" t="s">
        <v>593</v>
      </c>
      <c r="D3649" s="2" t="str">
        <f t="shared" si="56"/>
        <v>Error?</v>
      </c>
    </row>
    <row r="3650" spans="1:4" x14ac:dyDescent="0.2">
      <c r="A3650" s="5">
        <v>3589</v>
      </c>
      <c r="B3650" s="138">
        <f>'Expenditures 15-22'!G367</f>
        <v>1312</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1312</v>
      </c>
      <c r="C3669" s="2" t="s">
        <v>593</v>
      </c>
      <c r="D3669" s="2" t="str">
        <f t="shared" si="56"/>
        <v>Error?</v>
      </c>
    </row>
    <row r="3670" spans="1:4" x14ac:dyDescent="0.2">
      <c r="A3670" s="5">
        <v>3609</v>
      </c>
      <c r="B3670" s="138">
        <f>'Expenditures 15-22'!K350</f>
        <v>1312</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1312</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1312</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68145</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64210</v>
      </c>
      <c r="C3725" s="2" t="s">
        <v>593</v>
      </c>
      <c r="D3725" s="2" t="str">
        <f t="shared" si="57"/>
        <v>Error?</v>
      </c>
    </row>
    <row r="3726" spans="1:4" x14ac:dyDescent="0.2">
      <c r="A3726" s="5">
        <v>3665</v>
      </c>
      <c r="B3726" s="138">
        <f>'Tax Sched 23'!D13</f>
        <v>64210</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65321</v>
      </c>
      <c r="C3728" s="2" t="s">
        <v>593</v>
      </c>
      <c r="D3728" s="2" t="str">
        <f t="shared" si="57"/>
        <v>Error?</v>
      </c>
    </row>
    <row r="3729" spans="1:4" x14ac:dyDescent="0.2">
      <c r="A3729" s="5">
        <v>3668</v>
      </c>
      <c r="B3729" s="138">
        <f>'Tax Sched 23'!E13</f>
        <v>65321</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3367131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10052910</v>
      </c>
      <c r="C4122" s="2" t="s">
        <v>593</v>
      </c>
      <c r="D4122" s="2" t="str">
        <f t="shared" si="63"/>
        <v>Error?</v>
      </c>
    </row>
    <row r="4123" spans="1:4" x14ac:dyDescent="0.2">
      <c r="A4123" s="5">
        <v>4062</v>
      </c>
      <c r="B4123" s="138">
        <f>'Acct Summary 7-8'!D10</f>
        <v>679097</v>
      </c>
      <c r="C4123" s="2" t="s">
        <v>593</v>
      </c>
      <c r="D4123" s="2" t="str">
        <f t="shared" si="63"/>
        <v>Error?</v>
      </c>
    </row>
    <row r="4124" spans="1:4" x14ac:dyDescent="0.2">
      <c r="A4124" s="5">
        <v>4063</v>
      </c>
      <c r="B4124" s="138">
        <f>'Acct Summary 7-8'!E10</f>
        <v>1308871</v>
      </c>
      <c r="C4124" s="2" t="s">
        <v>593</v>
      </c>
      <c r="D4124" s="2" t="str">
        <f t="shared" si="63"/>
        <v>Error?</v>
      </c>
    </row>
    <row r="4125" spans="1:4" x14ac:dyDescent="0.2">
      <c r="A4125" s="5">
        <v>4064</v>
      </c>
      <c r="B4125" s="138">
        <f>'Acct Summary 7-8'!F10</f>
        <v>581925</v>
      </c>
      <c r="C4125" s="2" t="s">
        <v>593</v>
      </c>
      <c r="D4125" s="2" t="str">
        <f t="shared" si="63"/>
        <v>Error?</v>
      </c>
    </row>
    <row r="4126" spans="1:4" x14ac:dyDescent="0.2">
      <c r="A4126" s="5">
        <v>4065</v>
      </c>
      <c r="B4126" s="138">
        <f>'Acct Summary 7-8'!G10</f>
        <v>203413</v>
      </c>
      <c r="C4126" s="2" t="s">
        <v>593</v>
      </c>
      <c r="D4126" s="2" t="str">
        <f t="shared" si="63"/>
        <v>Error?</v>
      </c>
    </row>
    <row r="4127" spans="1:4" x14ac:dyDescent="0.2">
      <c r="A4127" s="5">
        <v>4066</v>
      </c>
      <c r="B4127" s="138">
        <f>'Acct Summary 7-8'!H10</f>
        <v>452413</v>
      </c>
      <c r="C4127" s="2" t="s">
        <v>593</v>
      </c>
      <c r="D4127" s="2" t="str">
        <f t="shared" si="63"/>
        <v>Error?</v>
      </c>
    </row>
    <row r="4128" spans="1:4" x14ac:dyDescent="0.2">
      <c r="A4128" s="5">
        <v>4067</v>
      </c>
      <c r="B4128" s="138">
        <f>'Acct Summary 7-8'!I10</f>
        <v>77800</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69457</v>
      </c>
      <c r="C4130" s="2" t="s">
        <v>593</v>
      </c>
      <c r="D4130" s="2" t="str">
        <f t="shared" si="63"/>
        <v>Error?</v>
      </c>
    </row>
    <row r="4131" spans="1:4" x14ac:dyDescent="0.2">
      <c r="A4131" s="5">
        <v>4070</v>
      </c>
      <c r="B4131" s="138">
        <f>'Acct Summary 7-8'!C18</f>
        <v>3367131</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10120006</v>
      </c>
      <c r="C4136" s="2" t="s">
        <v>593</v>
      </c>
      <c r="D4136" s="2" t="str">
        <f t="shared" si="63"/>
        <v>Error?</v>
      </c>
    </row>
    <row r="4137" spans="1:4" x14ac:dyDescent="0.2">
      <c r="A4137" s="5">
        <v>4076</v>
      </c>
      <c r="B4137" s="138">
        <f>'Acct Summary 7-8'!D19</f>
        <v>618376</v>
      </c>
      <c r="C4137" s="2" t="s">
        <v>593</v>
      </c>
      <c r="D4137" s="2" t="str">
        <f t="shared" si="63"/>
        <v>Error?</v>
      </c>
    </row>
    <row r="4138" spans="1:4" x14ac:dyDescent="0.2">
      <c r="A4138" s="5">
        <v>4077</v>
      </c>
      <c r="B4138" s="138">
        <f>'Acct Summary 7-8'!E19</f>
        <v>1398343</v>
      </c>
      <c r="C4138" s="2" t="s">
        <v>593</v>
      </c>
      <c r="D4138" s="2" t="str">
        <f t="shared" si="63"/>
        <v>Error?</v>
      </c>
    </row>
    <row r="4139" spans="1:4" x14ac:dyDescent="0.2">
      <c r="A4139" s="5">
        <v>4078</v>
      </c>
      <c r="B4139" s="138">
        <f>'Acct Summary 7-8'!F19</f>
        <v>565958</v>
      </c>
      <c r="C4139" s="2" t="s">
        <v>593</v>
      </c>
      <c r="D4139" s="2" t="str">
        <f t="shared" si="63"/>
        <v>Error?</v>
      </c>
    </row>
    <row r="4140" spans="1:4" x14ac:dyDescent="0.2">
      <c r="A4140" s="5">
        <v>4079</v>
      </c>
      <c r="B4140" s="138">
        <f>'Acct Summary 7-8'!G19</f>
        <v>193994</v>
      </c>
      <c r="C4140" s="2" t="s">
        <v>593</v>
      </c>
      <c r="D4140" s="2" t="str">
        <f t="shared" si="63"/>
        <v>Error?</v>
      </c>
    </row>
    <row r="4141" spans="1:4" x14ac:dyDescent="0.2">
      <c r="A4141" s="5">
        <v>4080</v>
      </c>
      <c r="B4141" s="138">
        <f>'Acct Summary 7-8'!H19</f>
        <v>334395</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1312</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10215000</v>
      </c>
      <c r="C4171" s="2" t="s">
        <v>593</v>
      </c>
      <c r="D4171" s="2" t="str">
        <f t="shared" si="64"/>
        <v>Error?</v>
      </c>
    </row>
    <row r="4172" spans="1:4" x14ac:dyDescent="0.2">
      <c r="A4172" s="5">
        <v>4111</v>
      </c>
      <c r="B4172" s="138">
        <f>'Short-Term Long-Term Debt 24'!J49</f>
        <v>9599452</v>
      </c>
      <c r="C4172" s="2" t="s">
        <v>593</v>
      </c>
      <c r="D4172" s="2" t="str">
        <f t="shared" si="64"/>
        <v>Error?</v>
      </c>
    </row>
    <row r="4173" spans="1:4" x14ac:dyDescent="0.2">
      <c r="A4173" s="5">
        <v>4112</v>
      </c>
      <c r="B4173" s="138">
        <f>'Short-Term Long-Term Debt 24'!H49</f>
        <v>1005000</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2330</v>
      </c>
      <c r="C4265" s="2" t="s">
        <v>593</v>
      </c>
      <c r="D4265" s="2" t="str">
        <f t="shared" si="65"/>
        <v>Error?</v>
      </c>
      <c r="E4265" s="128"/>
    </row>
    <row r="4266" spans="1:5" x14ac:dyDescent="0.2">
      <c r="A4266" s="12">
        <v>4205</v>
      </c>
      <c r="B4266" s="138">
        <f>('FP Info 3'!F10)*100000</f>
        <v>500</v>
      </c>
      <c r="C4266" s="2" t="s">
        <v>593</v>
      </c>
      <c r="D4266" s="2" t="str">
        <f t="shared" si="65"/>
        <v>Error?</v>
      </c>
      <c r="E4266" s="128"/>
    </row>
    <row r="4267" spans="1:5" x14ac:dyDescent="0.2">
      <c r="A4267" s="12">
        <v>4206</v>
      </c>
      <c r="B4267" s="138">
        <f>('FP Info 3'!H10)*100000</f>
        <v>200</v>
      </c>
      <c r="C4267" s="2" t="s">
        <v>593</v>
      </c>
      <c r="D4267" s="2" t="str">
        <f t="shared" si="65"/>
        <v>Error?</v>
      </c>
      <c r="E4267" s="128"/>
    </row>
    <row r="4268" spans="1:5" x14ac:dyDescent="0.2">
      <c r="A4268" s="12">
        <v>4207</v>
      </c>
      <c r="B4268" s="138">
        <f>('FP Info 3'!J10)*100000</f>
        <v>3030</v>
      </c>
      <c r="C4268" s="2" t="s">
        <v>593</v>
      </c>
      <c r="D4268" s="2" t="str">
        <f t="shared" si="65"/>
        <v>Error?</v>
      </c>
    </row>
    <row r="4269" spans="1:5" x14ac:dyDescent="0.2">
      <c r="A4269" s="12">
        <v>4208</v>
      </c>
      <c r="B4269" s="138">
        <f>'FP Info 3'!J16</f>
        <v>3414592</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7227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23969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130641586</v>
      </c>
      <c r="D4995" s="2" t="str">
        <f t="shared" si="77"/>
        <v>Error?</v>
      </c>
    </row>
    <row r="4996" spans="1:4" x14ac:dyDescent="0.2">
      <c r="A4996" s="12">
        <v>4935</v>
      </c>
      <c r="B4996" s="138">
        <f>'FP Info 3'!H31</f>
        <v>18028538.868000001</v>
      </c>
      <c r="D4996" s="2" t="str">
        <f t="shared" si="77"/>
        <v>Error?</v>
      </c>
    </row>
    <row r="4997" spans="1:4" x14ac:dyDescent="0.2">
      <c r="A4997" s="12">
        <v>4936</v>
      </c>
      <c r="B4997" s="138">
        <f>'FP Info 3'!H37</f>
        <v>10215000</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500000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500000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64210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2992182</v>
      </c>
      <c r="D5061" s="2" t="str">
        <f t="shared" si="78"/>
        <v>Error?</v>
      </c>
    </row>
    <row r="5062" spans="1:4" x14ac:dyDescent="0.2">
      <c r="A5062" s="10">
        <v>5001</v>
      </c>
      <c r="D5062" s="2" t="str">
        <f t="shared" si="78"/>
        <v>OK</v>
      </c>
    </row>
    <row r="5063" spans="1:4" x14ac:dyDescent="0.2">
      <c r="A5063" s="5">
        <v>5002</v>
      </c>
      <c r="B5063" s="138">
        <f>'Revenues 9-14'!C7</f>
        <v>51368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3107760</v>
      </c>
      <c r="C5066" s="2" t="s">
        <v>593</v>
      </c>
      <c r="D5066" s="2" t="str">
        <f t="shared" si="78"/>
        <v>Error?</v>
      </c>
    </row>
    <row r="5067" spans="1:4" x14ac:dyDescent="0.2">
      <c r="A5067" s="5">
        <v>5006</v>
      </c>
      <c r="B5067" s="138">
        <f>'Revenues 9-14'!C14</f>
        <v>100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101867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101967</v>
      </c>
      <c r="C5071" s="2" t="s">
        <v>593</v>
      </c>
      <c r="D5071" s="2" t="str">
        <f t="shared" si="78"/>
        <v>Error?</v>
      </c>
    </row>
    <row r="5072" spans="1:4" x14ac:dyDescent="0.2">
      <c r="A5072" s="5">
        <v>5011</v>
      </c>
      <c r="B5072" s="138">
        <f>'Revenues 9-14'!C20</f>
        <v>10707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3750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14457</v>
      </c>
      <c r="C5087" s="2" t="s">
        <v>593</v>
      </c>
      <c r="D5087" s="2" t="str">
        <f t="shared" si="78"/>
        <v>Error?</v>
      </c>
    </row>
    <row r="5088" spans="1:4" x14ac:dyDescent="0.2">
      <c r="A5088" s="5">
        <v>5027</v>
      </c>
      <c r="B5088" s="138">
        <f>'Revenues 9-14'!C65</f>
        <v>24625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24625</v>
      </c>
      <c r="C5090" s="2" t="s">
        <v>593</v>
      </c>
      <c r="D5090" s="2" t="str">
        <f t="shared" si="78"/>
        <v>Error?</v>
      </c>
    </row>
    <row r="5091" spans="1:4" x14ac:dyDescent="0.2">
      <c r="A5091" s="5">
        <v>5030</v>
      </c>
      <c r="B5091" s="138">
        <f>'Revenues 9-14'!C70</f>
        <v>11861</v>
      </c>
      <c r="D5091" s="2" t="str">
        <f t="shared" si="78"/>
        <v>Error?</v>
      </c>
    </row>
    <row r="5092" spans="1:4" x14ac:dyDescent="0.2">
      <c r="A5092" s="5">
        <v>5031</v>
      </c>
      <c r="B5092" s="138">
        <f>'Revenues 9-14'!C71</f>
        <v>138889</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5792</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277492</v>
      </c>
      <c r="C5096" s="2" t="s">
        <v>593</v>
      </c>
      <c r="D5096" s="2" t="str">
        <f t="shared" si="78"/>
        <v>Error?</v>
      </c>
    </row>
    <row r="5097" spans="1:4" x14ac:dyDescent="0.2">
      <c r="A5097" s="5">
        <v>5036</v>
      </c>
      <c r="B5097" s="138">
        <f>'Revenues 9-14'!C77</f>
        <v>22708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18700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41408</v>
      </c>
      <c r="C5102" s="2" t="s">
        <v>593</v>
      </c>
      <c r="D5102" s="2" t="str">
        <f t="shared" si="78"/>
        <v>Error?</v>
      </c>
    </row>
    <row r="5103" spans="1:4" x14ac:dyDescent="0.2">
      <c r="A5103" s="5">
        <v>5042</v>
      </c>
      <c r="B5103" s="138">
        <f>'Revenues 9-14'!C84</f>
        <v>71623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10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71633</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97381</v>
      </c>
      <c r="D5119" s="2" t="str">
        <f t="shared" ref="D5119:D5182" si="79">IF(ISBLANK(B5119),"OK",IF(A5119-B5119=0,"OK","Error?"))</f>
        <v>Error?</v>
      </c>
    </row>
    <row r="5120" spans="1:4" x14ac:dyDescent="0.2">
      <c r="A5120" s="5">
        <v>5059</v>
      </c>
      <c r="B5120" s="138">
        <f>'Revenues 9-14'!C108</f>
        <v>108161</v>
      </c>
      <c r="C5120" s="2" t="s">
        <v>593</v>
      </c>
      <c r="D5120" s="2" t="str">
        <f t="shared" si="79"/>
        <v>Error?</v>
      </c>
    </row>
    <row r="5121" spans="1:4" x14ac:dyDescent="0.2">
      <c r="A5121" s="5">
        <v>5060</v>
      </c>
      <c r="B5121" s="138">
        <f>'Revenues 9-14'!C109</f>
        <v>3747503</v>
      </c>
      <c r="C5121" s="2" t="s">
        <v>593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593</v>
      </c>
      <c r="D5125" s="2" t="str">
        <f t="shared" si="79"/>
        <v>Error?</v>
      </c>
    </row>
    <row r="5126" spans="1:4" x14ac:dyDescent="0.2">
      <c r="A5126" s="5">
        <v>5065</v>
      </c>
      <c r="B5126" s="138">
        <f>'Revenues 9-14'!C117</f>
        <v>1993367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1993367</v>
      </c>
      <c r="C5132" s="2" t="s">
        <v>593</v>
      </c>
      <c r="D5132" s="2" t="str">
        <f t="shared" si="79"/>
        <v>Error?</v>
      </c>
    </row>
    <row r="5133" spans="1:4" x14ac:dyDescent="0.2">
      <c r="A5133" s="5">
        <v>5072</v>
      </c>
      <c r="B5133" s="138">
        <f>'Revenues 9-14'!C124</f>
        <v>31096</v>
      </c>
      <c r="D5133" s="2" t="str">
        <f t="shared" si="79"/>
        <v>Error?</v>
      </c>
    </row>
    <row r="5134" spans="1:4" x14ac:dyDescent="0.2">
      <c r="A5134" s="5">
        <v>5073</v>
      </c>
      <c r="B5134" s="138">
        <f>'Revenues 9-14'!C125</f>
        <v>58457</v>
      </c>
      <c r="D5134" s="2" t="str">
        <f t="shared" si="79"/>
        <v>Error?</v>
      </c>
    </row>
    <row r="5135" spans="1:4" x14ac:dyDescent="0.2">
      <c r="A5135" s="5">
        <v>5074</v>
      </c>
      <c r="B5135" s="138">
        <f>'Revenues 9-14'!C126</f>
        <v>34548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124101</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2616</v>
      </c>
      <c r="D5167" s="2" t="str">
        <f t="shared" si="79"/>
        <v>Error?</v>
      </c>
    </row>
    <row r="5168" spans="1:4" x14ac:dyDescent="0.2">
      <c r="A5168" s="5">
        <v>5107</v>
      </c>
      <c r="B5168" s="138">
        <f>'Revenues 9-14'!C147</f>
        <v>14170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159590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301227</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2294594</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150051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38188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188239</v>
      </c>
      <c r="C5246" s="2" t="s">
        <v>593</v>
      </c>
      <c r="D5246" s="2" t="str">
        <f t="shared" si="80"/>
        <v>Error?</v>
      </c>
    </row>
    <row r="5247" spans="1:4" x14ac:dyDescent="0.2">
      <c r="A5247" s="5">
        <v>5186</v>
      </c>
      <c r="B5247" s="138">
        <f>'Revenues 9-14'!C203</f>
        <v>178492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178492</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9401</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236354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245755</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643682</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643682</v>
      </c>
      <c r="C5326" s="2" t="s">
        <v>593</v>
      </c>
      <c r="D5326" s="2" t="str">
        <f t="shared" si="82"/>
        <v>Error?</v>
      </c>
    </row>
    <row r="5327" spans="1:4" x14ac:dyDescent="0.2">
      <c r="A5327" s="5">
        <v>5266</v>
      </c>
      <c r="B5327" s="138">
        <f>'Revenues 9-14'!C275</f>
        <v>6685779</v>
      </c>
      <c r="C5327" s="2" t="s">
        <v>593</v>
      </c>
      <c r="D5327" s="2" t="str">
        <f t="shared" si="82"/>
        <v>Error?</v>
      </c>
    </row>
    <row r="5328" spans="1:4" x14ac:dyDescent="0.2">
      <c r="A5328" s="5">
        <v>5267</v>
      </c>
      <c r="B5328" s="138">
        <f>'Revenues 9-14'!D5</f>
        <v>642099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642099</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24000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24000</v>
      </c>
      <c r="C5339" s="2" t="s">
        <v>593</v>
      </c>
      <c r="D5339" s="2" t="str">
        <f t="shared" si="82"/>
        <v>Error?</v>
      </c>
    </row>
    <row r="5340" spans="1:4" x14ac:dyDescent="0.2">
      <c r="A5340" s="5">
        <v>5279</v>
      </c>
      <c r="B5340" s="138">
        <f>'Revenues 9-14'!D65</f>
        <v>6494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6494</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6504</v>
      </c>
      <c r="D5354" s="2" t="str">
        <f t="shared" si="82"/>
        <v>Error?</v>
      </c>
    </row>
    <row r="5355" spans="1:4" x14ac:dyDescent="0.2">
      <c r="A5355" s="5">
        <v>5294</v>
      </c>
      <c r="B5355" s="138">
        <f>'Revenues 9-14'!D108</f>
        <v>6504</v>
      </c>
      <c r="C5355" s="2" t="s">
        <v>593</v>
      </c>
      <c r="D5355" s="2" t="str">
        <f t="shared" si="82"/>
        <v>Error?</v>
      </c>
    </row>
    <row r="5356" spans="1:4" x14ac:dyDescent="0.2">
      <c r="A5356" s="5">
        <v>5295</v>
      </c>
      <c r="B5356" s="138">
        <f>'Revenues 9-14'!D109</f>
        <v>679097</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679097</v>
      </c>
      <c r="C5508" s="2" t="s">
        <v>593</v>
      </c>
      <c r="D5508" s="2" t="str">
        <f t="shared" si="85"/>
        <v>Error?</v>
      </c>
    </row>
    <row r="5509" spans="1:4" x14ac:dyDescent="0.2">
      <c r="A5509" s="5">
        <v>5448</v>
      </c>
      <c r="B5509" s="138">
        <f>'Revenues 9-14'!E5</f>
        <v>1157288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1157288</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11834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11834</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139749</v>
      </c>
      <c r="C5526" s="2" t="s">
        <v>593</v>
      </c>
      <c r="D5526" s="2" t="str">
        <f t="shared" si="85"/>
        <v>Error?</v>
      </c>
    </row>
    <row r="5527" spans="1:4" x14ac:dyDescent="0.2">
      <c r="A5527" s="5">
        <v>5466</v>
      </c>
      <c r="B5527" s="138">
        <f>'Revenues 9-14'!E109</f>
        <v>1308871</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1308871</v>
      </c>
      <c r="C5552" s="2" t="s">
        <v>593</v>
      </c>
      <c r="D5552" s="2" t="str">
        <f t="shared" si="85"/>
        <v>Error?</v>
      </c>
    </row>
    <row r="5553" spans="1:4" x14ac:dyDescent="0.2">
      <c r="A5553" s="5">
        <v>5492</v>
      </c>
      <c r="B5553" s="138">
        <f>'Revenues 9-14'!F5</f>
        <v>256840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256840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3971</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3971</v>
      </c>
      <c r="C5579" s="2" t="s">
        <v>593</v>
      </c>
      <c r="D5579" s="2" t="str">
        <f t="shared" si="86"/>
        <v>Error?</v>
      </c>
    </row>
    <row r="5580" spans="1:4" x14ac:dyDescent="0.2">
      <c r="A5580" s="5">
        <v>5519</v>
      </c>
      <c r="B5580" s="138">
        <f>'Revenues 9-14'!F65</f>
        <v>7904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7904</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40</v>
      </c>
      <c r="D5586" s="2" t="str">
        <f t="shared" si="86"/>
        <v>Error?</v>
      </c>
    </row>
    <row r="5587" spans="1:4" x14ac:dyDescent="0.2">
      <c r="A5587" s="5">
        <v>5526</v>
      </c>
      <c r="B5587" s="138">
        <f>'Revenues 9-14'!F108</f>
        <v>40</v>
      </c>
      <c r="C5587" s="2" t="s">
        <v>593</v>
      </c>
      <c r="D5587" s="2" t="str">
        <f t="shared" si="86"/>
        <v>Error?</v>
      </c>
    </row>
    <row r="5588" spans="1:4" x14ac:dyDescent="0.2">
      <c r="A5588" s="5">
        <v>5527</v>
      </c>
      <c r="B5588" s="138">
        <f>'Revenues 9-14'!F109</f>
        <v>268755</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226098</v>
      </c>
      <c r="D5615" s="2" t="str">
        <f t="shared" si="86"/>
        <v>Error?</v>
      </c>
    </row>
    <row r="5616" spans="1:4" x14ac:dyDescent="0.2">
      <c r="A5616" s="10">
        <v>5555</v>
      </c>
      <c r="D5616" s="2" t="str">
        <f t="shared" si="86"/>
        <v>OK</v>
      </c>
    </row>
    <row r="5617" spans="1:4" x14ac:dyDescent="0.2">
      <c r="A5617" s="5">
        <v>5556</v>
      </c>
      <c r="B5617" s="138">
        <f>'Revenues 9-14'!F152</f>
        <v>87072</v>
      </c>
      <c r="D5617" s="2" t="str">
        <f t="shared" si="86"/>
        <v>Error?</v>
      </c>
    </row>
    <row r="5618" spans="1:4" x14ac:dyDescent="0.2">
      <c r="A5618" s="5">
        <v>5557</v>
      </c>
      <c r="B5618" s="138">
        <f>'Revenues 9-14'!F154</f>
        <v>313170</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313170</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313170</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581925</v>
      </c>
      <c r="C5720" s="2" t="s">
        <v>593</v>
      </c>
      <c r="D5720" s="2" t="str">
        <f t="shared" si="88"/>
        <v>Error?</v>
      </c>
    </row>
    <row r="5721" spans="1:4" x14ac:dyDescent="0.2">
      <c r="A5721" s="5">
        <v>5660</v>
      </c>
      <c r="B5721" s="138">
        <f>'Revenues 9-14'!G5</f>
        <v>60062</v>
      </c>
      <c r="D5721" s="2" t="str">
        <f t="shared" si="88"/>
        <v>Error?</v>
      </c>
    </row>
    <row r="5722" spans="1:4" x14ac:dyDescent="0.2">
      <c r="A5722" s="5">
        <v>5661</v>
      </c>
      <c r="B5722" s="138">
        <f>'Revenues 9-14'!G7</f>
        <v>0</v>
      </c>
      <c r="D5722" s="2" t="str">
        <f t="shared" si="88"/>
        <v>Error?</v>
      </c>
    </row>
    <row r="5723" spans="1:4" x14ac:dyDescent="0.2">
      <c r="A5723" s="5">
        <v>5662</v>
      </c>
      <c r="B5723" s="138">
        <f>'Revenues 9-14'!G8</f>
        <v>133640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193702</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8000</v>
      </c>
      <c r="C5730" s="2" t="s">
        <v>593</v>
      </c>
      <c r="D5730" s="2" t="str">
        <f t="shared" si="88"/>
        <v>Error?</v>
      </c>
    </row>
    <row r="5731" spans="1:4" x14ac:dyDescent="0.2">
      <c r="A5731" s="5">
        <v>5670</v>
      </c>
      <c r="B5731" s="138">
        <f>'Revenues 9-14'!G65</f>
        <v>1711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1711</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203413</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30239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30239</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422174</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452413</v>
      </c>
      <c r="C5915" s="2" t="s">
        <v>593</v>
      </c>
      <c r="D5915" s="2" t="str">
        <f t="shared" si="91"/>
        <v>Error?</v>
      </c>
    </row>
    <row r="5916" spans="1:4" x14ac:dyDescent="0.2">
      <c r="A5916" s="5">
        <v>5855</v>
      </c>
      <c r="B5916" s="138">
        <f>'Revenues 9-14'!I5</f>
        <v>64210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64210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13590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13590</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77800</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64210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64210</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5247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5247</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69457</v>
      </c>
      <c r="C6023" s="2" t="s">
        <v>593</v>
      </c>
      <c r="D6023" s="2" t="str">
        <f t="shared" si="93"/>
        <v>Error?</v>
      </c>
    </row>
    <row r="6024" spans="1:5" x14ac:dyDescent="0.2">
      <c r="A6024" s="5">
        <v>5963</v>
      </c>
      <c r="B6024" s="138">
        <f>'Revenues 9-14'!G109</f>
        <v>203413</v>
      </c>
      <c r="C6024" s="2" t="s">
        <v>593</v>
      </c>
      <c r="D6024" s="2" t="str">
        <f t="shared" si="93"/>
        <v>Error?</v>
      </c>
    </row>
    <row r="6025" spans="1:5" x14ac:dyDescent="0.2">
      <c r="A6025" s="5">
        <v>5964</v>
      </c>
      <c r="B6025" s="138">
        <f>'Revenues 9-14'!H109</f>
        <v>452413</v>
      </c>
      <c r="C6025" s="2" t="s">
        <v>593</v>
      </c>
      <c r="D6025" s="2" t="str">
        <f t="shared" si="93"/>
        <v>Error?</v>
      </c>
    </row>
    <row r="6026" spans="1:5" x14ac:dyDescent="0.2">
      <c r="A6026" s="5">
        <v>5965</v>
      </c>
      <c r="B6026" s="138">
        <f>'Revenues 9-14'!I109</f>
        <v>77800</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69457</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120950</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30225</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870.05</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126147</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126147</v>
      </c>
      <c r="D6215" s="2" t="str">
        <f t="shared" si="96"/>
        <v>Error?</v>
      </c>
      <c r="E6215" s="2" t="s">
        <v>199</v>
      </c>
    </row>
    <row r="6216" spans="1:5" x14ac:dyDescent="0.2">
      <c r="A6216">
        <v>6155</v>
      </c>
      <c r="B6216" s="138">
        <f>'Assets-Liab 5-6'!J41</f>
        <v>126147</v>
      </c>
      <c r="D6216" s="2" t="str">
        <f t="shared" si="96"/>
        <v>Error?</v>
      </c>
      <c r="E6216" s="2" t="s">
        <v>199</v>
      </c>
    </row>
    <row r="6217" spans="1:5" x14ac:dyDescent="0.2">
      <c r="A6217">
        <v>6156</v>
      </c>
      <c r="B6217" s="138">
        <f>'Assets-Liab 5-6'!J4</f>
        <v>3</v>
      </c>
      <c r="D6217" s="2" t="str">
        <f t="shared" si="96"/>
        <v>Error?</v>
      </c>
      <c r="E6217" s="2" t="s">
        <v>199</v>
      </c>
    </row>
    <row r="6218" spans="1:5" x14ac:dyDescent="0.2">
      <c r="A6218">
        <v>6157</v>
      </c>
      <c r="B6218" s="138">
        <f>'Assets-Liab 5-6'!J5</f>
        <v>126144</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406327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406327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406327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374541</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374541</v>
      </c>
      <c r="D6229" s="2" t="str">
        <f t="shared" si="96"/>
        <v>Error?</v>
      </c>
      <c r="E6229" s="2" t="s">
        <v>199</v>
      </c>
    </row>
    <row r="6230" spans="1:5" x14ac:dyDescent="0.2">
      <c r="A6230">
        <v>6169</v>
      </c>
      <c r="B6230" s="138">
        <f>'Acct Summary 7-8'!J20</f>
        <v>31786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64210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31786</v>
      </c>
      <c r="D6263" s="2" t="str">
        <f t="shared" si="96"/>
        <v>Error?</v>
      </c>
      <c r="E6263" s="2" t="s">
        <v>199</v>
      </c>
    </row>
    <row r="6264" spans="1:5" x14ac:dyDescent="0.2">
      <c r="A6264">
        <v>6203</v>
      </c>
      <c r="B6264" s="138">
        <f>'Acct Summary 7-8'!J79</f>
        <v>94361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126147</v>
      </c>
      <c r="D6266" s="2" t="str">
        <f t="shared" si="96"/>
        <v>Error?</v>
      </c>
      <c r="E6266" s="2" t="s">
        <v>199</v>
      </c>
    </row>
    <row r="6267" spans="1:5" x14ac:dyDescent="0.2">
      <c r="A6267">
        <v>6206</v>
      </c>
      <c r="B6267" s="138">
        <f>'Acct Summary 7-8'!C82</f>
        <v>368694</v>
      </c>
      <c r="D6267" s="2" t="str">
        <f t="shared" si="96"/>
        <v>Error?</v>
      </c>
      <c r="E6267" s="2" t="s">
        <v>199</v>
      </c>
    </row>
    <row r="6268" spans="1:5" x14ac:dyDescent="0.2">
      <c r="A6268">
        <v>6207</v>
      </c>
      <c r="B6268" s="138">
        <f>'Acct Summary 7-8'!D82</f>
        <v>60721</v>
      </c>
      <c r="D6268" s="2" t="str">
        <f t="shared" si="96"/>
        <v>Error?</v>
      </c>
      <c r="E6268" s="2" t="s">
        <v>199</v>
      </c>
    </row>
    <row r="6269" spans="1:5" x14ac:dyDescent="0.2">
      <c r="A6269">
        <v>6208</v>
      </c>
      <c r="B6269" s="138">
        <f>'Acct Summary 7-8'!E82</f>
        <v>-25262</v>
      </c>
      <c r="D6269" s="2" t="str">
        <f t="shared" si="96"/>
        <v>Error?</v>
      </c>
      <c r="E6269" s="2" t="s">
        <v>199</v>
      </c>
    </row>
    <row r="6270" spans="1:5" x14ac:dyDescent="0.2">
      <c r="A6270">
        <v>6209</v>
      </c>
      <c r="B6270" s="138">
        <f>'Acct Summary 7-8'!F82</f>
        <v>15967</v>
      </c>
      <c r="D6270" s="2" t="str">
        <f t="shared" si="96"/>
        <v>Error?</v>
      </c>
      <c r="E6270" s="2" t="s">
        <v>199</v>
      </c>
    </row>
    <row r="6271" spans="1:5" x14ac:dyDescent="0.2">
      <c r="A6271">
        <v>6210</v>
      </c>
      <c r="B6271" s="138">
        <f>'Acct Summary 7-8'!G82</f>
        <v>9419</v>
      </c>
      <c r="D6271" s="2" t="str">
        <f t="shared" ref="D6271:D6334" si="97">IF(ISBLANK(B6271),"OK",IF(A6271-B6271=0,"OK","Error?"))</f>
        <v>Error?</v>
      </c>
      <c r="E6271" s="2" t="s">
        <v>199</v>
      </c>
    </row>
    <row r="6272" spans="1:5" x14ac:dyDescent="0.2">
      <c r="A6272">
        <v>6211</v>
      </c>
      <c r="B6272" s="138">
        <f>'Acct Summary 7-8'!H82</f>
        <v>-381982</v>
      </c>
      <c r="D6272" s="2" t="str">
        <f t="shared" si="97"/>
        <v>Error?</v>
      </c>
      <c r="E6272" s="2" t="s">
        <v>199</v>
      </c>
    </row>
    <row r="6273" spans="1:5" x14ac:dyDescent="0.2">
      <c r="A6273">
        <v>6212</v>
      </c>
      <c r="B6273" s="138">
        <f>'Acct Summary 7-8'!I82</f>
        <v>77800</v>
      </c>
      <c r="D6273" s="2" t="str">
        <f t="shared" si="97"/>
        <v>Error?</v>
      </c>
      <c r="E6273" s="2" t="s">
        <v>199</v>
      </c>
    </row>
    <row r="6274" spans="1:5" x14ac:dyDescent="0.2">
      <c r="A6274">
        <v>6213</v>
      </c>
      <c r="B6274" s="138">
        <f>'Acct Summary 7-8'!J82</f>
        <v>31786</v>
      </c>
      <c r="D6274" s="2" t="str">
        <f t="shared" si="97"/>
        <v>Error?</v>
      </c>
      <c r="E6274" s="2" t="s">
        <v>199</v>
      </c>
    </row>
    <row r="6275" spans="1:5" x14ac:dyDescent="0.2">
      <c r="A6275">
        <v>6214</v>
      </c>
      <c r="B6275" s="138">
        <f>'Acct Summary 7-8'!K82</f>
        <v>68145</v>
      </c>
      <c r="D6275" s="2" t="str">
        <f t="shared" si="97"/>
        <v>Error?</v>
      </c>
      <c r="E6275" s="2" t="s">
        <v>199</v>
      </c>
    </row>
    <row r="6276" spans="1:5" x14ac:dyDescent="0.2">
      <c r="A6276">
        <v>6215</v>
      </c>
      <c r="B6276" s="138">
        <f>'Acct Summary 7-8'!C83</f>
        <v>0.27485822616272437</v>
      </c>
      <c r="D6276" s="2" t="str">
        <f t="shared" si="97"/>
        <v>Error?</v>
      </c>
      <c r="E6276" s="2" t="s">
        <v>199</v>
      </c>
    </row>
    <row r="6277" spans="1:5" x14ac:dyDescent="0.2">
      <c r="A6277">
        <v>6216</v>
      </c>
      <c r="B6277" s="138">
        <f>'Acct Summary 7-8'!D83</f>
        <v>0.19956288822427448</v>
      </c>
      <c r="D6277" s="2" t="str">
        <f t="shared" si="97"/>
        <v>Error?</v>
      </c>
      <c r="E6277" s="2" t="s">
        <v>199</v>
      </c>
    </row>
    <row r="6278" spans="1:5" x14ac:dyDescent="0.2">
      <c r="A6278">
        <v>6217</v>
      </c>
      <c r="B6278" s="138">
        <f>'Acct Summary 7-8'!E83</f>
        <v>-4.1039853918784563E-2</v>
      </c>
      <c r="D6278" s="2" t="str">
        <f t="shared" si="97"/>
        <v>Error?</v>
      </c>
      <c r="E6278" s="2" t="s">
        <v>199</v>
      </c>
    </row>
    <row r="6279" spans="1:5" x14ac:dyDescent="0.2">
      <c r="A6279">
        <v>6218</v>
      </c>
      <c r="B6279" s="138">
        <f>'Acct Summary 7-8'!F83</f>
        <v>2.5715523530823358E-2</v>
      </c>
      <c r="D6279" s="2" t="str">
        <f t="shared" si="97"/>
        <v>Error?</v>
      </c>
      <c r="E6279" s="2" t="s">
        <v>199</v>
      </c>
    </row>
    <row r="6280" spans="1:5" x14ac:dyDescent="0.2">
      <c r="A6280">
        <v>6219</v>
      </c>
      <c r="B6280" s="138">
        <f>'Acct Summary 7-8'!G83</f>
        <v>0.12845725819649773</v>
      </c>
      <c r="D6280" s="2" t="str">
        <f t="shared" si="97"/>
        <v>Error?</v>
      </c>
      <c r="E6280" s="2" t="s">
        <v>199</v>
      </c>
    </row>
    <row r="6281" spans="1:5" x14ac:dyDescent="0.2">
      <c r="A6281">
        <v>6220</v>
      </c>
      <c r="B6281" s="138">
        <f>'Acct Summary 7-8'!H83</f>
        <v>-0.19198094976747598</v>
      </c>
      <c r="D6281" s="2" t="str">
        <f t="shared" si="97"/>
        <v>Error?</v>
      </c>
      <c r="E6281" s="2" t="s">
        <v>199</v>
      </c>
    </row>
    <row r="6282" spans="1:5" x14ac:dyDescent="0.2">
      <c r="A6282">
        <v>6221</v>
      </c>
      <c r="B6282" s="138">
        <f>'Acct Summary 7-8'!I83</f>
        <v>6.7769090326267226E-2</v>
      </c>
      <c r="D6282" s="2" t="str">
        <f t="shared" si="97"/>
        <v>Error?</v>
      </c>
      <c r="E6282" s="2" t="s">
        <v>199</v>
      </c>
    </row>
    <row r="6283" spans="1:5" x14ac:dyDescent="0.2">
      <c r="A6283">
        <v>6222</v>
      </c>
      <c r="B6283" s="138">
        <f>'Acct Summary 7-8'!J83</f>
        <v>0.25197586942218203</v>
      </c>
      <c r="D6283" s="2" t="str">
        <f t="shared" si="97"/>
        <v>Error?</v>
      </c>
      <c r="E6283" s="2" t="s">
        <v>199</v>
      </c>
    </row>
    <row r="6284" spans="1:5" x14ac:dyDescent="0.2">
      <c r="A6284">
        <v>6223</v>
      </c>
      <c r="B6284" s="138">
        <f>'Acct Summary 7-8'!K83</f>
        <v>0.16663732265211204</v>
      </c>
      <c r="D6284" s="2" t="str">
        <f t="shared" si="97"/>
        <v>Error?</v>
      </c>
      <c r="E6284" s="2" t="s">
        <v>199</v>
      </c>
    </row>
    <row r="6285" spans="1:5" x14ac:dyDescent="0.2">
      <c r="A6285">
        <v>6224</v>
      </c>
      <c r="B6285" s="138">
        <f>'Acct Summary 7-8'!E37</f>
        <v>64210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402947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402947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3380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3380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10780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406327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84265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133318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52485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342922</v>
      </c>
      <c r="D6983" s="2" t="str">
        <f t="shared" si="108"/>
        <v>Error?</v>
      </c>
    </row>
    <row r="6984" spans="1:4" x14ac:dyDescent="0.2">
      <c r="A6984">
        <v>6923</v>
      </c>
      <c r="B6984" s="138">
        <f>'Expenditures 15-22'!K86</f>
        <v>342922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71679</v>
      </c>
      <c r="D6987" s="2" t="str">
        <f t="shared" si="108"/>
        <v>Error?</v>
      </c>
    </row>
    <row r="6988" spans="1:4" x14ac:dyDescent="0.2">
      <c r="A6988">
        <v>6927</v>
      </c>
      <c r="B6988" s="138">
        <f>'Expenditures 15-22'!K88</f>
        <v>71679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414601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374541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406327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3539</v>
      </c>
      <c r="D7075" s="2" t="str">
        <f t="shared" si="109"/>
        <v>Error?</v>
      </c>
    </row>
    <row r="7076" spans="1:4" x14ac:dyDescent="0.2">
      <c r="A7076">
        <v>7015</v>
      </c>
      <c r="B7076" s="138">
        <f>'Expenditures 15-22'!K218</f>
        <v>3539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732</v>
      </c>
      <c r="D7079" s="2" t="str">
        <f t="shared" si="109"/>
        <v>Error?</v>
      </c>
    </row>
    <row r="7080" spans="1:4" x14ac:dyDescent="0.2">
      <c r="A7080">
        <v>7019</v>
      </c>
      <c r="B7080" s="138">
        <f>'Expenditures 15-22'!K226</f>
        <v>732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132015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132015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228897</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228897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13629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13629</v>
      </c>
      <c r="D7198" s="2" t="str">
        <f t="shared" si="111"/>
        <v>Error?</v>
      </c>
    </row>
    <row r="7199" spans="1:4" x14ac:dyDescent="0.2">
      <c r="A7199">
        <v>7138</v>
      </c>
      <c r="B7199" s="138">
        <f>'Expenditures 15-22'!C330</f>
        <v>228897</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145644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374541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228897</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145644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374541</v>
      </c>
      <c r="D7224" s="2" t="str">
        <f t="shared" si="111"/>
        <v>Error?</v>
      </c>
    </row>
    <row r="7225" spans="1:4" x14ac:dyDescent="0.2">
      <c r="A7225">
        <v>7164</v>
      </c>
      <c r="B7225" s="138">
        <f>'Expenditures 15-22'!K343</f>
        <v>31786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14810</v>
      </c>
      <c r="D7246" s="2" t="str">
        <f t="shared" si="112"/>
        <v>Error?</v>
      </c>
    </row>
    <row r="7247" spans="1:4" x14ac:dyDescent="0.2">
      <c r="A7247">
        <f t="shared" si="113"/>
        <v>7186</v>
      </c>
      <c r="B7247" s="138">
        <f>'Expenditures 15-22'!E7</f>
        <v>6029</v>
      </c>
      <c r="D7247" s="2" t="str">
        <f t="shared" si="112"/>
        <v>Error?</v>
      </c>
    </row>
    <row r="7248" spans="1:4" x14ac:dyDescent="0.2">
      <c r="A7248">
        <f t="shared" si="113"/>
        <v>7187</v>
      </c>
      <c r="B7248" s="138">
        <f>'Expenditures 15-22'!F7</f>
        <v>21251</v>
      </c>
      <c r="D7248" s="2" t="str">
        <f t="shared" si="112"/>
        <v>Error?</v>
      </c>
    </row>
    <row r="7249" spans="1:4" x14ac:dyDescent="0.2">
      <c r="A7249">
        <f t="shared" si="113"/>
        <v>7188</v>
      </c>
      <c r="B7249" s="138">
        <f>'Expenditures 15-22'!G7</f>
        <v>6963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45431</v>
      </c>
      <c r="D7263" s="2" t="str">
        <f t="shared" si="112"/>
        <v>Error?</v>
      </c>
    </row>
    <row r="7264" spans="1:4" x14ac:dyDescent="0.2">
      <c r="A7264">
        <f t="shared" si="113"/>
        <v>7203</v>
      </c>
      <c r="B7264" s="138">
        <f>'Expenditures 15-22'!D17</f>
        <v>5914</v>
      </c>
      <c r="D7264" s="2" t="str">
        <f t="shared" si="112"/>
        <v>Error?</v>
      </c>
    </row>
    <row r="7265" spans="1:5" x14ac:dyDescent="0.2">
      <c r="A7265">
        <f t="shared" si="113"/>
        <v>7204</v>
      </c>
      <c r="B7265" s="138">
        <f>'Expenditures 15-22'!E17</f>
        <v>33</v>
      </c>
      <c r="D7265" s="2" t="str">
        <f t="shared" si="112"/>
        <v>Error?</v>
      </c>
    </row>
    <row r="7266" spans="1:5" x14ac:dyDescent="0.2">
      <c r="A7266">
        <f t="shared" si="113"/>
        <v>7205</v>
      </c>
      <c r="B7266" s="138">
        <f>'Expenditures 15-22'!F17</f>
        <v>1107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817837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813306</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30239</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10780</v>
      </c>
      <c r="D7712" s="2" t="str">
        <f t="shared" si="126"/>
        <v>Error?</v>
      </c>
      <c r="E7712" s="2" t="s">
        <v>880</v>
      </c>
    </row>
    <row r="7713" spans="1:6" x14ac:dyDescent="0.2">
      <c r="A7713">
        <v>7652</v>
      </c>
      <c r="B7713" s="138">
        <f>'Rest Tax Levies-Tort Im 25'!J8</f>
        <v>561923</v>
      </c>
      <c r="D7713" s="2" t="str">
        <f t="shared" si="126"/>
        <v>Error?</v>
      </c>
      <c r="E7713" s="2" t="s">
        <v>880</v>
      </c>
    </row>
    <row r="7714" spans="1:6" x14ac:dyDescent="0.2">
      <c r="A7714">
        <v>7653</v>
      </c>
      <c r="B7714" s="138">
        <f>'Rest Tax Levies-Tort Im 25'!K9</f>
        <v>14170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592162</v>
      </c>
      <c r="D7718" s="2" t="str">
        <f t="shared" si="126"/>
        <v>Error?</v>
      </c>
      <c r="E7718" s="2" t="s">
        <v>880</v>
      </c>
    </row>
    <row r="7719" spans="1:6" x14ac:dyDescent="0.2">
      <c r="A7719">
        <v>7658</v>
      </c>
      <c r="B7719" s="138">
        <f>'Rest Tax Levies-Tort Im 25'!K12</f>
        <v>24950</v>
      </c>
      <c r="D7719" s="2" t="str">
        <f t="shared" si="126"/>
        <v>Error?</v>
      </c>
      <c r="E7719" s="2" t="s">
        <v>880</v>
      </c>
    </row>
    <row r="7720" spans="1:6" x14ac:dyDescent="0.2">
      <c r="A7720">
        <v>7659</v>
      </c>
      <c r="B7720" s="138">
        <f>'Rest Tax Levies-Tort Im 25'!H14</f>
        <v>51368</v>
      </c>
      <c r="D7720" s="2" t="str">
        <f t="shared" si="126"/>
        <v>Error?</v>
      </c>
      <c r="E7720" s="2" t="s">
        <v>880</v>
      </c>
    </row>
    <row r="7721" spans="1:6" x14ac:dyDescent="0.2">
      <c r="A7721">
        <v>7660</v>
      </c>
      <c r="B7721" s="138">
        <f>'Rest Tax Levies-Tort Im 25'!K14</f>
        <v>24950</v>
      </c>
      <c r="D7721" s="2" t="str">
        <f t="shared" si="126"/>
        <v>Error?</v>
      </c>
      <c r="E7721" s="2" t="s">
        <v>880</v>
      </c>
    </row>
    <row r="7722" spans="1:6" x14ac:dyDescent="0.2">
      <c r="A7722">
        <v>7661</v>
      </c>
      <c r="B7722" s="138">
        <f>'Rest Tax Levies-Tort Im 25'!J15</f>
        <v>334395</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139749</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139749</v>
      </c>
      <c r="D7727" s="2" t="str">
        <f t="shared" si="126"/>
        <v>Error?</v>
      </c>
      <c r="E7727" s="2" t="s">
        <v>880</v>
      </c>
    </row>
    <row r="7728" spans="1:6" x14ac:dyDescent="0.2">
      <c r="A7728">
        <v>7667</v>
      </c>
      <c r="B7728" s="138">
        <f>'Revenues 9-14'!E103</f>
        <v>139749</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474144</v>
      </c>
      <c r="D7730" s="2" t="str">
        <f t="shared" si="126"/>
        <v>Error?</v>
      </c>
      <c r="E7730" s="2" t="s">
        <v>880</v>
      </c>
    </row>
    <row r="7731" spans="1:6" x14ac:dyDescent="0.2">
      <c r="A7731">
        <v>7670</v>
      </c>
      <c r="B7731" s="138">
        <f>'Revenues 9-14'!H103</f>
        <v>422174</v>
      </c>
      <c r="D7731" s="2" t="str">
        <f t="shared" si="126"/>
        <v>Error?</v>
      </c>
      <c r="E7731" s="2" t="s">
        <v>880</v>
      </c>
    </row>
    <row r="7732" spans="1:6" x14ac:dyDescent="0.2">
      <c r="A7732">
        <v>7671</v>
      </c>
      <c r="B7732" s="138">
        <f>'Rest Tax Levies-Tort Im 25'!J24</f>
        <v>931324</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931324</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20162</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1252</v>
      </c>
      <c r="B2" s="2400"/>
      <c r="C2" s="2400"/>
      <c r="D2" s="2400"/>
      <c r="E2" s="2400"/>
      <c r="F2" s="2400"/>
      <c r="G2" s="2400"/>
      <c r="H2" s="2400"/>
      <c r="I2" s="2400"/>
      <c r="J2" s="2400"/>
      <c r="K2" s="2400"/>
      <c r="L2" s="2400"/>
    </row>
    <row r="3" spans="1:29" ht="13.5" customHeight="1" x14ac:dyDescent="0.2">
      <c r="A3" s="2431" t="s">
        <v>1251</v>
      </c>
      <c r="B3" s="2431"/>
      <c r="C3" s="2431"/>
      <c r="D3" s="2431"/>
      <c r="E3" s="2431"/>
      <c r="F3" s="2431"/>
      <c r="G3" s="2431"/>
      <c r="H3" s="2431"/>
      <c r="I3" s="2431"/>
      <c r="J3" s="2431"/>
      <c r="K3" s="2431"/>
      <c r="L3" s="2431"/>
    </row>
    <row r="4" spans="1:29" ht="13.5" customHeight="1" x14ac:dyDescent="0.2">
      <c r="A4" s="2400" t="s">
        <v>1798</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2" t="str">
        <f>COVER!A17</f>
        <v>Warrensburg Latham CUSD 11</v>
      </c>
      <c r="B7" s="2423"/>
      <c r="C7" s="2423"/>
      <c r="D7" s="2424"/>
      <c r="E7" s="2425">
        <f>COVER!A13</f>
        <v>39055011026</v>
      </c>
      <c r="F7" s="2426"/>
      <c r="G7" s="2432">
        <f>COVER!T23</f>
        <v>66.004384999999999</v>
      </c>
      <c r="H7" s="2433"/>
      <c r="I7" s="2433"/>
      <c r="J7" s="2433"/>
      <c r="K7" s="2433"/>
      <c r="L7" s="2434"/>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5"/>
      <c r="B9" s="2436"/>
      <c r="C9" s="2436"/>
      <c r="D9" s="2436"/>
      <c r="E9" s="2436"/>
      <c r="F9" s="2437"/>
      <c r="G9" s="2406" t="str">
        <f>COVER!T13</f>
        <v>FLOYD &amp; ASSOCIATES, CPAs</v>
      </c>
      <c r="H9" s="2438"/>
      <c r="I9" s="2438"/>
      <c r="J9" s="2438"/>
      <c r="K9" s="2438"/>
      <c r="L9" s="2439"/>
    </row>
    <row r="10" spans="1:29" ht="13.5" customHeight="1" x14ac:dyDescent="0.2">
      <c r="A10" s="2412" t="str">
        <f>COVER!A38</f>
        <v>Dr. KRISTEN KENDRICK-WEIKLE</v>
      </c>
      <c r="B10" s="2413"/>
      <c r="C10" s="2413"/>
      <c r="D10" s="2413"/>
      <c r="E10" s="2413"/>
      <c r="F10" s="2414"/>
      <c r="G10" s="2406" t="str">
        <f>COVER!T17</f>
        <v>910 STATE HIGHWAY 54 EAST</v>
      </c>
      <c r="H10" s="2407"/>
      <c r="I10" s="2407"/>
      <c r="J10" s="2407"/>
      <c r="K10" s="2407"/>
      <c r="L10" s="2408"/>
    </row>
    <row r="11" spans="1:29" ht="13.5" customHeight="1" x14ac:dyDescent="0.2">
      <c r="A11" s="1185" t="s">
        <v>1598</v>
      </c>
      <c r="B11" s="1186"/>
      <c r="C11" s="1187"/>
      <c r="D11" s="1192"/>
      <c r="E11" s="1187"/>
      <c r="F11" s="1191"/>
      <c r="G11" s="2406" t="str">
        <f>COVER!T19</f>
        <v>CLINTON</v>
      </c>
      <c r="H11" s="2407"/>
      <c r="I11" s="2407"/>
      <c r="J11" s="2407"/>
      <c r="K11" s="2407"/>
      <c r="L11" s="2408"/>
    </row>
    <row r="12" spans="1:29" ht="13.5" customHeight="1" x14ac:dyDescent="0.2">
      <c r="A12" s="2415" t="s">
        <v>1597</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1599</v>
      </c>
      <c r="H13" s="2402"/>
      <c r="I13" s="2418" t="str">
        <f>COVER!T25</f>
        <v>julie.floyd@frontier.com</v>
      </c>
      <c r="J13" s="2419"/>
      <c r="K13" s="2419"/>
      <c r="L13" s="2420"/>
    </row>
    <row r="14" spans="1:29" ht="13.5" customHeight="1" x14ac:dyDescent="0.2">
      <c r="A14" s="2406" t="str">
        <f>COVER!A19</f>
        <v>430 WEST NORTH STREET</v>
      </c>
      <c r="B14" s="2407"/>
      <c r="C14" s="2407"/>
      <c r="D14" s="2407"/>
      <c r="E14" s="2407"/>
      <c r="F14" s="2408"/>
      <c r="G14" s="1196" t="s">
        <v>1246</v>
      </c>
      <c r="H14" s="1194"/>
      <c r="I14" s="1194"/>
      <c r="J14" s="1194"/>
      <c r="K14" s="1194"/>
      <c r="L14" s="1195"/>
    </row>
    <row r="15" spans="1:29" ht="13.5" customHeight="1" x14ac:dyDescent="0.2">
      <c r="A15" s="2406" t="str">
        <f>COVER!A21</f>
        <v xml:space="preserve">WARRENSBURG  </v>
      </c>
      <c r="B15" s="2407"/>
      <c r="C15" s="2407"/>
      <c r="D15" s="2407"/>
      <c r="E15" s="2407"/>
      <c r="F15" s="2408"/>
      <c r="G15" s="2403" t="str">
        <f>COVER!T15</f>
        <v>JULIE M. FLOYD, CPA</v>
      </c>
      <c r="H15" s="2404"/>
      <c r="I15" s="2404"/>
      <c r="J15" s="2404"/>
      <c r="K15" s="2404"/>
      <c r="L15" s="2405"/>
    </row>
    <row r="16" spans="1:29" ht="12.2" customHeight="1" x14ac:dyDescent="0.2">
      <c r="A16" s="2428">
        <f>COVER!A25</f>
        <v>62573</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1245</v>
      </c>
      <c r="H17" s="1194"/>
      <c r="I17" s="1194"/>
      <c r="J17" s="1194"/>
      <c r="K17" s="1198" t="s">
        <v>1244</v>
      </c>
      <c r="L17" s="1191"/>
      <c r="M17" s="1184"/>
    </row>
    <row r="18" spans="1:13" ht="12.2" customHeight="1" x14ac:dyDescent="0.2">
      <c r="A18" s="2412"/>
      <c r="B18" s="2413"/>
      <c r="C18" s="2413"/>
      <c r="D18" s="2413"/>
      <c r="E18" s="2413"/>
      <c r="F18" s="2414"/>
      <c r="G18" s="2422" t="str">
        <f>COVER!T21</f>
        <v>217-935-8871</v>
      </c>
      <c r="H18" s="2423"/>
      <c r="I18" s="2423"/>
      <c r="J18" s="2423"/>
      <c r="K18" s="2422" t="str">
        <f>COVER!X21</f>
        <v>217-935-5711</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Warrensburg Latham CUSD 11</v>
      </c>
      <c r="B1" s="2421"/>
      <c r="C1" s="2421"/>
      <c r="D1" s="2421"/>
    </row>
    <row r="2" spans="1:11" s="1215" customFormat="1" ht="12.75" x14ac:dyDescent="0.2">
      <c r="A2" s="2445">
        <f>'Single Audit Cover'!E7</f>
        <v>39055011026</v>
      </c>
      <c r="B2" s="2446"/>
      <c r="C2" s="2446"/>
      <c r="D2" s="2446"/>
    </row>
    <row r="3" spans="1:11" s="1215" customFormat="1" ht="12.75" x14ac:dyDescent="0.2">
      <c r="A3" s="2444" t="s">
        <v>1592</v>
      </c>
      <c r="B3" s="2421"/>
      <c r="C3" s="2421"/>
      <c r="D3" s="2421"/>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Warrensburg Latham CUSD 11</v>
      </c>
      <c r="B1" s="2448"/>
      <c r="C1" s="2448"/>
      <c r="D1" s="2448"/>
      <c r="E1" s="2448"/>
    </row>
    <row r="2" spans="1:5" x14ac:dyDescent="0.2">
      <c r="A2" s="2449">
        <f>'Single Audit Cover'!E7</f>
        <v>39055011026</v>
      </c>
      <c r="B2" s="2449"/>
      <c r="C2" s="2449"/>
      <c r="D2" s="2449"/>
      <c r="E2" s="2449"/>
    </row>
    <row r="3" spans="1:5" ht="4.5" customHeight="1" x14ac:dyDescent="0.2"/>
    <row r="4" spans="1:5" x14ac:dyDescent="0.2">
      <c r="A4" s="2448" t="s">
        <v>1306</v>
      </c>
      <c r="B4" s="2448"/>
      <c r="C4" s="2448"/>
      <c r="D4" s="2448"/>
      <c r="E4" s="2448"/>
    </row>
    <row r="5" spans="1:5" x14ac:dyDescent="0.2">
      <c r="A5" s="2451" t="str">
        <f>'Single Audit Cover'!A4</f>
        <v>Year Ending June 30, 2018</v>
      </c>
      <c r="B5" s="2451"/>
      <c r="C5" s="2451"/>
      <c r="D5" s="2451"/>
      <c r="E5" s="2451"/>
    </row>
    <row r="6" spans="1:5" x14ac:dyDescent="0.2">
      <c r="A6" s="2448" t="s">
        <v>1305</v>
      </c>
      <c r="B6" s="2448"/>
      <c r="C6" s="2448"/>
      <c r="D6" s="2448"/>
      <c r="E6" s="2448"/>
    </row>
    <row r="8" spans="1:5" x14ac:dyDescent="0.2">
      <c r="A8" s="1260" t="s">
        <v>1304</v>
      </c>
    </row>
    <row r="10" spans="1:5" x14ac:dyDescent="0.2">
      <c r="A10" s="1261" t="s">
        <v>1303</v>
      </c>
      <c r="B10" s="1262" t="s">
        <v>1302</v>
      </c>
      <c r="C10" s="1262"/>
      <c r="D10" s="1263">
        <f>SUM('Acct Summary 7-8'!C7:K7)</f>
        <v>643682</v>
      </c>
    </row>
    <row r="11" spans="1:5" ht="18" customHeight="1" x14ac:dyDescent="0.2">
      <c r="A11" s="1261" t="s">
        <v>1301</v>
      </c>
      <c r="B11" s="1262"/>
      <c r="C11" s="1262"/>
    </row>
    <row r="12" spans="1:5" x14ac:dyDescent="0.2">
      <c r="A12" s="1261" t="s">
        <v>1300</v>
      </c>
      <c r="B12" s="1262" t="s">
        <v>1299</v>
      </c>
      <c r="C12" s="1262"/>
      <c r="D12" s="1264">
        <f>SUM('Revenues 9-14'!C112:D112,'Revenues 9-14'!F112:G112)</f>
        <v>0</v>
      </c>
    </row>
    <row r="13" spans="1:5" x14ac:dyDescent="0.2">
      <c r="A13" s="1261" t="s">
        <v>1298</v>
      </c>
      <c r="B13" s="1262"/>
      <c r="C13" s="1262"/>
    </row>
    <row r="14" spans="1:5" x14ac:dyDescent="0.2">
      <c r="A14" s="1261" t="s">
        <v>1829</v>
      </c>
      <c r="B14" s="1262"/>
      <c r="C14" s="1262"/>
      <c r="D14" s="1264">
        <f>'ICR Computation 30'!E11</f>
        <v>30225</v>
      </c>
    </row>
    <row r="15" spans="1:5" x14ac:dyDescent="0.2">
      <c r="A15" s="1261"/>
      <c r="B15" s="1262"/>
      <c r="C15" s="1262"/>
    </row>
    <row r="16" spans="1:5" x14ac:dyDescent="0.2">
      <c r="A16" s="1261" t="s">
        <v>1955</v>
      </c>
      <c r="B16" s="1262"/>
      <c r="C16" s="1262"/>
    </row>
    <row r="17" spans="1:4" x14ac:dyDescent="0.2">
      <c r="A17" s="1261" t="s">
        <v>1600</v>
      </c>
      <c r="B17" s="1262" t="s">
        <v>1297</v>
      </c>
      <c r="C17" s="1262"/>
      <c r="D17" s="1264">
        <f>-SUM('Revenues 9-14'!C271:D271,'Revenues 9-14'!F271:G271)</f>
        <v>0</v>
      </c>
    </row>
    <row r="19" spans="1:4" ht="13.5" thickBot="1" x14ac:dyDescent="0.25">
      <c r="A19" s="1265" t="s">
        <v>1296</v>
      </c>
      <c r="D19" s="1266">
        <f>SUM(D10:D17)</f>
        <v>673907</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1294</v>
      </c>
      <c r="D32" s="1263">
        <f>SUM(D19:D30)</f>
        <v>673907</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1288</v>
      </c>
      <c r="C47" s="1272"/>
      <c r="D47" s="1273">
        <f>SUM(D35:D45)</f>
        <v>0</v>
      </c>
    </row>
    <row r="49" spans="2:4" x14ac:dyDescent="0.2">
      <c r="B49" s="1272" t="s">
        <v>1287</v>
      </c>
      <c r="C49" s="1272"/>
      <c r="D49" s="1273">
        <f>D32-D47</f>
        <v>673907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Warrensburg Latham CUSD 11</v>
      </c>
      <c r="B1" s="2461"/>
      <c r="C1" s="2461"/>
      <c r="D1" s="2461"/>
      <c r="E1" s="2461"/>
      <c r="F1" s="2461"/>
    </row>
    <row r="2" spans="1:7" ht="13.5" customHeight="1" x14ac:dyDescent="0.2">
      <c r="A2" s="2462">
        <f>'Single Audit Cover'!E7</f>
        <v>39055011026</v>
      </c>
      <c r="B2" s="2462"/>
      <c r="C2" s="2462"/>
      <c r="D2" s="2462"/>
      <c r="E2" s="2462"/>
      <c r="F2" s="2462"/>
      <c r="G2" s="1275"/>
    </row>
    <row r="3" spans="1:7" ht="15.75" customHeight="1" x14ac:dyDescent="0.2">
      <c r="A3" s="2463" t="s">
        <v>1332</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1830</v>
      </c>
      <c r="C6" s="317"/>
      <c r="D6" s="317"/>
    </row>
    <row r="7" spans="1:7" ht="60.95" customHeight="1" x14ac:dyDescent="0.2">
      <c r="A7" s="2460" t="s">
        <v>1831</v>
      </c>
      <c r="B7" s="2460"/>
      <c r="C7" s="2460"/>
      <c r="D7" s="2460"/>
      <c r="E7" s="2460"/>
      <c r="F7" s="2460"/>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15" customHeight="1" x14ac:dyDescent="0.2">
      <c r="A13" s="2460" t="s">
        <v>1833</v>
      </c>
      <c r="B13" s="2460"/>
      <c r="C13" s="2460"/>
      <c r="D13" s="2460"/>
      <c r="E13" s="2460"/>
      <c r="F13" s="2460"/>
    </row>
    <row r="14" spans="1:7" ht="9.75" customHeight="1" x14ac:dyDescent="0.2">
      <c r="C14" s="1260"/>
      <c r="D14" s="1260"/>
    </row>
    <row r="15" spans="1:7" ht="13.5" customHeight="1" x14ac:dyDescent="0.2">
      <c r="C15" s="1871" t="s">
        <v>1331</v>
      </c>
      <c r="D15" s="2458" t="s">
        <v>1330</v>
      </c>
      <c r="E15" s="2458"/>
      <c r="F15" s="2458"/>
    </row>
    <row r="16" spans="1:7" ht="13.5" customHeight="1" x14ac:dyDescent="0.2">
      <c r="A16" s="1282"/>
      <c r="B16" s="1276" t="s">
        <v>1329</v>
      </c>
      <c r="C16" s="1871" t="s">
        <v>1328</v>
      </c>
      <c r="D16" s="2459" t="s">
        <v>1669</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4" t="s">
        <v>1834</v>
      </c>
      <c r="B32" s="2454"/>
      <c r="C32" s="2454"/>
      <c r="D32" s="2454"/>
      <c r="E32" s="2454"/>
      <c r="F32" s="2454"/>
    </row>
    <row r="33" spans="1:6" ht="13.5" customHeight="1" x14ac:dyDescent="0.2">
      <c r="A33" s="328" t="s">
        <v>1508</v>
      </c>
      <c r="B33" s="328"/>
      <c r="C33" s="1288">
        <v>0</v>
      </c>
      <c r="D33" s="1928"/>
      <c r="E33" s="1286"/>
    </row>
    <row r="34" spans="1:6" ht="13.5" customHeight="1" x14ac:dyDescent="0.2">
      <c r="A34" s="328" t="s">
        <v>1948</v>
      </c>
      <c r="B34" s="328"/>
      <c r="C34" s="1289">
        <v>0</v>
      </c>
      <c r="D34" s="1928" t="s">
        <v>1670</v>
      </c>
      <c r="E34" s="2455">
        <f>+C33+C34</f>
        <v>0</v>
      </c>
      <c r="F34" s="2456"/>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c r="D38" s="1928"/>
      <c r="E38" s="1286"/>
    </row>
    <row r="39" spans="1:6" ht="14.25" customHeight="1" x14ac:dyDescent="0.2">
      <c r="A39" s="328"/>
      <c r="B39" s="328" t="s">
        <v>1510</v>
      </c>
      <c r="C39" s="1292"/>
      <c r="D39" s="1928"/>
      <c r="E39" s="1286"/>
    </row>
    <row r="40" spans="1:6" ht="14.25" customHeight="1" x14ac:dyDescent="0.2">
      <c r="A40" s="328"/>
      <c r="B40" s="328" t="s">
        <v>1511</v>
      </c>
      <c r="C40" s="1292"/>
      <c r="D40" s="1928"/>
      <c r="E40" s="1286"/>
    </row>
    <row r="41" spans="1:6" ht="14.25" customHeight="1" x14ac:dyDescent="0.2">
      <c r="A41" s="328"/>
      <c r="B41" s="328" t="s">
        <v>1512</v>
      </c>
      <c r="C41" s="1292"/>
      <c r="D41" s="1928"/>
      <c r="E41" s="1286"/>
    </row>
    <row r="42" spans="1:6" ht="14.25" customHeight="1" x14ac:dyDescent="0.2">
      <c r="A42" s="328" t="s">
        <v>1513</v>
      </c>
      <c r="B42" s="328"/>
      <c r="C42" s="1926"/>
      <c r="D42" s="1928"/>
      <c r="E42" s="1286"/>
    </row>
    <row r="43" spans="1:6" ht="14.25" customHeight="1" x14ac:dyDescent="0.2">
      <c r="A43" s="328" t="s">
        <v>1514</v>
      </c>
      <c r="B43" s="328"/>
      <c r="C43" s="1293"/>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1671</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1631</v>
      </c>
      <c r="C51" s="2452"/>
      <c r="D51" s="2452"/>
    </row>
    <row r="52" spans="1:5" ht="14.25" customHeight="1" x14ac:dyDescent="0.2">
      <c r="A52" s="1301"/>
      <c r="B52" s="2452"/>
      <c r="C52" s="2452"/>
      <c r="D52" s="245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1229</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1895</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7" t="s">
        <v>1730</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330</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c r="C53" s="179">
        <v>22</v>
      </c>
      <c r="D53" s="247" t="s">
        <v>1536</v>
      </c>
      <c r="E53" s="248"/>
      <c r="F53" s="249"/>
      <c r="G53" s="249" t="s">
        <v>1535</v>
      </c>
      <c r="H53" s="250"/>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1389</v>
      </c>
      <c r="B70" s="2090"/>
      <c r="C70" s="2090"/>
      <c r="D70" s="2090"/>
      <c r="E70" s="2091"/>
      <c r="F70" s="2091"/>
      <c r="G70" s="2091"/>
      <c r="H70" s="2091"/>
      <c r="I70" s="2091"/>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1386</v>
      </c>
      <c r="B83" s="2092"/>
      <c r="C83" s="2092"/>
      <c r="D83" s="2093"/>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2084</v>
      </c>
      <c r="D114" s="2083"/>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1396</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Warrensburg Latham CUSD 11</v>
      </c>
      <c r="C1" s="2465"/>
      <c r="D1" s="2465"/>
      <c r="E1" s="2465"/>
      <c r="F1" s="2465"/>
      <c r="G1" s="2465"/>
      <c r="H1" s="2465"/>
      <c r="I1" s="2465"/>
      <c r="J1" s="2465"/>
      <c r="K1" s="2465"/>
      <c r="L1" s="2465"/>
      <c r="M1" s="2465"/>
    </row>
    <row r="2" spans="2:14" ht="15" x14ac:dyDescent="0.2">
      <c r="B2" s="2462">
        <f>'Single Audit Cover'!E7</f>
        <v>39055011026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1836</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1949</v>
      </c>
      <c r="K8" s="1319" t="s">
        <v>1322</v>
      </c>
      <c r="L8" s="1320" t="s">
        <v>1318</v>
      </c>
      <c r="M8" s="1321" t="s">
        <v>30</v>
      </c>
    </row>
    <row r="9" spans="2:14" ht="14.25" x14ac:dyDescent="0.2">
      <c r="B9" s="1325" t="s">
        <v>1320</v>
      </c>
      <c r="C9" s="1313" t="s">
        <v>1837</v>
      </c>
      <c r="D9" s="1314" t="s">
        <v>1838</v>
      </c>
      <c r="E9" s="1322" t="s">
        <v>1662</v>
      </c>
      <c r="F9" s="1323" t="s">
        <v>1949</v>
      </c>
      <c r="G9" s="1324" t="s">
        <v>1662</v>
      </c>
      <c r="H9" s="1317" t="s">
        <v>1663</v>
      </c>
      <c r="I9" s="1319" t="s">
        <v>1949</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1230</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1839</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1840</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1841</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1842</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1843</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Warrensburg Latham CUSD 11</v>
      </c>
      <c r="C1" s="2480"/>
      <c r="D1" s="2480"/>
      <c r="E1" s="2480"/>
      <c r="F1" s="2480"/>
      <c r="G1" s="2480"/>
      <c r="H1" s="2480"/>
      <c r="I1" s="2480"/>
      <c r="J1" s="1422"/>
    </row>
    <row r="2" spans="2:10" s="317" customFormat="1" ht="12.75" customHeight="1" x14ac:dyDescent="0.2">
      <c r="B2" s="2481">
        <f>'Single Audit Cover'!E7</f>
        <v>39055011026</v>
      </c>
      <c r="C2" s="2482"/>
      <c r="D2" s="2482"/>
      <c r="E2" s="2482"/>
      <c r="F2" s="2482"/>
      <c r="G2" s="2482"/>
      <c r="H2" s="2482"/>
      <c r="I2" s="2482"/>
      <c r="J2" s="1422"/>
    </row>
    <row r="3" spans="2:10" s="317" customFormat="1" ht="12.75" customHeight="1" x14ac:dyDescent="0.2">
      <c r="B3" s="2483" t="s">
        <v>1346</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1345</v>
      </c>
      <c r="C7" s="2484"/>
      <c r="D7" s="2484"/>
      <c r="E7" s="2484"/>
      <c r="F7" s="2484"/>
      <c r="G7" s="2484"/>
      <c r="H7" s="2484"/>
      <c r="I7" s="2484"/>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5"/>
      <c r="D11" s="2485"/>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6"/>
      <c r="E29" s="2486"/>
      <c r="F29" s="2486"/>
      <c r="G29" s="2486"/>
      <c r="H29" s="2486"/>
      <c r="I29" s="2486"/>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7" t="s">
        <v>1853</v>
      </c>
      <c r="D37" s="2488"/>
      <c r="E37" s="2488"/>
      <c r="F37" s="2489"/>
      <c r="G37" s="2487" t="s">
        <v>1673</v>
      </c>
      <c r="H37" s="2488"/>
      <c r="I37" s="2489"/>
    </row>
    <row r="38" spans="2:9" ht="16.5" customHeight="1" x14ac:dyDescent="0.2">
      <c r="B38" s="1444"/>
      <c r="C38" s="2475"/>
      <c r="D38" s="2476"/>
      <c r="E38" s="2476"/>
      <c r="F38" s="2477"/>
      <c r="G38" s="2490"/>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1674</v>
      </c>
      <c r="D43" s="2469"/>
      <c r="E43" s="2469"/>
      <c r="F43" s="2470"/>
      <c r="G43" s="2471">
        <f>SUM(G38:I42)</f>
        <v>0</v>
      </c>
      <c r="H43" s="2471"/>
      <c r="I43" s="2471"/>
    </row>
    <row r="44" spans="2:9" ht="12.75" customHeight="1" x14ac:dyDescent="0.2"/>
    <row r="45" spans="2:9" ht="12.75" customHeight="1" x14ac:dyDescent="0.2">
      <c r="B45" s="1435" t="s">
        <v>1951</v>
      </c>
      <c r="D45" s="2472">
        <v>0</v>
      </c>
      <c r="E45" s="2473"/>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74"/>
      <c r="F49" s="2474"/>
      <c r="G49" s="2474"/>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1678</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Warrensburg Latham CUSD 11</v>
      </c>
      <c r="C1" s="2479"/>
      <c r="D1" s="2479"/>
      <c r="E1" s="2479"/>
      <c r="F1" s="2479"/>
      <c r="G1" s="2479"/>
      <c r="H1" s="2479"/>
      <c r="I1" s="2479"/>
      <c r="J1" s="2479"/>
      <c r="K1" s="2479"/>
      <c r="L1" s="1374"/>
      <c r="M1" s="1374"/>
    </row>
    <row r="2" spans="1:13" ht="12" customHeight="1" x14ac:dyDescent="0.2">
      <c r="B2" s="2481">
        <f>'Single Audit Cover'!E7</f>
        <v>39055011026</v>
      </c>
      <c r="C2" s="2481"/>
      <c r="D2" s="2481"/>
      <c r="E2" s="2481"/>
      <c r="F2" s="2481"/>
      <c r="G2" s="2481"/>
      <c r="H2" s="2481"/>
      <c r="I2" s="2481"/>
      <c r="J2" s="2481"/>
      <c r="K2" s="2481"/>
      <c r="L2" s="1375"/>
      <c r="M2" s="1376"/>
    </row>
    <row r="3" spans="1:13" ht="10.35" customHeight="1" x14ac:dyDescent="0.2">
      <c r="B3" s="2495" t="s">
        <v>1346</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1362</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4"/>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4"/>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8"/>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4"/>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4"/>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3"/>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3"/>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1347</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Warrensburg Latham CUSD 11</v>
      </c>
      <c r="C1" s="2502"/>
      <c r="D1" s="2502"/>
      <c r="E1" s="2502"/>
      <c r="F1" s="2502"/>
      <c r="G1" s="2502"/>
      <c r="H1" s="2502"/>
      <c r="I1" s="2502"/>
      <c r="J1" s="2502"/>
      <c r="K1" s="2502"/>
      <c r="L1" s="1465"/>
    </row>
    <row r="2" spans="1:12" ht="12.75" customHeight="1" x14ac:dyDescent="0.2">
      <c r="B2" s="2503">
        <f>'Single Audit Cover'!E7</f>
        <v>39055011026</v>
      </c>
      <c r="C2" s="2503"/>
      <c r="D2" s="2503"/>
      <c r="E2" s="2503"/>
      <c r="F2" s="2503"/>
      <c r="G2" s="2503"/>
      <c r="H2" s="2503"/>
      <c r="I2" s="2503"/>
      <c r="J2" s="2503"/>
      <c r="K2" s="2503"/>
      <c r="L2" s="1466"/>
    </row>
    <row r="3" spans="1:12" ht="12.75" customHeight="1" x14ac:dyDescent="0.2">
      <c r="B3" s="2495" t="s">
        <v>1346</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1230</v>
      </c>
      <c r="C5" s="1260"/>
      <c r="L5" s="322"/>
    </row>
    <row r="6" spans="1:12" ht="30.75" customHeight="1" x14ac:dyDescent="0.2">
      <c r="A6" s="322"/>
      <c r="B6" s="2504" t="s">
        <v>1374</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9"/>
      <c r="E14" s="2499"/>
      <c r="F14" s="2499"/>
      <c r="H14" s="1475" t="s">
        <v>1369</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0"/>
      <c r="E16" s="2500"/>
      <c r="F16" s="2500"/>
      <c r="G16" s="2500"/>
      <c r="H16" s="2500"/>
      <c r="I16" s="2500"/>
      <c r="J16" s="2500"/>
      <c r="K16" s="2500"/>
      <c r="L16" s="322"/>
    </row>
    <row r="17" spans="2:12" ht="13.5" customHeight="1" x14ac:dyDescent="0.2">
      <c r="B17" s="1387" t="s">
        <v>1367</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4"/>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4"/>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4"/>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4"/>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4"/>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4"/>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4"/>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4"/>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Warrensburg Latham CUSD 11</v>
      </c>
      <c r="C1" s="2479"/>
      <c r="D1" s="2479"/>
      <c r="E1" s="1491"/>
    </row>
    <row r="2" spans="2:5" s="1282" customFormat="1" ht="12.75" customHeight="1" x14ac:dyDescent="0.2">
      <c r="B2" s="2481">
        <f>'Single Audit Cover'!E7</f>
        <v>39055011026</v>
      </c>
      <c r="C2" s="2481"/>
      <c r="D2" s="2481"/>
      <c r="E2" s="1492"/>
    </row>
    <row r="3" spans="2:5" ht="12.75" customHeight="1" x14ac:dyDescent="0.2">
      <c r="B3" s="2495" t="s">
        <v>1868</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1869</v>
      </c>
      <c r="C5" s="328"/>
      <c r="D5" s="328"/>
      <c r="E5" s="328"/>
    </row>
    <row r="6" spans="2:5" s="1282" customFormat="1" ht="13.5" customHeight="1" x14ac:dyDescent="0.2">
      <c r="B6" s="1495" t="s">
        <v>1381</v>
      </c>
      <c r="C6" s="1495" t="s">
        <v>1380</v>
      </c>
      <c r="D6" s="1495" t="s">
        <v>1870</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1871</v>
      </c>
    </row>
    <row r="46" spans="2:5" ht="12.2" customHeight="1" x14ac:dyDescent="0.2">
      <c r="B46" s="1505" t="s">
        <v>1872</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403</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130641586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2.3300000000000001E-2</v>
      </c>
      <c r="E10" s="356" t="s">
        <v>1061</v>
      </c>
      <c r="F10" s="355">
        <v>5.0000000000000001E-3</v>
      </c>
      <c r="G10" s="356" t="s">
        <v>1061</v>
      </c>
      <c r="H10" s="355">
        <v>2E-3</v>
      </c>
      <c r="I10" s="356" t="s">
        <v>1062</v>
      </c>
      <c r="J10" s="1754">
        <f>ROUND(D10+F10+H10,5)</f>
        <v>3.0300000000000001E-2</v>
      </c>
      <c r="K10" s="222"/>
      <c r="L10" s="355">
        <v>5.0000000000000001E-4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8024601</v>
      </c>
      <c r="E16" s="356"/>
      <c r="F16" s="1755">
        <f>SUM('Acct Summary 7-8'!C17,'Acct Summary 7-8'!D17,'Acct Summary 7-8'!F17)</f>
        <v>7937209</v>
      </c>
      <c r="G16" s="356"/>
      <c r="H16" s="1755">
        <f>SUM(D16-F16)</f>
        <v>87392</v>
      </c>
      <c r="I16" s="222"/>
      <c r="J16" s="1755">
        <f>SUM('Acct Summary 7-8'!C81,'Acct Summary 7-8'!D81,'Acct Summary 7-8'!F81,'Acct Summary 7-8'!I81)</f>
        <v>3414592</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18028538.868000001</v>
      </c>
      <c r="I31" s="368"/>
      <c r="J31" s="222"/>
      <c r="K31" s="222"/>
      <c r="L31" s="222"/>
      <c r="M31" s="222"/>
    </row>
    <row r="32" spans="1:13" ht="13.35" customHeight="1" x14ac:dyDescent="0.2">
      <c r="B32" s="369" t="s">
        <v>2076</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10215000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576</v>
      </c>
      <c r="B2" s="2122"/>
      <c r="C2" s="2122"/>
      <c r="D2" s="2122"/>
      <c r="E2" s="2122"/>
      <c r="F2" s="2122"/>
      <c r="G2" s="2122"/>
      <c r="H2" s="2122"/>
      <c r="I2" s="2122"/>
      <c r="J2" s="2122"/>
      <c r="K2" s="2122"/>
      <c r="L2" s="2122"/>
      <c r="M2" s="2122"/>
      <c r="N2" s="2122"/>
      <c r="O2" s="2122"/>
      <c r="P2" s="2122"/>
      <c r="Q2" s="2122"/>
      <c r="R2" s="2122"/>
    </row>
    <row r="3" spans="1:18" ht="12.75" x14ac:dyDescent="0.2">
      <c r="A3" s="2123" t="s">
        <v>1479</v>
      </c>
      <c r="B3" s="2123"/>
      <c r="C3" s="2123"/>
      <c r="D3" s="2123"/>
      <c r="E3" s="2123"/>
      <c r="F3" s="2123"/>
      <c r="G3" s="2123"/>
      <c r="H3" s="2123"/>
      <c r="I3" s="2123"/>
      <c r="J3" s="2123"/>
      <c r="K3" s="2123"/>
      <c r="L3" s="2123"/>
      <c r="M3" s="2123"/>
      <c r="N3" s="2123"/>
      <c r="O3" s="2123"/>
      <c r="P3" s="2123"/>
      <c r="Q3" s="2123"/>
      <c r="R3" s="2123"/>
    </row>
    <row r="4" spans="1:18" x14ac:dyDescent="0.2">
      <c r="A4" s="2124" t="s">
        <v>1634</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Warrensburg Latham CUSD 11</v>
      </c>
      <c r="E7" s="391"/>
      <c r="G7" s="252"/>
      <c r="H7" s="387"/>
      <c r="I7" s="387"/>
      <c r="J7" s="387"/>
      <c r="K7" s="387"/>
      <c r="L7" s="329"/>
      <c r="M7" s="329"/>
      <c r="N7" s="329"/>
      <c r="O7" s="329"/>
      <c r="P7" s="329"/>
    </row>
    <row r="8" spans="1:18" ht="12.75" x14ac:dyDescent="0.2">
      <c r="A8" s="329"/>
      <c r="B8" s="329"/>
      <c r="C8" s="389" t="s">
        <v>1186</v>
      </c>
      <c r="D8" s="392">
        <f>COVER!A13</f>
        <v>39055011026</v>
      </c>
      <c r="E8" s="393"/>
      <c r="G8" s="329"/>
      <c r="H8" s="329"/>
      <c r="I8" s="329"/>
      <c r="J8" s="329"/>
      <c r="K8" s="329"/>
      <c r="L8" s="329"/>
      <c r="M8" s="329"/>
      <c r="N8" s="329"/>
      <c r="O8" s="329"/>
      <c r="P8" s="329"/>
    </row>
    <row r="9" spans="1:18" ht="12.75" x14ac:dyDescent="0.2">
      <c r="A9" s="329"/>
      <c r="B9" s="329"/>
      <c r="C9" s="389" t="s">
        <v>736</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3414592</v>
      </c>
      <c r="I12" s="404"/>
      <c r="J12" s="404"/>
      <c r="K12" s="405">
        <f>TRUNC((H12/H13*100000),5)/100000</f>
        <v>0.428947774</v>
      </c>
      <c r="L12" s="406"/>
      <c r="M12" s="360" t="s">
        <v>1205</v>
      </c>
      <c r="N12" s="360"/>
      <c r="O12" s="407">
        <v>0.35</v>
      </c>
      <c r="P12" s="218"/>
      <c r="Q12" s="218"/>
    </row>
    <row r="13" spans="1:18" s="408" customFormat="1" ht="12.75" x14ac:dyDescent="0.2">
      <c r="A13" s="218"/>
      <c r="B13" s="401"/>
      <c r="C13" s="2120" t="s">
        <v>1390</v>
      </c>
      <c r="D13" s="2121"/>
      <c r="E13" s="218"/>
      <c r="F13" s="409" t="s">
        <v>825</v>
      </c>
      <c r="G13" s="402"/>
      <c r="H13" s="403">
        <f>SUM('Acct Summary 7-8'!C8+'Acct Summary 7-8'!D8+'Acct Summary 7-8'!F8+'Acct Summary 7-8'!I8)+H14</f>
        <v>7960391</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-64210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7937209</v>
      </c>
      <c r="I17" s="404"/>
      <c r="J17" s="416"/>
      <c r="K17" s="405">
        <f>TRUNC((H17/H18*100000),5)/100000</f>
        <v>0.99708783140000001</v>
      </c>
      <c r="L17" s="406"/>
      <c r="M17" s="417" t="s">
        <v>1232</v>
      </c>
      <c r="O17" s="418" t="str">
        <f>IF(AND(O16="2", J20 &gt; 2),"1",IF(AND(O16 = "1", J20 &gt; 2),"2",IF(AND(O16="1", J20 &gt;1),"1","0")))</f>
        <v>0</v>
      </c>
      <c r="P17" s="218"/>
    </row>
    <row r="18" spans="1:18" s="408" customFormat="1" ht="11.25" x14ac:dyDescent="0.2">
      <c r="A18" s="218"/>
      <c r="B18" s="401"/>
      <c r="C18" s="2120" t="s">
        <v>1383</v>
      </c>
      <c r="D18" s="2121"/>
      <c r="E18" s="218"/>
      <c r="F18" s="419" t="s">
        <v>826</v>
      </c>
      <c r="G18" s="402"/>
      <c r="H18" s="403">
        <f>SUM('Acct Summary 7-8'!C8+'Acct Summary 7-8'!D8+'Acct Summary 7-8'!F8+'Acct Summary 7-8'!I8)+H19</f>
        <v>7960391</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-64210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17" t="s">
        <v>1478</v>
      </c>
      <c r="D24" s="2117"/>
      <c r="E24" s="218"/>
      <c r="F24" s="218" t="s">
        <v>464</v>
      </c>
      <c r="G24" s="402"/>
      <c r="H24" s="403">
        <f>SUM('Assets-Liab 5-6'!C4+'Assets-Liab 5-6'!D4+'Assets-Liab 5-6'!F4+'Assets-Liab 5-6'!I4+'Assets-Liab 5-6'!C5+'Assets-Liab 5-6'!D5+'Assets-Liab 5-6'!F5+'Assets-Liab 5-6'!I5)</f>
        <v>3414592</v>
      </c>
      <c r="I24" s="422"/>
      <c r="J24" s="422"/>
      <c r="K24" s="423">
        <f>TRUNC(((H24/H25*100000)/100000),2)</f>
        <v>154.87</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22047.802780000002</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2071</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3364674.0474299998</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t="str">
        <f>IF(K32&gt;=75,"4",IF(K32&gt;=50,"3",IF(K32&gt;=25,"2",1)))</f>
        <v>2</v>
      </c>
      <c r="P31" s="216"/>
    </row>
    <row r="32" spans="1:18" s="408" customFormat="1" ht="11.25" x14ac:dyDescent="0.2">
      <c r="A32" s="218"/>
      <c r="B32" s="401"/>
      <c r="C32" s="218" t="s">
        <v>901</v>
      </c>
      <c r="D32" s="218"/>
      <c r="E32" s="218"/>
      <c r="F32" s="218"/>
      <c r="G32" s="402"/>
      <c r="H32" s="403">
        <f>'FP Info 3'!H37</f>
        <v>10215000</v>
      </c>
      <c r="I32" s="420"/>
      <c r="J32" s="420"/>
      <c r="K32" s="423">
        <f>TRUNC(100-((((H32/H33*100))*100)/100),2)</f>
        <v>43.33</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18028538.868000001</v>
      </c>
      <c r="I33" s="420"/>
      <c r="J33" s="420"/>
      <c r="K33" s="403"/>
      <c r="L33" s="218"/>
      <c r="M33" s="435" t="s">
        <v>1206</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A47" sqref="A47"/>
      <selection pane="bottomLeft" activeCell="E40" sqref="E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7" t="s">
        <v>1029</v>
      </c>
      <c r="B3" s="2128"/>
      <c r="C3" s="1581"/>
      <c r="D3" s="1582"/>
      <c r="E3" s="1582"/>
      <c r="F3" s="1582"/>
      <c r="G3" s="1582"/>
      <c r="H3" s="1582"/>
      <c r="I3" s="1582"/>
      <c r="J3" s="1582"/>
      <c r="K3" s="1582"/>
      <c r="L3" s="1582"/>
      <c r="M3" s="1583"/>
      <c r="N3" s="1584"/>
    </row>
    <row r="4" spans="1:14" ht="13.5" customHeight="1" x14ac:dyDescent="0.2">
      <c r="A4" s="463" t="s">
        <v>1749</v>
      </c>
      <c r="B4" s="464"/>
      <c r="C4" s="465">
        <v>175867</v>
      </c>
      <c r="D4" s="466">
        <v>10536</v>
      </c>
      <c r="E4" s="466">
        <v>3</v>
      </c>
      <c r="F4" s="466">
        <v>10210</v>
      </c>
      <c r="G4" s="466">
        <v>5141</v>
      </c>
      <c r="H4" s="466">
        <v>7</v>
      </c>
      <c r="I4" s="466">
        <v>3</v>
      </c>
      <c r="J4" s="467">
        <v>3</v>
      </c>
      <c r="K4" s="466"/>
      <c r="L4" s="466">
        <v>107993</v>
      </c>
      <c r="M4" s="468"/>
      <c r="N4" s="469"/>
    </row>
    <row r="5" spans="1:14" x14ac:dyDescent="0.2">
      <c r="A5" s="463" t="s">
        <v>1048</v>
      </c>
      <c r="B5" s="470">
        <v>120</v>
      </c>
      <c r="C5" s="465">
        <v>1165530</v>
      </c>
      <c r="D5" s="466">
        <v>293734</v>
      </c>
      <c r="E5" s="466">
        <v>615545</v>
      </c>
      <c r="F5" s="466">
        <v>610699</v>
      </c>
      <c r="G5" s="466">
        <v>68183</v>
      </c>
      <c r="H5" s="466">
        <v>1989680</v>
      </c>
      <c r="I5" s="466">
        <v>1148013</v>
      </c>
      <c r="J5" s="467">
        <v>126144</v>
      </c>
      <c r="K5" s="471">
        <v>408942</v>
      </c>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1341397</v>
      </c>
      <c r="D13" s="1759">
        <f t="shared" ref="D13:L13" si="0">SUM(D4:D12)</f>
        <v>304270</v>
      </c>
      <c r="E13" s="1759">
        <f t="shared" si="0"/>
        <v>615548</v>
      </c>
      <c r="F13" s="1759">
        <f t="shared" si="0"/>
        <v>620909</v>
      </c>
      <c r="G13" s="1759">
        <f t="shared" si="0"/>
        <v>73324</v>
      </c>
      <c r="H13" s="1759">
        <f t="shared" si="0"/>
        <v>1989687</v>
      </c>
      <c r="I13" s="1759">
        <f t="shared" si="0"/>
        <v>1148016</v>
      </c>
      <c r="J13" s="1759">
        <f t="shared" si="0"/>
        <v>126147</v>
      </c>
      <c r="K13" s="1759">
        <f t="shared" si="0"/>
        <v>408942</v>
      </c>
      <c r="L13" s="1759">
        <f t="shared" si="0"/>
        <v>107993</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376107</v>
      </c>
      <c r="N16" s="484"/>
    </row>
    <row r="17" spans="1:14" s="485" customFormat="1" ht="12.75" customHeight="1" x14ac:dyDescent="0.2">
      <c r="A17" s="482" t="s">
        <v>1469</v>
      </c>
      <c r="B17" s="483">
        <v>230</v>
      </c>
      <c r="C17" s="477"/>
      <c r="D17" s="477"/>
      <c r="E17" s="477"/>
      <c r="F17" s="477"/>
      <c r="G17" s="477"/>
      <c r="H17" s="477"/>
      <c r="I17" s="477"/>
      <c r="J17" s="477"/>
      <c r="K17" s="477"/>
      <c r="L17" s="477"/>
      <c r="M17" s="467">
        <v>33510187</v>
      </c>
      <c r="N17" s="484"/>
    </row>
    <row r="18" spans="1:14" s="485" customFormat="1" ht="12.75" customHeight="1" x14ac:dyDescent="0.2">
      <c r="A18" s="482" t="s">
        <v>1470</v>
      </c>
      <c r="B18" s="483">
        <v>240</v>
      </c>
      <c r="C18" s="477"/>
      <c r="D18" s="477"/>
      <c r="E18" s="477"/>
      <c r="F18" s="477"/>
      <c r="G18" s="477"/>
      <c r="H18" s="477"/>
      <c r="I18" s="477"/>
      <c r="J18" s="477"/>
      <c r="K18" s="477"/>
      <c r="L18" s="477"/>
      <c r="M18" s="467">
        <v>2695555</v>
      </c>
      <c r="N18" s="484"/>
    </row>
    <row r="19" spans="1:14" s="485" customFormat="1" ht="12.75" customHeight="1" x14ac:dyDescent="0.2">
      <c r="A19" s="482" t="s">
        <v>1471</v>
      </c>
      <c r="B19" s="483">
        <v>250</v>
      </c>
      <c r="C19" s="477"/>
      <c r="D19" s="477"/>
      <c r="E19" s="477"/>
      <c r="F19" s="477"/>
      <c r="G19" s="477"/>
      <c r="H19" s="477"/>
      <c r="I19" s="477"/>
      <c r="J19" s="477"/>
      <c r="K19" s="477"/>
      <c r="L19" s="477"/>
      <c r="M19" s="467"/>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615548</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9599452</v>
      </c>
    </row>
    <row r="23" spans="1:14" ht="13.5" customHeight="1" thickBot="1" x14ac:dyDescent="0.25">
      <c r="A23" s="1758" t="s">
        <v>663</v>
      </c>
      <c r="B23" s="1763"/>
      <c r="C23" s="468"/>
      <c r="D23" s="468"/>
      <c r="E23" s="468"/>
      <c r="F23" s="468"/>
      <c r="G23" s="468"/>
      <c r="H23" s="468"/>
      <c r="I23" s="468"/>
      <c r="J23" s="468"/>
      <c r="K23" s="468"/>
      <c r="L23" s="468"/>
      <c r="M23" s="1710">
        <f>SUM(M15:M22)</f>
        <v>36581849</v>
      </c>
      <c r="N23" s="1710">
        <f>SUM(N21:N22)</f>
        <v>10215000</v>
      </c>
    </row>
    <row r="24" spans="1:14" ht="18" customHeight="1" thickTop="1" x14ac:dyDescent="0.2">
      <c r="A24" s="2131" t="s">
        <v>618</v>
      </c>
      <c r="B24" s="2132"/>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107993</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107993</v>
      </c>
      <c r="M34" s="468"/>
      <c r="N34" s="480"/>
    </row>
    <row r="35" spans="1:14" ht="18" customHeight="1" thickTop="1" x14ac:dyDescent="0.2">
      <c r="A35" s="2133" t="s">
        <v>549</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10215000</v>
      </c>
    </row>
    <row r="37" spans="1:14" ht="13.5" thickBot="1" x14ac:dyDescent="0.25">
      <c r="A37" s="1758" t="s">
        <v>673</v>
      </c>
      <c r="B37" s="1763"/>
      <c r="C37" s="477"/>
      <c r="D37" s="477"/>
      <c r="E37" s="477"/>
      <c r="F37" s="477"/>
      <c r="G37" s="477"/>
      <c r="H37" s="477"/>
      <c r="I37" s="477"/>
      <c r="J37" s="477"/>
      <c r="K37" s="477"/>
      <c r="L37" s="480"/>
      <c r="M37" s="468"/>
      <c r="N37" s="1710">
        <f>SUM(N36:N36)</f>
        <v>10215000</v>
      </c>
    </row>
    <row r="38" spans="1:14" s="329" customFormat="1" ht="13.5" customHeight="1" thickTop="1" x14ac:dyDescent="0.2">
      <c r="A38" s="496" t="s">
        <v>439</v>
      </c>
      <c r="B38" s="483">
        <v>714</v>
      </c>
      <c r="C38" s="466"/>
      <c r="D38" s="466"/>
      <c r="E38" s="466">
        <v>64797</v>
      </c>
      <c r="F38" s="466"/>
      <c r="G38" s="466"/>
      <c r="H38" s="466"/>
      <c r="I38" s="466"/>
      <c r="J38" s="467"/>
      <c r="K38" s="466"/>
      <c r="L38" s="481"/>
      <c r="M38" s="497"/>
      <c r="N38" s="497"/>
    </row>
    <row r="39" spans="1:14" s="329" customFormat="1" ht="13.5" customHeight="1" x14ac:dyDescent="0.2">
      <c r="A39" s="496" t="s">
        <v>359</v>
      </c>
      <c r="B39" s="483">
        <v>730</v>
      </c>
      <c r="C39" s="466">
        <v>1341397</v>
      </c>
      <c r="D39" s="466">
        <v>304270</v>
      </c>
      <c r="E39" s="466">
        <v>550751</v>
      </c>
      <c r="F39" s="466">
        <v>620909</v>
      </c>
      <c r="G39" s="466">
        <v>73324</v>
      </c>
      <c r="H39" s="466">
        <v>1989687</v>
      </c>
      <c r="I39" s="466">
        <v>1148016</v>
      </c>
      <c r="J39" s="467">
        <v>126147</v>
      </c>
      <c r="K39" s="466">
        <v>408942</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36581849</v>
      </c>
      <c r="N40" s="497"/>
    </row>
    <row r="41" spans="1:14" ht="13.5" customHeight="1" thickBot="1" x14ac:dyDescent="0.25">
      <c r="A41" s="1758" t="s">
        <v>675</v>
      </c>
      <c r="B41" s="1728"/>
      <c r="C41" s="1710">
        <f>(SUM(C34,C37,C38,C39))</f>
        <v>1341397</v>
      </c>
      <c r="D41" s="1710">
        <f t="shared" ref="D41:L41" si="2">SUM(D34,D37,D38:D39)</f>
        <v>304270</v>
      </c>
      <c r="E41" s="1710">
        <f t="shared" si="2"/>
        <v>615548</v>
      </c>
      <c r="F41" s="1710">
        <f t="shared" si="2"/>
        <v>620909</v>
      </c>
      <c r="G41" s="1710">
        <f t="shared" si="2"/>
        <v>73324</v>
      </c>
      <c r="H41" s="1710">
        <f t="shared" si="2"/>
        <v>1989687</v>
      </c>
      <c r="I41" s="1710">
        <f t="shared" si="2"/>
        <v>1148016</v>
      </c>
      <c r="J41" s="1710">
        <f t="shared" si="2"/>
        <v>126147</v>
      </c>
      <c r="K41" s="1710">
        <f t="shared" si="2"/>
        <v>408942</v>
      </c>
      <c r="L41" s="1710">
        <f t="shared" si="2"/>
        <v>107993</v>
      </c>
      <c r="M41" s="1710">
        <f>SUM(M40)</f>
        <v>36581849</v>
      </c>
      <c r="N41" s="1710">
        <f>SUM(N37)</f>
        <v>10215000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3"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5" t="s">
        <v>1236</v>
      </c>
      <c r="B3" s="2156"/>
      <c r="C3" s="1595"/>
      <c r="D3" s="1596"/>
      <c r="E3" s="1596"/>
      <c r="F3" s="1596"/>
      <c r="G3" s="1596"/>
      <c r="H3" s="1596"/>
      <c r="I3" s="1596"/>
      <c r="J3" s="1596"/>
      <c r="K3" s="1597"/>
      <c r="L3" s="506"/>
    </row>
    <row r="4" spans="1:13" ht="15.75" customHeight="1" x14ac:dyDescent="0.2">
      <c r="A4" s="1954" t="s">
        <v>1578</v>
      </c>
      <c r="B4" s="1955">
        <v>1000</v>
      </c>
      <c r="C4" s="1764">
        <f>'Revenues 9-14'!C109</f>
        <v>3747503</v>
      </c>
      <c r="D4" s="1764">
        <f>'Revenues 9-14'!D109</f>
        <v>679097</v>
      </c>
      <c r="E4" s="1764">
        <f>'Revenues 9-14'!E109</f>
        <v>1308871</v>
      </c>
      <c r="F4" s="1764">
        <f>'Revenues 9-14'!F109</f>
        <v>268755</v>
      </c>
      <c r="G4" s="1764">
        <f>'Revenues 9-14'!G109</f>
        <v>203413</v>
      </c>
      <c r="H4" s="1764">
        <f>'Revenues 9-14'!H109</f>
        <v>452413</v>
      </c>
      <c r="I4" s="1764">
        <f>'Revenues 9-14'!I109</f>
        <v>77800</v>
      </c>
      <c r="J4" s="1764">
        <f>'Revenues 9-14'!J109</f>
        <v>406327</v>
      </c>
      <c r="K4" s="1764">
        <f>'Revenues 9-14'!K109</f>
        <v>69457</v>
      </c>
      <c r="L4" s="347"/>
    </row>
    <row r="5" spans="1:13" ht="15.75" customHeight="1" x14ac:dyDescent="0.2">
      <c r="A5" s="1598" t="s">
        <v>1579</v>
      </c>
      <c r="B5" s="1599">
        <v>2000</v>
      </c>
      <c r="C5" s="1765">
        <f>'Revenues 9-14'!C114</f>
        <v>0</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2294594</v>
      </c>
      <c r="D6" s="1765">
        <f>'Revenues 9-14'!D173</f>
        <v>0</v>
      </c>
      <c r="E6" s="1765">
        <f>'Revenues 9-14'!E173</f>
        <v>0</v>
      </c>
      <c r="F6" s="1765">
        <f>'Revenues 9-14'!F173</f>
        <v>313170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643682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6685779</v>
      </c>
      <c r="D8" s="1710">
        <f t="shared" ref="D8:K8" si="0">SUM(D4:D7)</f>
        <v>679097</v>
      </c>
      <c r="E8" s="1710">
        <f t="shared" si="0"/>
        <v>1308871</v>
      </c>
      <c r="F8" s="1710">
        <f t="shared" si="0"/>
        <v>581925</v>
      </c>
      <c r="G8" s="1710">
        <f t="shared" si="0"/>
        <v>203413</v>
      </c>
      <c r="H8" s="1710">
        <f t="shared" si="0"/>
        <v>452413</v>
      </c>
      <c r="I8" s="1710">
        <f t="shared" si="0"/>
        <v>77800</v>
      </c>
      <c r="J8" s="1710">
        <f t="shared" si="0"/>
        <v>406327</v>
      </c>
      <c r="K8" s="1710">
        <f t="shared" si="0"/>
        <v>69457</v>
      </c>
      <c r="L8" s="347"/>
    </row>
    <row r="9" spans="1:13" ht="15.75" thickTop="1" x14ac:dyDescent="0.2">
      <c r="A9" s="514" t="s">
        <v>1751</v>
      </c>
      <c r="B9" s="515">
        <v>3998</v>
      </c>
      <c r="C9" s="481">
        <v>3367131</v>
      </c>
      <c r="D9" s="516"/>
      <c r="E9" s="481"/>
      <c r="F9" s="481"/>
      <c r="G9" s="517"/>
      <c r="H9" s="481"/>
      <c r="I9" s="509" t="s">
        <v>1230</v>
      </c>
      <c r="J9" s="478"/>
      <c r="K9" s="481"/>
      <c r="L9" s="347"/>
    </row>
    <row r="10" spans="1:13" s="519" customFormat="1" ht="13.5" thickBot="1" x14ac:dyDescent="0.25">
      <c r="A10" s="1758" t="s">
        <v>1234</v>
      </c>
      <c r="B10" s="1731"/>
      <c r="C10" s="1710">
        <f>SUM(C8:C9)</f>
        <v>10052910</v>
      </c>
      <c r="D10" s="1710">
        <f t="shared" ref="D10:K10" si="1">SUM(D8:D9)</f>
        <v>679097</v>
      </c>
      <c r="E10" s="1710">
        <f t="shared" si="1"/>
        <v>1308871</v>
      </c>
      <c r="F10" s="1710">
        <f t="shared" si="1"/>
        <v>581925</v>
      </c>
      <c r="G10" s="1710">
        <f t="shared" si="1"/>
        <v>203413</v>
      </c>
      <c r="H10" s="1710">
        <f t="shared" si="1"/>
        <v>452413</v>
      </c>
      <c r="I10" s="1710">
        <f t="shared" si="1"/>
        <v>77800</v>
      </c>
      <c r="J10" s="1710">
        <f t="shared" si="1"/>
        <v>406327</v>
      </c>
      <c r="K10" s="1710">
        <f t="shared" si="1"/>
        <v>69457</v>
      </c>
      <c r="L10" s="518"/>
    </row>
    <row r="11" spans="1:13" s="519" customFormat="1" ht="16.7" customHeight="1" thickTop="1" x14ac:dyDescent="0.2">
      <c r="A11" s="2129" t="s">
        <v>1237</v>
      </c>
      <c r="B11" s="2130"/>
      <c r="C11" s="1592"/>
      <c r="D11" s="1593"/>
      <c r="E11" s="1593"/>
      <c r="F11" s="1593"/>
      <c r="G11" s="1593"/>
      <c r="H11" s="1593"/>
      <c r="I11" s="1593"/>
      <c r="J11" s="1593"/>
      <c r="K11" s="1594"/>
      <c r="L11" s="518"/>
    </row>
    <row r="12" spans="1:13" ht="15.75" customHeight="1" x14ac:dyDescent="0.2">
      <c r="A12" s="1598" t="s">
        <v>475</v>
      </c>
      <c r="B12" s="1600">
        <v>1000</v>
      </c>
      <c r="C12" s="1764">
        <f>'Expenditures 15-22'!K33</f>
        <v>4626992</v>
      </c>
      <c r="D12" s="520" t="s">
        <v>1230</v>
      </c>
      <c r="E12" s="468" t="s">
        <v>1230</v>
      </c>
      <c r="F12" s="468" t="s">
        <v>1230</v>
      </c>
      <c r="G12" s="1764">
        <f>'Expenditures 15-22'!K229</f>
        <v>63889</v>
      </c>
      <c r="H12" s="521"/>
      <c r="I12" s="468" t="s">
        <v>1230</v>
      </c>
      <c r="J12" s="468" t="s">
        <v>1230</v>
      </c>
      <c r="K12" s="521" t="s">
        <v>1230</v>
      </c>
      <c r="L12" s="347"/>
    </row>
    <row r="13" spans="1:13" ht="15.75" customHeight="1" x14ac:dyDescent="0.2">
      <c r="A13" s="1598" t="s">
        <v>476</v>
      </c>
      <c r="B13" s="1600">
        <v>2000</v>
      </c>
      <c r="C13" s="1765">
        <f>'Expenditures 15-22'!K74</f>
        <v>1711282</v>
      </c>
      <c r="D13" s="1765">
        <f>'Expenditures 15-22'!K129</f>
        <v>618376</v>
      </c>
      <c r="E13" s="469" t="s">
        <v>1230</v>
      </c>
      <c r="F13" s="1765">
        <f>'Expenditures 15-22'!K184</f>
        <v>565958</v>
      </c>
      <c r="G13" s="1765">
        <f>'Expenditures 15-22'!K279</f>
        <v>130105</v>
      </c>
      <c r="H13" s="1765">
        <f>'Expenditures 15-22'!K303</f>
        <v>334395</v>
      </c>
      <c r="I13" s="468" t="s">
        <v>1230</v>
      </c>
      <c r="J13" s="1765">
        <f>'Expenditures 15-22'!K330</f>
        <v>374541</v>
      </c>
      <c r="K13" s="1769">
        <f>'Expenditures 15-22'!K352</f>
        <v>1312</v>
      </c>
      <c r="L13" s="347"/>
    </row>
    <row r="14" spans="1:13" ht="15.75" customHeight="1" x14ac:dyDescent="0.2">
      <c r="A14" s="1598" t="s">
        <v>468</v>
      </c>
      <c r="B14" s="1600">
        <v>3000</v>
      </c>
      <c r="C14" s="1765">
        <f>'Expenditures 15-22'!K75</f>
        <v>0</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414601</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1398343</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6752875</v>
      </c>
      <c r="D17" s="1710">
        <f t="shared" si="2"/>
        <v>618376</v>
      </c>
      <c r="E17" s="1710">
        <f t="shared" si="2"/>
        <v>1398343</v>
      </c>
      <c r="F17" s="1710">
        <f t="shared" si="2"/>
        <v>565958</v>
      </c>
      <c r="G17" s="1710">
        <f t="shared" si="2"/>
        <v>193994</v>
      </c>
      <c r="H17" s="1710">
        <f t="shared" si="2"/>
        <v>334395</v>
      </c>
      <c r="I17" s="468"/>
      <c r="J17" s="1710">
        <f>SUM(J12:J16)</f>
        <v>374541</v>
      </c>
      <c r="K17" s="1710">
        <f>SUM(K12:K16)</f>
        <v>1312</v>
      </c>
      <c r="L17" s="347"/>
    </row>
    <row r="18" spans="1:12" ht="15" customHeight="1" thickTop="1" x14ac:dyDescent="0.2">
      <c r="A18" s="1766" t="s">
        <v>1752</v>
      </c>
      <c r="B18" s="1767">
        <v>4180</v>
      </c>
      <c r="C18" s="1764">
        <f t="shared" ref="C18:H18" si="3">C9</f>
        <v>3367131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10120006</v>
      </c>
      <c r="D19" s="1710">
        <f t="shared" si="4"/>
        <v>618376</v>
      </c>
      <c r="E19" s="1710">
        <f t="shared" si="4"/>
        <v>1398343</v>
      </c>
      <c r="F19" s="1710">
        <f t="shared" si="4"/>
        <v>565958</v>
      </c>
      <c r="G19" s="1710">
        <f t="shared" si="4"/>
        <v>193994</v>
      </c>
      <c r="H19" s="1710">
        <f t="shared" si="4"/>
        <v>334395</v>
      </c>
      <c r="I19" s="468"/>
      <c r="J19" s="1710">
        <f>SUM(J17:J18)</f>
        <v>374541</v>
      </c>
      <c r="K19" s="1710">
        <f>SUM(K17:K18)</f>
        <v>1312</v>
      </c>
      <c r="L19" s="347"/>
    </row>
    <row r="20" spans="1:12" ht="16.5" thickTop="1" thickBot="1" x14ac:dyDescent="0.25">
      <c r="A20" s="2145" t="s">
        <v>1753</v>
      </c>
      <c r="B20" s="2146"/>
      <c r="C20" s="1768">
        <f>C8-C17</f>
        <v>-67096</v>
      </c>
      <c r="D20" s="1768">
        <f t="shared" ref="D20:K20" si="5">D8-D17</f>
        <v>60721</v>
      </c>
      <c r="E20" s="1768">
        <f t="shared" si="5"/>
        <v>-89472</v>
      </c>
      <c r="F20" s="1768">
        <f t="shared" si="5"/>
        <v>15967</v>
      </c>
      <c r="G20" s="1768">
        <f t="shared" si="5"/>
        <v>9419</v>
      </c>
      <c r="H20" s="1768">
        <f t="shared" si="5"/>
        <v>118018</v>
      </c>
      <c r="I20" s="1768">
        <f t="shared" si="5"/>
        <v>77800</v>
      </c>
      <c r="J20" s="1768">
        <f t="shared" si="5"/>
        <v>31786</v>
      </c>
      <c r="K20" s="1768">
        <f t="shared" si="5"/>
        <v>68145</v>
      </c>
      <c r="L20" s="347"/>
    </row>
    <row r="21" spans="1:12" ht="16.7" customHeight="1" thickTop="1" x14ac:dyDescent="0.2">
      <c r="A21" s="2157" t="s">
        <v>615</v>
      </c>
      <c r="B21" s="2158"/>
      <c r="C21" s="1592"/>
      <c r="D21" s="1593"/>
      <c r="E21" s="1593"/>
      <c r="F21" s="1593"/>
      <c r="G21" s="1593"/>
      <c r="H21" s="1593"/>
      <c r="I21" s="1593"/>
      <c r="J21" s="1593"/>
      <c r="K21" s="1594"/>
      <c r="L21" s="524"/>
    </row>
    <row r="22" spans="1:12" ht="15.75" customHeight="1" collapsed="1" x14ac:dyDescent="0.2">
      <c r="A22" s="2153" t="s">
        <v>616</v>
      </c>
      <c r="B22" s="2154"/>
      <c r="C22" s="477"/>
      <c r="D22" s="477"/>
      <c r="E22" s="477"/>
      <c r="F22" s="477"/>
      <c r="G22" s="477"/>
      <c r="H22" s="477"/>
      <c r="I22" s="477"/>
      <c r="J22" s="477"/>
      <c r="K22" s="477"/>
      <c r="L22" s="347"/>
    </row>
    <row r="23" spans="1:12" s="485" customFormat="1" ht="15.75" customHeight="1" x14ac:dyDescent="0.2">
      <c r="A23" s="2149" t="s">
        <v>310</v>
      </c>
      <c r="B23" s="2150"/>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v>500000</v>
      </c>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v>500000</v>
      </c>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1" t="s">
        <v>1037</v>
      </c>
      <c r="B32" s="2152"/>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64210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c r="F43" s="467"/>
      <c r="G43" s="467"/>
      <c r="H43" s="467"/>
      <c r="I43" s="467"/>
      <c r="J43" s="467"/>
      <c r="K43" s="467"/>
      <c r="L43" s="524"/>
    </row>
    <row r="44" spans="1:12" s="485" customFormat="1" ht="13.5" customHeight="1" thickBot="1" x14ac:dyDescent="0.25">
      <c r="A44" s="2159" t="s">
        <v>391</v>
      </c>
      <c r="B44" s="2160"/>
      <c r="C44" s="1725">
        <f>SUM(C24:C43)</f>
        <v>500000</v>
      </c>
      <c r="D44" s="1725">
        <f t="shared" ref="D44:K44" si="6">SUM(D24:D43)</f>
        <v>500000</v>
      </c>
      <c r="E44" s="1725">
        <f t="shared" si="6"/>
        <v>64210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v>500000</v>
      </c>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500000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v>64210</v>
      </c>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c r="I75" s="530"/>
      <c r="J75" s="530"/>
      <c r="K75" s="532"/>
      <c r="L75" s="524"/>
    </row>
    <row r="76" spans="1:12" s="485" customFormat="1" ht="14.25" thickTop="1" thickBot="1" x14ac:dyDescent="0.25">
      <c r="A76" s="2135" t="s">
        <v>459</v>
      </c>
      <c r="B76" s="2136"/>
      <c r="C76" s="1725">
        <f t="shared" ref="C76:K76" si="7">SUM(C47:C75)</f>
        <v>64210</v>
      </c>
      <c r="D76" s="1725">
        <f t="shared" si="7"/>
        <v>500000</v>
      </c>
      <c r="E76" s="1725">
        <f t="shared" si="7"/>
        <v>0</v>
      </c>
      <c r="F76" s="1725">
        <f t="shared" si="7"/>
        <v>0</v>
      </c>
      <c r="G76" s="1725">
        <f t="shared" si="7"/>
        <v>0</v>
      </c>
      <c r="H76" s="1725">
        <f t="shared" si="7"/>
        <v>500000</v>
      </c>
      <c r="I76" s="1725">
        <f t="shared" si="7"/>
        <v>0</v>
      </c>
      <c r="J76" s="1725">
        <f t="shared" si="7"/>
        <v>0</v>
      </c>
      <c r="K76" s="1725">
        <f t="shared" si="7"/>
        <v>0</v>
      </c>
      <c r="L76" s="524"/>
    </row>
    <row r="77" spans="1:12" ht="14.25" thickTop="1" thickBot="1" x14ac:dyDescent="0.25">
      <c r="A77" s="2137" t="s">
        <v>1238</v>
      </c>
      <c r="B77" s="2138"/>
      <c r="C77" s="1725">
        <f t="shared" ref="C77:K77" si="8">C44-C76</f>
        <v>435790</v>
      </c>
      <c r="D77" s="1725">
        <f t="shared" si="8"/>
        <v>0</v>
      </c>
      <c r="E77" s="1725">
        <f t="shared" si="8"/>
        <v>64210</v>
      </c>
      <c r="F77" s="1725">
        <f t="shared" si="8"/>
        <v>0</v>
      </c>
      <c r="G77" s="1725">
        <f t="shared" si="8"/>
        <v>0</v>
      </c>
      <c r="H77" s="1725">
        <f t="shared" si="8"/>
        <v>-500000</v>
      </c>
      <c r="I77" s="1725">
        <f t="shared" si="8"/>
        <v>0</v>
      </c>
      <c r="J77" s="1725">
        <f t="shared" si="8"/>
        <v>0</v>
      </c>
      <c r="K77" s="1725">
        <f t="shared" si="8"/>
        <v>0</v>
      </c>
      <c r="L77" s="347"/>
    </row>
    <row r="78" spans="1:12" ht="21.75" customHeight="1" thickTop="1" thickBot="1" x14ac:dyDescent="0.25">
      <c r="A78" s="2141" t="s">
        <v>617</v>
      </c>
      <c r="B78" s="2142"/>
      <c r="C78" s="1724">
        <f t="shared" ref="C78:K78" si="9">C20+C77</f>
        <v>368694</v>
      </c>
      <c r="D78" s="1724">
        <f t="shared" si="9"/>
        <v>60721</v>
      </c>
      <c r="E78" s="1724">
        <f t="shared" si="9"/>
        <v>-25262</v>
      </c>
      <c r="F78" s="1724">
        <f t="shared" si="9"/>
        <v>15967</v>
      </c>
      <c r="G78" s="1724">
        <f t="shared" si="9"/>
        <v>9419</v>
      </c>
      <c r="H78" s="1724">
        <f t="shared" si="9"/>
        <v>-381982</v>
      </c>
      <c r="I78" s="1724">
        <f t="shared" si="9"/>
        <v>77800</v>
      </c>
      <c r="J78" s="1724">
        <f t="shared" si="9"/>
        <v>31786</v>
      </c>
      <c r="K78" s="1724">
        <f t="shared" si="9"/>
        <v>68145</v>
      </c>
      <c r="L78" s="533"/>
    </row>
    <row r="79" spans="1:12" ht="13.5" thickTop="1" x14ac:dyDescent="0.2">
      <c r="A79" s="1516" t="s">
        <v>2072</v>
      </c>
      <c r="B79" s="534"/>
      <c r="C79" s="478">
        <v>972703</v>
      </c>
      <c r="D79" s="535">
        <v>243549</v>
      </c>
      <c r="E79" s="535">
        <v>640810</v>
      </c>
      <c r="F79" s="535">
        <v>604942</v>
      </c>
      <c r="G79" s="535">
        <v>63905</v>
      </c>
      <c r="H79" s="535">
        <v>2371669</v>
      </c>
      <c r="I79" s="535">
        <v>1070216</v>
      </c>
      <c r="J79" s="535">
        <v>94361</v>
      </c>
      <c r="K79" s="535">
        <v>340797</v>
      </c>
      <c r="L79" s="347"/>
    </row>
    <row r="80" spans="1:12" x14ac:dyDescent="0.2">
      <c r="A80" s="2147" t="s">
        <v>1897</v>
      </c>
      <c r="B80" s="2148"/>
      <c r="C80" s="467"/>
      <c r="D80" s="467"/>
      <c r="E80" s="467"/>
      <c r="F80" s="467"/>
      <c r="G80" s="467"/>
      <c r="H80" s="467"/>
      <c r="I80" s="467"/>
      <c r="J80" s="467"/>
      <c r="K80" s="467"/>
      <c r="L80" s="347"/>
    </row>
    <row r="81" spans="1:12" ht="13.5" thickBot="1" x14ac:dyDescent="0.25">
      <c r="A81" s="2139" t="s">
        <v>2073</v>
      </c>
      <c r="B81" s="2140"/>
      <c r="C81" s="1710">
        <f>(SUM(C78:C80))</f>
        <v>1341397</v>
      </c>
      <c r="D81" s="1710">
        <f>SUM(D78:D80)</f>
        <v>304270</v>
      </c>
      <c r="E81" s="1710">
        <f t="shared" ref="E81:K81" si="10">SUM(E78:E80)</f>
        <v>615548</v>
      </c>
      <c r="F81" s="1710">
        <f t="shared" si="10"/>
        <v>620909</v>
      </c>
      <c r="G81" s="1710">
        <f t="shared" si="10"/>
        <v>73324</v>
      </c>
      <c r="H81" s="1710">
        <f t="shared" si="10"/>
        <v>1989687</v>
      </c>
      <c r="I81" s="1710">
        <f t="shared" si="10"/>
        <v>1148016</v>
      </c>
      <c r="J81" s="1710">
        <f t="shared" si="10"/>
        <v>126147</v>
      </c>
      <c r="K81" s="1710">
        <f t="shared" si="10"/>
        <v>408942</v>
      </c>
      <c r="L81" s="347"/>
    </row>
    <row r="82" spans="1:12" ht="0.75" customHeight="1" thickTop="1" thickBot="1" x14ac:dyDescent="0.25">
      <c r="A82" s="536" t="s">
        <v>360</v>
      </c>
      <c r="B82" s="537"/>
      <c r="C82" s="538">
        <f>(C81-C79)</f>
        <v>368694</v>
      </c>
      <c r="D82" s="538">
        <f t="shared" ref="D82:K82" si="11">(D81-D79)</f>
        <v>60721</v>
      </c>
      <c r="E82" s="538">
        <f t="shared" si="11"/>
        <v>-25262</v>
      </c>
      <c r="F82" s="538">
        <f t="shared" si="11"/>
        <v>15967</v>
      </c>
      <c r="G82" s="538">
        <f t="shared" si="11"/>
        <v>9419</v>
      </c>
      <c r="H82" s="538">
        <f t="shared" si="11"/>
        <v>-381982</v>
      </c>
      <c r="I82" s="538">
        <f t="shared" si="11"/>
        <v>77800</v>
      </c>
      <c r="J82" s="538">
        <f t="shared" si="11"/>
        <v>31786</v>
      </c>
      <c r="K82" s="538">
        <f t="shared" si="11"/>
        <v>68145</v>
      </c>
    </row>
    <row r="83" spans="1:12" ht="14.25" hidden="1" thickTop="1" thickBot="1" x14ac:dyDescent="0.25">
      <c r="A83" s="539" t="s">
        <v>361</v>
      </c>
      <c r="B83" s="464"/>
      <c r="C83" s="540">
        <f>C82/C81</f>
        <v>0.27485822616272437</v>
      </c>
      <c r="D83" s="540">
        <f t="shared" ref="D83:K83" si="12">D82/D81</f>
        <v>0.19956288822427448</v>
      </c>
      <c r="E83" s="540">
        <f t="shared" si="12"/>
        <v>-4.1039853918784563E-2</v>
      </c>
      <c r="F83" s="540">
        <f t="shared" si="12"/>
        <v>2.5715523530823358E-2</v>
      </c>
      <c r="G83" s="540">
        <f t="shared" si="12"/>
        <v>0.12845725819649773</v>
      </c>
      <c r="H83" s="540">
        <f t="shared" si="12"/>
        <v>-0.19198094976747598</v>
      </c>
      <c r="I83" s="540">
        <f t="shared" si="12"/>
        <v>6.7769090326267226E-2</v>
      </c>
      <c r="J83" s="540">
        <f t="shared" si="12"/>
        <v>0.25197586942218203</v>
      </c>
      <c r="K83" s="540">
        <f t="shared" si="12"/>
        <v>0.16663732265211204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G8" sqref="G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1904</v>
      </c>
      <c r="B1" s="452"/>
      <c r="C1" s="453" t="s">
        <v>444</v>
      </c>
      <c r="D1" s="453" t="s">
        <v>445</v>
      </c>
      <c r="E1" s="453" t="s">
        <v>446</v>
      </c>
      <c r="F1" s="453" t="s">
        <v>447</v>
      </c>
      <c r="G1" s="453" t="s">
        <v>448</v>
      </c>
      <c r="H1" s="453" t="s">
        <v>449</v>
      </c>
      <c r="I1" s="453" t="s">
        <v>450</v>
      </c>
      <c r="J1" s="453" t="s">
        <v>451</v>
      </c>
      <c r="K1" s="453" t="s">
        <v>779</v>
      </c>
    </row>
    <row r="2" spans="1:12" ht="36" x14ac:dyDescent="0.2">
      <c r="A2" s="2144"/>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2992182</v>
      </c>
      <c r="D5" s="481">
        <v>642099</v>
      </c>
      <c r="E5" s="466">
        <v>1157288</v>
      </c>
      <c r="F5" s="548">
        <v>256840</v>
      </c>
      <c r="G5" s="466">
        <v>60062</v>
      </c>
      <c r="H5" s="466"/>
      <c r="I5" s="466">
        <v>64210</v>
      </c>
      <c r="J5" s="467">
        <v>402947</v>
      </c>
      <c r="K5" s="466">
        <v>64210</v>
      </c>
    </row>
    <row r="6" spans="1:12" ht="15" x14ac:dyDescent="0.2">
      <c r="A6" s="463" t="s">
        <v>1760</v>
      </c>
      <c r="B6" s="470">
        <v>1130</v>
      </c>
      <c r="C6" s="466">
        <v>64210</v>
      </c>
      <c r="D6" s="466"/>
      <c r="E6" s="475"/>
      <c r="F6" s="475"/>
      <c r="G6" s="468"/>
      <c r="H6" s="468"/>
      <c r="I6" s="468"/>
      <c r="J6" s="468"/>
      <c r="K6" s="468"/>
    </row>
    <row r="7" spans="1:12" x14ac:dyDescent="0.2">
      <c r="A7" s="463" t="s">
        <v>112</v>
      </c>
      <c r="B7" s="549">
        <v>1140</v>
      </c>
      <c r="C7" s="466">
        <v>51368</v>
      </c>
      <c r="D7" s="466"/>
      <c r="E7" s="468"/>
      <c r="F7" s="467"/>
      <c r="G7" s="467"/>
      <c r="H7" s="467"/>
      <c r="I7" s="468"/>
      <c r="J7" s="468"/>
      <c r="K7" s="468"/>
    </row>
    <row r="8" spans="1:12" x14ac:dyDescent="0.2">
      <c r="A8" s="463" t="s">
        <v>432</v>
      </c>
      <c r="B8" s="470">
        <v>1150</v>
      </c>
      <c r="C8" s="475"/>
      <c r="D8" s="475"/>
      <c r="E8" s="477"/>
      <c r="F8" s="477"/>
      <c r="G8" s="481">
        <v>133640</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3107760</v>
      </c>
      <c r="D12" s="1729">
        <f t="shared" si="0"/>
        <v>642099</v>
      </c>
      <c r="E12" s="1729">
        <f t="shared" si="0"/>
        <v>1157288</v>
      </c>
      <c r="F12" s="1729">
        <f t="shared" si="0"/>
        <v>256840</v>
      </c>
      <c r="G12" s="1729">
        <f t="shared" si="0"/>
        <v>193702</v>
      </c>
      <c r="H12" s="1729">
        <f t="shared" si="0"/>
        <v>0</v>
      </c>
      <c r="I12" s="1729">
        <f t="shared" si="0"/>
        <v>64210</v>
      </c>
      <c r="J12" s="1729">
        <f t="shared" si="0"/>
        <v>402947</v>
      </c>
      <c r="K12" s="1710">
        <f t="shared" si="0"/>
        <v>64210</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100</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101867</v>
      </c>
      <c r="D16" s="466">
        <v>24000</v>
      </c>
      <c r="E16" s="466"/>
      <c r="F16" s="466"/>
      <c r="G16" s="466">
        <v>8000</v>
      </c>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101967</v>
      </c>
      <c r="D18" s="1732">
        <f t="shared" ref="D18:K18" si="1">SUM(D14:D17)</f>
        <v>24000</v>
      </c>
      <c r="E18" s="1732">
        <f t="shared" si="1"/>
        <v>0</v>
      </c>
      <c r="F18" s="1732">
        <f t="shared" si="1"/>
        <v>0</v>
      </c>
      <c r="G18" s="1732">
        <f t="shared" si="1"/>
        <v>8000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v>10707</v>
      </c>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v>3750</v>
      </c>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14457</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3971</v>
      </c>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3971</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24625</v>
      </c>
      <c r="D65" s="466">
        <v>6494</v>
      </c>
      <c r="E65" s="466">
        <v>11834</v>
      </c>
      <c r="F65" s="467">
        <v>7904</v>
      </c>
      <c r="G65" s="466">
        <v>1711</v>
      </c>
      <c r="H65" s="466">
        <v>30239</v>
      </c>
      <c r="I65" s="466">
        <v>13590</v>
      </c>
      <c r="J65" s="467">
        <v>3380</v>
      </c>
      <c r="K65" s="466">
        <v>5247</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24625</v>
      </c>
      <c r="D67" s="1710">
        <f t="shared" ref="D67:K67" si="2">SUM(D65:D66)</f>
        <v>6494</v>
      </c>
      <c r="E67" s="1710">
        <f t="shared" si="2"/>
        <v>11834</v>
      </c>
      <c r="F67" s="1710">
        <f t="shared" si="2"/>
        <v>7904</v>
      </c>
      <c r="G67" s="1710">
        <f t="shared" si="2"/>
        <v>1711</v>
      </c>
      <c r="H67" s="1710">
        <f t="shared" si="2"/>
        <v>30239</v>
      </c>
      <c r="I67" s="1710">
        <f t="shared" si="2"/>
        <v>13590</v>
      </c>
      <c r="J67" s="1710">
        <f t="shared" si="2"/>
        <v>3380</v>
      </c>
      <c r="K67" s="1710">
        <f t="shared" si="2"/>
        <v>5247</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120950</v>
      </c>
      <c r="D69" s="468"/>
      <c r="E69" s="468"/>
      <c r="F69" s="468"/>
      <c r="G69" s="468"/>
      <c r="H69" s="468"/>
      <c r="I69" s="468"/>
      <c r="J69" s="468"/>
      <c r="K69" s="468"/>
    </row>
    <row r="70" spans="1:11" ht="12.75" customHeight="1" x14ac:dyDescent="0.2">
      <c r="A70" s="463" t="s">
        <v>1053</v>
      </c>
      <c r="B70" s="470">
        <v>1612</v>
      </c>
      <c r="C70" s="551">
        <v>11861</v>
      </c>
      <c r="D70" s="468"/>
      <c r="E70" s="468"/>
      <c r="F70" s="468"/>
      <c r="G70" s="468"/>
      <c r="H70" s="468"/>
      <c r="I70" s="468"/>
      <c r="J70" s="468"/>
      <c r="K70" s="468"/>
    </row>
    <row r="71" spans="1:11" ht="12.75" customHeight="1" x14ac:dyDescent="0.2">
      <c r="A71" s="463" t="s">
        <v>290</v>
      </c>
      <c r="B71" s="470">
        <v>1613</v>
      </c>
      <c r="C71" s="551">
        <v>138889</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1054</v>
      </c>
      <c r="B73" s="470">
        <v>1620</v>
      </c>
      <c r="C73" s="551">
        <v>5792</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568</v>
      </c>
      <c r="B75" s="1731"/>
      <c r="C75" s="1710">
        <f>SUM(C69:C74)</f>
        <v>277492</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22708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18700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41408</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71623</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v>10</v>
      </c>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c r="D92" s="468"/>
      <c r="E92" s="468"/>
      <c r="F92" s="468"/>
      <c r="G92" s="468"/>
      <c r="H92" s="468"/>
      <c r="I92" s="468"/>
      <c r="J92" s="468"/>
      <c r="K92" s="468"/>
    </row>
    <row r="93" spans="1:11" ht="12.75" customHeight="1" thickBot="1" x14ac:dyDescent="0.25">
      <c r="A93" s="1730" t="s">
        <v>261</v>
      </c>
      <c r="B93" s="1731"/>
      <c r="C93" s="1710">
        <f>SUM(C84:C92)</f>
        <v>71633</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c r="E95" s="521"/>
      <c r="F95" s="521"/>
      <c r="G95" s="521"/>
      <c r="H95" s="521"/>
      <c r="I95" s="521"/>
      <c r="J95" s="521"/>
      <c r="K95" s="521"/>
    </row>
    <row r="96" spans="1:11" ht="12.75" customHeight="1" x14ac:dyDescent="0.2">
      <c r="A96" s="463" t="s">
        <v>408</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10780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v>139749</v>
      </c>
      <c r="F103" s="468"/>
      <c r="G103" s="468"/>
      <c r="H103" s="489">
        <v>422174</v>
      </c>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97381</v>
      </c>
      <c r="D107" s="466">
        <v>6504</v>
      </c>
      <c r="E107" s="466"/>
      <c r="F107" s="466">
        <v>40</v>
      </c>
      <c r="G107" s="466"/>
      <c r="H107" s="466"/>
      <c r="I107" s="466"/>
      <c r="J107" s="467"/>
      <c r="K107" s="466"/>
    </row>
    <row r="108" spans="1:12" ht="12.75" customHeight="1" thickBot="1" x14ac:dyDescent="0.25">
      <c r="A108" s="1730" t="s">
        <v>507</v>
      </c>
      <c r="B108" s="1734"/>
      <c r="C108" s="1729">
        <f>SUM(C95:C107)</f>
        <v>108161</v>
      </c>
      <c r="D108" s="1729">
        <f t="shared" ref="D108:K108" si="3">SUM(D95:D107)</f>
        <v>6504</v>
      </c>
      <c r="E108" s="1729">
        <f t="shared" si="3"/>
        <v>139749</v>
      </c>
      <c r="F108" s="1729">
        <f t="shared" si="3"/>
        <v>40</v>
      </c>
      <c r="G108" s="1729">
        <f t="shared" si="3"/>
        <v>0</v>
      </c>
      <c r="H108" s="1729">
        <f t="shared" si="3"/>
        <v>422174</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3747503</v>
      </c>
      <c r="D109" s="1737">
        <f t="shared" si="4"/>
        <v>679097</v>
      </c>
      <c r="E109" s="1737">
        <f t="shared" si="4"/>
        <v>1308871</v>
      </c>
      <c r="F109" s="1737">
        <f t="shared" si="4"/>
        <v>268755</v>
      </c>
      <c r="G109" s="1737">
        <f t="shared" si="4"/>
        <v>203413</v>
      </c>
      <c r="H109" s="1737">
        <f t="shared" si="4"/>
        <v>452413</v>
      </c>
      <c r="I109" s="1737">
        <f t="shared" si="4"/>
        <v>77800</v>
      </c>
      <c r="J109" s="1737">
        <f t="shared" si="4"/>
        <v>406327</v>
      </c>
      <c r="K109" s="1724">
        <f t="shared" si="4"/>
        <v>69457</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c r="D111" s="481"/>
      <c r="E111" s="561"/>
      <c r="F111" s="481"/>
      <c r="G111" s="481"/>
      <c r="H111" s="561"/>
      <c r="I111" s="468"/>
      <c r="J111" s="468"/>
      <c r="K111" s="468"/>
    </row>
    <row r="112" spans="1:12" ht="12.75" customHeight="1" x14ac:dyDescent="0.2">
      <c r="A112" s="463" t="s">
        <v>877</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0</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1993367</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1993367</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31096</v>
      </c>
      <c r="D124" s="561"/>
      <c r="E124" s="468"/>
      <c r="F124" s="548"/>
      <c r="G124" s="468"/>
      <c r="H124" s="468"/>
      <c r="I124" s="468"/>
      <c r="J124" s="468"/>
      <c r="K124" s="468"/>
    </row>
    <row r="125" spans="1:11" ht="12.75" customHeight="1" x14ac:dyDescent="0.2">
      <c r="A125" s="463" t="s">
        <v>1520</v>
      </c>
      <c r="B125" s="562">
        <v>3105</v>
      </c>
      <c r="C125" s="466">
        <v>58457</v>
      </c>
      <c r="D125" s="561"/>
      <c r="E125" s="468"/>
      <c r="F125" s="466"/>
      <c r="G125" s="468"/>
      <c r="H125" s="468"/>
      <c r="I125" s="468"/>
      <c r="J125" s="468"/>
      <c r="K125" s="468"/>
    </row>
    <row r="126" spans="1:11" ht="12.75" customHeight="1" x14ac:dyDescent="0.2">
      <c r="A126" s="463" t="s">
        <v>921</v>
      </c>
      <c r="B126" s="562">
        <v>3110</v>
      </c>
      <c r="C126" s="551">
        <v>34548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124101</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0</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2616</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14170</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226098</v>
      </c>
      <c r="G151" s="467"/>
      <c r="H151" s="468"/>
      <c r="I151" s="468"/>
      <c r="J151" s="468"/>
      <c r="K151" s="468"/>
    </row>
    <row r="152" spans="1:11" ht="12.75" customHeight="1" x14ac:dyDescent="0.2">
      <c r="A152" s="463" t="s">
        <v>1116</v>
      </c>
      <c r="B152" s="562">
        <v>3510</v>
      </c>
      <c r="C152" s="551"/>
      <c r="D152" s="466"/>
      <c r="E152" s="561"/>
      <c r="F152" s="466">
        <v>87072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313170</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159590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3" t="s">
        <v>417</v>
      </c>
      <c r="B172" s="2164"/>
      <c r="C172" s="1744">
        <f t="shared" ref="C172:K172" si="6">SUM(C131,C140,C144,C145:C149,C154,C155:C170,C171)</f>
        <v>301227</v>
      </c>
      <c r="D172" s="1744">
        <f t="shared" si="6"/>
        <v>0</v>
      </c>
      <c r="E172" s="1744">
        <f t="shared" si="6"/>
        <v>0</v>
      </c>
      <c r="F172" s="1744">
        <f t="shared" si="6"/>
        <v>313170</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2294594</v>
      </c>
      <c r="D173" s="1737">
        <f>SUM(D121,D172)</f>
        <v>0</v>
      </c>
      <c r="E173" s="1737">
        <f>SUM(E121,E172)</f>
        <v>0</v>
      </c>
      <c r="F173" s="1737">
        <f t="shared" ref="F173:K173" si="7">SUM(F121,F172)</f>
        <v>313170</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5" t="s">
        <v>1571</v>
      </c>
      <c r="B175" s="2166"/>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9" t="s">
        <v>1763</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1762</v>
      </c>
      <c r="B179" s="2174"/>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277</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1" t="s">
        <v>817</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1905</v>
      </c>
      <c r="B185" s="2168"/>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150051</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38188</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188239</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178492</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178492</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v>9401</v>
      </c>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236354</v>
      </c>
      <c r="D220" s="466"/>
      <c r="E220" s="468"/>
      <c r="F220" s="466"/>
      <c r="G220" s="466"/>
      <c r="H220" s="468"/>
      <c r="I220" s="468"/>
      <c r="J220" s="468"/>
      <c r="K220" s="468"/>
    </row>
    <row r="221" spans="1:11" ht="12.75" customHeight="1" x14ac:dyDescent="0.2">
      <c r="A221" s="463" t="s">
        <v>1113</v>
      </c>
      <c r="B221" s="470">
        <v>4625</v>
      </c>
      <c r="C221" s="551"/>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245755</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23969</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7227</v>
      </c>
      <c r="D270" s="576"/>
      <c r="E270" s="468"/>
      <c r="F270" s="576"/>
      <c r="G270" s="576"/>
      <c r="H270" s="468"/>
      <c r="I270" s="468"/>
      <c r="J270" s="468"/>
      <c r="K270" s="468"/>
    </row>
    <row r="271" spans="1:11" ht="12.75" customHeight="1" thickTop="1" thickBot="1" x14ac:dyDescent="0.25">
      <c r="A271" s="463" t="s">
        <v>394</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643682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643682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6685779</v>
      </c>
      <c r="D275" s="1737">
        <f t="shared" si="12"/>
        <v>679097</v>
      </c>
      <c r="E275" s="1737">
        <f t="shared" si="12"/>
        <v>1308871</v>
      </c>
      <c r="F275" s="1737">
        <f t="shared" si="12"/>
        <v>581925</v>
      </c>
      <c r="G275" s="1737">
        <f t="shared" si="12"/>
        <v>203413</v>
      </c>
      <c r="H275" s="1737">
        <f t="shared" si="12"/>
        <v>452413</v>
      </c>
      <c r="I275" s="1737">
        <f t="shared" si="12"/>
        <v>77800</v>
      </c>
      <c r="J275" s="1737">
        <f t="shared" si="12"/>
        <v>406327</v>
      </c>
      <c r="K275" s="1724">
        <f t="shared" si="12"/>
        <v>69457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&amp;F&amp;RThe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90" zoomScaleNormal="90" workbookViewId="0">
      <pane ySplit="2" topLeftCell="A147" activePane="bottomLeft" state="frozen"/>
      <selection activeCell="A47" sqref="A47"/>
      <selection pane="bottomLeft" activeCell="H172" sqref="H17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1904</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1" t="s">
        <v>314</v>
      </c>
      <c r="B3" s="2182"/>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3008242</v>
      </c>
      <c r="D5" s="466">
        <v>557209</v>
      </c>
      <c r="E5" s="466">
        <v>11460</v>
      </c>
      <c r="F5" s="466">
        <v>48684</v>
      </c>
      <c r="G5" s="466"/>
      <c r="H5" s="466"/>
      <c r="I5" s="467"/>
      <c r="J5" s="467"/>
      <c r="K5" s="1693">
        <f>SUM(C5:J5)</f>
        <v>3625595</v>
      </c>
      <c r="L5" s="466">
        <v>3679222</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84265</v>
      </c>
      <c r="D7" s="467">
        <v>14810</v>
      </c>
      <c r="E7" s="467">
        <v>6029</v>
      </c>
      <c r="F7" s="467">
        <v>21251</v>
      </c>
      <c r="G7" s="467">
        <v>6963</v>
      </c>
      <c r="H7" s="467"/>
      <c r="I7" s="467"/>
      <c r="J7" s="467"/>
      <c r="K7" s="1693">
        <f t="shared" ref="K7:K32" si="0">SUM(C7:J7)</f>
        <v>133318</v>
      </c>
      <c r="L7" s="466"/>
    </row>
    <row r="8" spans="1:14" x14ac:dyDescent="0.2">
      <c r="A8" s="1526" t="s">
        <v>166</v>
      </c>
      <c r="B8" s="615">
        <v>1200</v>
      </c>
      <c r="C8" s="466">
        <v>308178</v>
      </c>
      <c r="D8" s="466">
        <v>45156</v>
      </c>
      <c r="E8" s="466">
        <v>13411</v>
      </c>
      <c r="F8" s="466">
        <v>55050</v>
      </c>
      <c r="G8" s="466">
        <v>27457</v>
      </c>
      <c r="H8" s="466"/>
      <c r="I8" s="467"/>
      <c r="J8" s="467"/>
      <c r="K8" s="1693">
        <f t="shared" si="0"/>
        <v>449252</v>
      </c>
      <c r="L8" s="466">
        <v>593846</v>
      </c>
    </row>
    <row r="9" spans="1:14" x14ac:dyDescent="0.2">
      <c r="A9" s="1526" t="s">
        <v>744</v>
      </c>
      <c r="B9" s="615" t="s">
        <v>1024</v>
      </c>
      <c r="C9" s="467"/>
      <c r="D9" s="467"/>
      <c r="E9" s="467"/>
      <c r="F9" s="467"/>
      <c r="G9" s="467"/>
      <c r="H9" s="467"/>
      <c r="I9" s="467"/>
      <c r="J9" s="467"/>
      <c r="K9" s="1693">
        <f t="shared" si="0"/>
        <v>0</v>
      </c>
      <c r="L9" s="466"/>
    </row>
    <row r="10" spans="1:14" x14ac:dyDescent="0.2">
      <c r="A10" s="1526" t="s">
        <v>745</v>
      </c>
      <c r="B10" s="615">
        <v>1250</v>
      </c>
      <c r="C10" s="466">
        <v>88201</v>
      </c>
      <c r="D10" s="466">
        <v>22283</v>
      </c>
      <c r="E10" s="466">
        <v>26851</v>
      </c>
      <c r="F10" s="466">
        <v>42907</v>
      </c>
      <c r="G10" s="466"/>
      <c r="H10" s="466">
        <v>1065</v>
      </c>
      <c r="I10" s="467"/>
      <c r="J10" s="467"/>
      <c r="K10" s="1693">
        <f t="shared" si="0"/>
        <v>181307</v>
      </c>
      <c r="L10" s="466">
        <v>190499</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c r="D13" s="466"/>
      <c r="E13" s="466"/>
      <c r="F13" s="466">
        <v>576</v>
      </c>
      <c r="G13" s="466"/>
      <c r="H13" s="466"/>
      <c r="I13" s="467"/>
      <c r="J13" s="467"/>
      <c r="K13" s="1693">
        <f t="shared" si="0"/>
        <v>576</v>
      </c>
      <c r="L13" s="466">
        <v>750</v>
      </c>
    </row>
    <row r="14" spans="1:14" x14ac:dyDescent="0.2">
      <c r="A14" s="1526" t="s">
        <v>1019</v>
      </c>
      <c r="B14" s="615">
        <v>1500</v>
      </c>
      <c r="C14" s="466">
        <v>111953</v>
      </c>
      <c r="D14" s="466">
        <v>8495</v>
      </c>
      <c r="E14" s="466">
        <v>35906</v>
      </c>
      <c r="F14" s="466">
        <v>10120</v>
      </c>
      <c r="G14" s="466"/>
      <c r="H14" s="466">
        <v>7825</v>
      </c>
      <c r="I14" s="467"/>
      <c r="J14" s="467"/>
      <c r="K14" s="1693">
        <f t="shared" si="0"/>
        <v>174299</v>
      </c>
      <c r="L14" s="466">
        <v>187803</v>
      </c>
    </row>
    <row r="15" spans="1:14" x14ac:dyDescent="0.2">
      <c r="A15" s="1526" t="s">
        <v>1020</v>
      </c>
      <c r="B15" s="615">
        <v>1600</v>
      </c>
      <c r="C15" s="466"/>
      <c r="D15" s="466"/>
      <c r="E15" s="466"/>
      <c r="F15" s="466"/>
      <c r="G15" s="466"/>
      <c r="H15" s="466"/>
      <c r="I15" s="467"/>
      <c r="J15" s="467"/>
      <c r="K15" s="1693">
        <f t="shared" si="0"/>
        <v>0</v>
      </c>
      <c r="L15" s="466"/>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v>45431</v>
      </c>
      <c r="D17" s="467">
        <v>5914</v>
      </c>
      <c r="E17" s="467">
        <v>33</v>
      </c>
      <c r="F17" s="467">
        <v>1107</v>
      </c>
      <c r="G17" s="467"/>
      <c r="H17" s="467"/>
      <c r="I17" s="467"/>
      <c r="J17" s="467"/>
      <c r="K17" s="1693">
        <f t="shared" si="0"/>
        <v>52485</v>
      </c>
      <c r="L17" s="466">
        <v>52578</v>
      </c>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v>10160</v>
      </c>
      <c r="I19" s="467"/>
      <c r="J19" s="467"/>
      <c r="K19" s="1693">
        <f t="shared" si="0"/>
        <v>10160</v>
      </c>
      <c r="L19" s="466">
        <v>9000</v>
      </c>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3646270</v>
      </c>
      <c r="D33" s="1692">
        <f t="shared" ref="D33:L33" si="1">SUM(D5:D32)</f>
        <v>653867</v>
      </c>
      <c r="E33" s="1692">
        <f t="shared" si="1"/>
        <v>93690</v>
      </c>
      <c r="F33" s="1692">
        <f t="shared" si="1"/>
        <v>179695</v>
      </c>
      <c r="G33" s="1692">
        <f t="shared" si="1"/>
        <v>34420</v>
      </c>
      <c r="H33" s="1692">
        <f t="shared" si="1"/>
        <v>19050</v>
      </c>
      <c r="I33" s="1692">
        <f t="shared" si="1"/>
        <v>0</v>
      </c>
      <c r="J33" s="1692">
        <f t="shared" si="1"/>
        <v>0</v>
      </c>
      <c r="K33" s="1692">
        <f t="shared" si="1"/>
        <v>4626992</v>
      </c>
      <c r="L33" s="1692">
        <f t="shared" si="1"/>
        <v>4713698</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c r="D36" s="481"/>
      <c r="E36" s="481"/>
      <c r="F36" s="481"/>
      <c r="G36" s="481"/>
      <c r="H36" s="481"/>
      <c r="I36" s="467"/>
      <c r="J36" s="467"/>
      <c r="K36" s="1693">
        <f t="shared" ref="K36:K41" si="2">SUM(C36:J36)</f>
        <v>0</v>
      </c>
      <c r="L36" s="466"/>
    </row>
    <row r="37" spans="1:14" x14ac:dyDescent="0.2">
      <c r="A37" s="1526" t="s">
        <v>1150</v>
      </c>
      <c r="B37" s="615">
        <v>2120</v>
      </c>
      <c r="C37" s="466">
        <v>77615</v>
      </c>
      <c r="D37" s="466">
        <v>6337</v>
      </c>
      <c r="E37" s="466"/>
      <c r="F37" s="466"/>
      <c r="G37" s="466"/>
      <c r="H37" s="466"/>
      <c r="I37" s="467"/>
      <c r="J37" s="467"/>
      <c r="K37" s="1693">
        <f t="shared" si="2"/>
        <v>83952</v>
      </c>
      <c r="L37" s="466">
        <v>84359</v>
      </c>
    </row>
    <row r="38" spans="1:14" x14ac:dyDescent="0.2">
      <c r="A38" s="1526" t="s">
        <v>207</v>
      </c>
      <c r="B38" s="615">
        <v>2130</v>
      </c>
      <c r="C38" s="466"/>
      <c r="D38" s="466"/>
      <c r="E38" s="466">
        <v>20162</v>
      </c>
      <c r="F38" s="466">
        <v>479</v>
      </c>
      <c r="G38" s="466"/>
      <c r="H38" s="466"/>
      <c r="I38" s="467"/>
      <c r="J38" s="467"/>
      <c r="K38" s="1693">
        <f t="shared" si="2"/>
        <v>20641</v>
      </c>
      <c r="L38" s="466">
        <v>21091</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1767</v>
      </c>
      <c r="B41" s="615">
        <v>2190</v>
      </c>
      <c r="C41" s="466">
        <v>3504</v>
      </c>
      <c r="D41" s="466"/>
      <c r="E41" s="466"/>
      <c r="F41" s="466"/>
      <c r="G41" s="466"/>
      <c r="H41" s="466"/>
      <c r="I41" s="467"/>
      <c r="J41" s="467"/>
      <c r="K41" s="1693">
        <f t="shared" si="2"/>
        <v>3504</v>
      </c>
      <c r="L41" s="466">
        <v>4000</v>
      </c>
    </row>
    <row r="42" spans="1:14" ht="12.75" customHeight="1" thickBot="1" x14ac:dyDescent="0.25">
      <c r="A42" s="1690" t="s">
        <v>580</v>
      </c>
      <c r="B42" s="1691" t="s">
        <v>739</v>
      </c>
      <c r="C42" s="1692">
        <f>SUM(C36:C41)</f>
        <v>81119</v>
      </c>
      <c r="D42" s="1692">
        <f t="shared" ref="D42:L42" si="3">SUM(D36:D41)</f>
        <v>6337</v>
      </c>
      <c r="E42" s="1692">
        <f t="shared" si="3"/>
        <v>20162</v>
      </c>
      <c r="F42" s="1692">
        <f t="shared" si="3"/>
        <v>479</v>
      </c>
      <c r="G42" s="1692">
        <f t="shared" si="3"/>
        <v>0</v>
      </c>
      <c r="H42" s="1692">
        <f t="shared" si="3"/>
        <v>0</v>
      </c>
      <c r="I42" s="1692">
        <f t="shared" si="3"/>
        <v>0</v>
      </c>
      <c r="J42" s="1692">
        <f t="shared" si="3"/>
        <v>0</v>
      </c>
      <c r="K42" s="1692">
        <f t="shared" si="3"/>
        <v>108097</v>
      </c>
      <c r="L42" s="1692">
        <f t="shared" si="3"/>
        <v>109450</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50216</v>
      </c>
      <c r="D44" s="481">
        <v>10942</v>
      </c>
      <c r="E44" s="481">
        <v>21866</v>
      </c>
      <c r="F44" s="481">
        <v>24730</v>
      </c>
      <c r="G44" s="481"/>
      <c r="H44" s="481"/>
      <c r="I44" s="467"/>
      <c r="J44" s="467"/>
      <c r="K44" s="1694">
        <f>SUM(C44:J44)</f>
        <v>107754</v>
      </c>
      <c r="L44" s="481">
        <v>114838</v>
      </c>
    </row>
    <row r="45" spans="1:14" x14ac:dyDescent="0.2">
      <c r="A45" s="1526" t="s">
        <v>868</v>
      </c>
      <c r="B45" s="615">
        <v>2220</v>
      </c>
      <c r="C45" s="466">
        <v>61416</v>
      </c>
      <c r="D45" s="466">
        <v>12251</v>
      </c>
      <c r="E45" s="466">
        <v>4395</v>
      </c>
      <c r="F45" s="466">
        <v>11162</v>
      </c>
      <c r="G45" s="466"/>
      <c r="H45" s="466"/>
      <c r="I45" s="467"/>
      <c r="J45" s="467"/>
      <c r="K45" s="1694">
        <f>SUM(C45:J45)</f>
        <v>89224</v>
      </c>
      <c r="L45" s="466">
        <v>90579</v>
      </c>
    </row>
    <row r="46" spans="1:14" x14ac:dyDescent="0.2">
      <c r="A46" s="1526" t="s">
        <v>869</v>
      </c>
      <c r="B46" s="615">
        <v>2230</v>
      </c>
      <c r="C46" s="466"/>
      <c r="D46" s="466"/>
      <c r="E46" s="466">
        <v>120</v>
      </c>
      <c r="F46" s="466"/>
      <c r="G46" s="466"/>
      <c r="H46" s="466"/>
      <c r="I46" s="467"/>
      <c r="J46" s="467"/>
      <c r="K46" s="1694">
        <f>SUM(C46:J46)</f>
        <v>120</v>
      </c>
      <c r="L46" s="466">
        <v>120</v>
      </c>
    </row>
    <row r="47" spans="1:14" ht="12.75" customHeight="1" thickBot="1" x14ac:dyDescent="0.25">
      <c r="A47" s="1690" t="s">
        <v>581</v>
      </c>
      <c r="B47" s="1691" t="s">
        <v>32</v>
      </c>
      <c r="C47" s="1692">
        <f>SUM(C44:C46)</f>
        <v>111632</v>
      </c>
      <c r="D47" s="1692">
        <f t="shared" ref="D47:K47" si="4">SUM(D44:D46)</f>
        <v>23193</v>
      </c>
      <c r="E47" s="1692">
        <f t="shared" si="4"/>
        <v>26381</v>
      </c>
      <c r="F47" s="1692">
        <f t="shared" si="4"/>
        <v>35892</v>
      </c>
      <c r="G47" s="1692">
        <f t="shared" si="4"/>
        <v>0</v>
      </c>
      <c r="H47" s="1692">
        <f t="shared" si="4"/>
        <v>0</v>
      </c>
      <c r="I47" s="1692">
        <f t="shared" si="4"/>
        <v>0</v>
      </c>
      <c r="J47" s="1692">
        <f t="shared" si="4"/>
        <v>0</v>
      </c>
      <c r="K47" s="1692">
        <f t="shared" si="4"/>
        <v>197098</v>
      </c>
      <c r="L47" s="1692">
        <f>SUM(L44:L46)</f>
        <v>205537</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c r="D49" s="481"/>
      <c r="E49" s="481">
        <v>51166</v>
      </c>
      <c r="F49" s="481"/>
      <c r="G49" s="481"/>
      <c r="H49" s="481"/>
      <c r="I49" s="467"/>
      <c r="J49" s="467"/>
      <c r="K49" s="1694">
        <f>SUM(C49:J49)</f>
        <v>51166</v>
      </c>
      <c r="L49" s="481">
        <v>49000</v>
      </c>
    </row>
    <row r="50" spans="1:14" x14ac:dyDescent="0.2">
      <c r="A50" s="1526" t="s">
        <v>871</v>
      </c>
      <c r="B50" s="615">
        <v>2320</v>
      </c>
      <c r="C50" s="466">
        <v>116669</v>
      </c>
      <c r="D50" s="466">
        <v>21650</v>
      </c>
      <c r="E50" s="466">
        <v>1500</v>
      </c>
      <c r="F50" s="466"/>
      <c r="G50" s="466"/>
      <c r="H50" s="466"/>
      <c r="I50" s="467"/>
      <c r="J50" s="467"/>
      <c r="K50" s="1694">
        <f>SUM(C50:J50)</f>
        <v>139819</v>
      </c>
      <c r="L50" s="466">
        <v>139875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315</v>
      </c>
      <c r="B52" s="628" t="s">
        <v>383</v>
      </c>
      <c r="C52" s="474"/>
      <c r="D52" s="474"/>
      <c r="E52" s="474"/>
      <c r="F52" s="474"/>
      <c r="G52" s="474"/>
      <c r="H52" s="474"/>
      <c r="I52" s="474"/>
      <c r="J52" s="474"/>
      <c r="K52" s="1694">
        <f>SUM(C52:J52)</f>
        <v>0</v>
      </c>
      <c r="L52" s="474"/>
    </row>
    <row r="53" spans="1:14" ht="12.75" customHeight="1" thickBot="1" x14ac:dyDescent="0.25">
      <c r="A53" s="1690" t="s">
        <v>740</v>
      </c>
      <c r="B53" s="1691" t="s">
        <v>33</v>
      </c>
      <c r="C53" s="1692">
        <f>SUM(C49:C52)</f>
        <v>116669</v>
      </c>
      <c r="D53" s="1692">
        <f t="shared" ref="D53:L53" si="5">SUM(D49:D52)</f>
        <v>21650</v>
      </c>
      <c r="E53" s="1692">
        <f t="shared" si="5"/>
        <v>52666</v>
      </c>
      <c r="F53" s="1692">
        <f t="shared" si="5"/>
        <v>0</v>
      </c>
      <c r="G53" s="1692">
        <f t="shared" si="5"/>
        <v>0</v>
      </c>
      <c r="H53" s="1692">
        <f t="shared" si="5"/>
        <v>0</v>
      </c>
      <c r="I53" s="1692">
        <f t="shared" si="5"/>
        <v>0</v>
      </c>
      <c r="J53" s="1692">
        <f t="shared" si="5"/>
        <v>0</v>
      </c>
      <c r="K53" s="1692">
        <f t="shared" si="5"/>
        <v>190985</v>
      </c>
      <c r="L53" s="1692">
        <f t="shared" si="5"/>
        <v>188875</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453600</v>
      </c>
      <c r="D55" s="481">
        <v>95642</v>
      </c>
      <c r="E55" s="481"/>
      <c r="F55" s="481"/>
      <c r="G55" s="481"/>
      <c r="H55" s="481"/>
      <c r="I55" s="467"/>
      <c r="J55" s="467"/>
      <c r="K55" s="1694">
        <f>SUM(C55:J55)</f>
        <v>549242</v>
      </c>
      <c r="L55" s="481">
        <v>555200</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280</v>
      </c>
      <c r="B57" s="1695" t="s">
        <v>34</v>
      </c>
      <c r="C57" s="1696">
        <f>SUM(C55:C56)</f>
        <v>453600</v>
      </c>
      <c r="D57" s="1696">
        <f t="shared" ref="D57:K57" si="6">SUM(D55:D56)</f>
        <v>95642</v>
      </c>
      <c r="E57" s="1696">
        <f t="shared" si="6"/>
        <v>0</v>
      </c>
      <c r="F57" s="1696">
        <f t="shared" si="6"/>
        <v>0</v>
      </c>
      <c r="G57" s="1696">
        <f t="shared" si="6"/>
        <v>0</v>
      </c>
      <c r="H57" s="1696">
        <f t="shared" si="6"/>
        <v>0</v>
      </c>
      <c r="I57" s="1696">
        <f t="shared" si="6"/>
        <v>0</v>
      </c>
      <c r="J57" s="1696">
        <f t="shared" si="6"/>
        <v>0</v>
      </c>
      <c r="K57" s="1696">
        <f t="shared" si="6"/>
        <v>549242</v>
      </c>
      <c r="L57" s="1692">
        <f>SUM(L55:L56)</f>
        <v>555200</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v>100639</v>
      </c>
      <c r="D60" s="466">
        <v>10135</v>
      </c>
      <c r="E60" s="466">
        <v>2719</v>
      </c>
      <c r="F60" s="466"/>
      <c r="G60" s="466"/>
      <c r="H60" s="466"/>
      <c r="I60" s="467"/>
      <c r="J60" s="467"/>
      <c r="K60" s="1694">
        <f t="shared" si="7"/>
        <v>113493</v>
      </c>
      <c r="L60" s="466">
        <v>114087</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1009</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104123</v>
      </c>
      <c r="D63" s="466">
        <v>29653</v>
      </c>
      <c r="E63" s="466">
        <v>600</v>
      </c>
      <c r="F63" s="466">
        <v>289906</v>
      </c>
      <c r="G63" s="466"/>
      <c r="H63" s="466"/>
      <c r="I63" s="467"/>
      <c r="J63" s="467"/>
      <c r="K63" s="1694">
        <f t="shared" si="7"/>
        <v>424282</v>
      </c>
      <c r="L63" s="466">
        <v>428734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204762</v>
      </c>
      <c r="D65" s="1692">
        <f t="shared" ref="D65:L65" si="8">SUM(D59:D64)</f>
        <v>39788</v>
      </c>
      <c r="E65" s="1692">
        <f t="shared" si="8"/>
        <v>3319</v>
      </c>
      <c r="F65" s="1692">
        <f t="shared" si="8"/>
        <v>289906</v>
      </c>
      <c r="G65" s="1692">
        <f t="shared" si="8"/>
        <v>0</v>
      </c>
      <c r="H65" s="1692">
        <f t="shared" si="8"/>
        <v>0</v>
      </c>
      <c r="I65" s="1692">
        <f t="shared" si="8"/>
        <v>0</v>
      </c>
      <c r="J65" s="1692">
        <f t="shared" si="8"/>
        <v>0</v>
      </c>
      <c r="K65" s="1692">
        <f t="shared" si="8"/>
        <v>537775</v>
      </c>
      <c r="L65" s="1692">
        <f t="shared" si="8"/>
        <v>542821</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c r="D71" s="466"/>
      <c r="E71" s="466">
        <v>73253</v>
      </c>
      <c r="F71" s="466">
        <v>41841</v>
      </c>
      <c r="G71" s="466">
        <v>12991</v>
      </c>
      <c r="H71" s="466"/>
      <c r="I71" s="467"/>
      <c r="J71" s="467"/>
      <c r="K71" s="1694">
        <f>SUM(C71:J71)</f>
        <v>128085</v>
      </c>
      <c r="L71" s="466">
        <v>147000</v>
      </c>
      <c r="M71" s="610"/>
      <c r="N71" s="610"/>
    </row>
    <row r="72" spans="1:14" s="343" customFormat="1" ht="12.75" customHeight="1" thickBot="1" x14ac:dyDescent="0.25">
      <c r="A72" s="1690" t="s">
        <v>37</v>
      </c>
      <c r="B72" s="1697" t="s">
        <v>36</v>
      </c>
      <c r="C72" s="1692">
        <f>SUM(C67:C71)</f>
        <v>0</v>
      </c>
      <c r="D72" s="1692">
        <f t="shared" ref="D72:K72" si="9">SUM(D67:D71)</f>
        <v>0</v>
      </c>
      <c r="E72" s="1692">
        <f t="shared" si="9"/>
        <v>73253</v>
      </c>
      <c r="F72" s="1692">
        <f t="shared" si="9"/>
        <v>41841</v>
      </c>
      <c r="G72" s="1692">
        <f t="shared" si="9"/>
        <v>12991</v>
      </c>
      <c r="H72" s="1692">
        <f t="shared" si="9"/>
        <v>0</v>
      </c>
      <c r="I72" s="1692">
        <f t="shared" si="9"/>
        <v>0</v>
      </c>
      <c r="J72" s="1692">
        <f t="shared" si="9"/>
        <v>0</v>
      </c>
      <c r="K72" s="1692">
        <f t="shared" si="9"/>
        <v>128085</v>
      </c>
      <c r="L72" s="1692">
        <f>SUM(L67:L71)</f>
        <v>147000</v>
      </c>
      <c r="M72" s="610"/>
      <c r="N72" s="610"/>
    </row>
    <row r="73" spans="1:14" s="343" customFormat="1" ht="14.25" thickTop="1" thickBot="1" x14ac:dyDescent="0.25">
      <c r="A73" s="1532" t="s">
        <v>1036</v>
      </c>
      <c r="B73" s="633" t="s">
        <v>594</v>
      </c>
      <c r="C73" s="573"/>
      <c r="D73" s="573"/>
      <c r="E73" s="573"/>
      <c r="F73" s="573"/>
      <c r="G73" s="573"/>
      <c r="H73" s="573"/>
      <c r="I73" s="531"/>
      <c r="J73" s="531"/>
      <c r="K73" s="1692">
        <f>SUM(C73:J73)</f>
        <v>0</v>
      </c>
      <c r="L73" s="576"/>
      <c r="M73" s="610"/>
      <c r="N73" s="610"/>
    </row>
    <row r="74" spans="1:14" ht="12.75" customHeight="1" thickTop="1" thickBot="1" x14ac:dyDescent="0.25">
      <c r="A74" s="1690" t="s">
        <v>864</v>
      </c>
      <c r="B74" s="1698">
        <v>2000</v>
      </c>
      <c r="C74" s="1699">
        <f>SUM(C42,C47,C53,C57,C65,C72,C73)</f>
        <v>967782</v>
      </c>
      <c r="D74" s="1699">
        <f t="shared" ref="D74:K74" si="10">SUM(D42,D47,D53,D57,D65,D72,D73)</f>
        <v>186610</v>
      </c>
      <c r="E74" s="1699">
        <f t="shared" si="10"/>
        <v>175781</v>
      </c>
      <c r="F74" s="1699">
        <f t="shared" si="10"/>
        <v>368118</v>
      </c>
      <c r="G74" s="1699">
        <f t="shared" si="10"/>
        <v>12991</v>
      </c>
      <c r="H74" s="1699">
        <f t="shared" si="10"/>
        <v>0</v>
      </c>
      <c r="I74" s="1699">
        <f t="shared" si="10"/>
        <v>0</v>
      </c>
      <c r="J74" s="1699">
        <f t="shared" si="10"/>
        <v>0</v>
      </c>
      <c r="K74" s="1699">
        <f t="shared" si="10"/>
        <v>1711282</v>
      </c>
      <c r="L74" s="1699">
        <f>SUM(L42,L47,L53,L57,L65,L72,L73)</f>
        <v>1748883</v>
      </c>
    </row>
    <row r="75" spans="1:14" s="259" customFormat="1" ht="15.75" customHeight="1" thickTop="1" thickBot="1" x14ac:dyDescent="0.25">
      <c r="A75" s="1632" t="s">
        <v>49</v>
      </c>
      <c r="B75" s="1633" t="s">
        <v>595</v>
      </c>
      <c r="C75" s="573"/>
      <c r="D75" s="573"/>
      <c r="E75" s="573"/>
      <c r="F75" s="573"/>
      <c r="G75" s="573"/>
      <c r="H75" s="573"/>
      <c r="I75" s="531"/>
      <c r="J75" s="531"/>
      <c r="K75" s="1692">
        <f>SUM(C75:J75)</f>
        <v>0</v>
      </c>
      <c r="L75" s="576"/>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row>
    <row r="79" spans="1:14" x14ac:dyDescent="0.2">
      <c r="A79" s="1526" t="s">
        <v>321</v>
      </c>
      <c r="B79" s="615">
        <v>4120</v>
      </c>
      <c r="C79" s="617"/>
      <c r="D79" s="617"/>
      <c r="E79" s="466"/>
      <c r="F79" s="617"/>
      <c r="G79" s="617"/>
      <c r="H79" s="466"/>
      <c r="I79" s="477"/>
      <c r="J79" s="477"/>
      <c r="K79" s="1693">
        <f t="shared" si="11"/>
        <v>0</v>
      </c>
      <c r="L79" s="466"/>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342922</v>
      </c>
      <c r="I86" s="477"/>
      <c r="J86" s="477"/>
      <c r="K86" s="1699">
        <f t="shared" ref="K86:K98" si="12">H86</f>
        <v>342922</v>
      </c>
      <c r="L86" s="530">
        <v>355000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v>71679</v>
      </c>
      <c r="I88" s="477"/>
      <c r="J88" s="477"/>
      <c r="K88" s="1699">
        <f t="shared" si="12"/>
        <v>71679</v>
      </c>
      <c r="L88" s="530">
        <v>54000</v>
      </c>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414601</v>
      </c>
      <c r="I92" s="477"/>
      <c r="J92" s="477"/>
      <c r="K92" s="1699">
        <f t="shared" si="12"/>
        <v>414601</v>
      </c>
      <c r="L92" s="1692">
        <f>SUM(L85:L91)</f>
        <v>409000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414601</v>
      </c>
      <c r="I102" s="477"/>
      <c r="J102" s="477"/>
      <c r="K102" s="1699">
        <f>SUM(K84,K92,K100,K101)</f>
        <v>414601</v>
      </c>
      <c r="L102" s="1699">
        <f>SUM(L84,L92,L100,L101)</f>
        <v>409000</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4614052</v>
      </c>
      <c r="D114" s="1692">
        <f t="shared" ref="D114:K114" si="13">SUM(D33,D74,D75,D102,D112,D113)</f>
        <v>840477</v>
      </c>
      <c r="E114" s="1692">
        <f t="shared" si="13"/>
        <v>269471</v>
      </c>
      <c r="F114" s="1692">
        <f t="shared" si="13"/>
        <v>547813</v>
      </c>
      <c r="G114" s="1692">
        <f t="shared" si="13"/>
        <v>47411</v>
      </c>
      <c r="H114" s="1692">
        <f>SUM(H33,H74,H75,H102,H112,H113)</f>
        <v>433651</v>
      </c>
      <c r="I114" s="1692">
        <f t="shared" si="13"/>
        <v>0</v>
      </c>
      <c r="J114" s="1692">
        <f t="shared" si="13"/>
        <v>0</v>
      </c>
      <c r="K114" s="1692">
        <f t="shared" si="13"/>
        <v>6752875</v>
      </c>
      <c r="L114" s="1692">
        <f>SUM(L33,L74,L75,L102,L112,L113)</f>
        <v>6871581</v>
      </c>
    </row>
    <row r="115" spans="1:14" ht="13.5" thickTop="1" x14ac:dyDescent="0.2">
      <c r="A115" s="2200" t="s">
        <v>1052</v>
      </c>
      <c r="B115" s="2201"/>
      <c r="C115" s="619"/>
      <c r="D115" s="619"/>
      <c r="E115" s="619"/>
      <c r="F115" s="619"/>
      <c r="G115" s="619"/>
      <c r="H115" s="619"/>
      <c r="I115" s="619"/>
      <c r="J115" s="619"/>
      <c r="K115" s="1706">
        <f>'Revenues 9-14'!C275-'Expenditures 15-22'!K114</f>
        <v>-67096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313</v>
      </c>
      <c r="B117" s="2179"/>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209927</v>
      </c>
      <c r="D124" s="466">
        <v>37268</v>
      </c>
      <c r="E124" s="466">
        <v>274729</v>
      </c>
      <c r="F124" s="466">
        <v>93280</v>
      </c>
      <c r="G124" s="466">
        <v>3172</v>
      </c>
      <c r="H124" s="466"/>
      <c r="I124" s="467"/>
      <c r="J124" s="467"/>
      <c r="K124" s="1692">
        <f>SUM(C124:J124)</f>
        <v>618376</v>
      </c>
      <c r="L124" s="466">
        <v>765246</v>
      </c>
    </row>
    <row r="125" spans="1:14" ht="14.25" thickTop="1" thickBot="1" x14ac:dyDescent="0.25">
      <c r="A125" s="1526" t="s">
        <v>1009</v>
      </c>
      <c r="B125" s="615">
        <v>2550</v>
      </c>
      <c r="C125" s="466"/>
      <c r="D125" s="466"/>
      <c r="E125" s="466"/>
      <c r="F125" s="466"/>
      <c r="G125" s="466" t="s">
        <v>2092</v>
      </c>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209927</v>
      </c>
      <c r="D127" s="1692">
        <f t="shared" ref="D127:L127" si="14">SUM(D122:D126)</f>
        <v>37268</v>
      </c>
      <c r="E127" s="1692">
        <f t="shared" si="14"/>
        <v>274729</v>
      </c>
      <c r="F127" s="1692">
        <f t="shared" si="14"/>
        <v>93280</v>
      </c>
      <c r="G127" s="1692">
        <f t="shared" si="14"/>
        <v>3172</v>
      </c>
      <c r="H127" s="1692">
        <f t="shared" si="14"/>
        <v>0</v>
      </c>
      <c r="I127" s="1692">
        <f t="shared" si="14"/>
        <v>0</v>
      </c>
      <c r="J127" s="1692">
        <f t="shared" si="14"/>
        <v>0</v>
      </c>
      <c r="K127" s="1692">
        <f t="shared" si="14"/>
        <v>618376</v>
      </c>
      <c r="L127" s="1692">
        <f t="shared" si="14"/>
        <v>765246</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209927</v>
      </c>
      <c r="D129" s="1699">
        <f t="shared" ref="D129:L129" si="15">SUM(D120,D127,D128)</f>
        <v>37268</v>
      </c>
      <c r="E129" s="1699">
        <f t="shared" si="15"/>
        <v>274729</v>
      </c>
      <c r="F129" s="1699">
        <f t="shared" si="15"/>
        <v>93280</v>
      </c>
      <c r="G129" s="1699">
        <f t="shared" si="15"/>
        <v>3172</v>
      </c>
      <c r="H129" s="1699">
        <f t="shared" si="15"/>
        <v>0</v>
      </c>
      <c r="I129" s="1699">
        <f t="shared" si="15"/>
        <v>0</v>
      </c>
      <c r="J129" s="1699">
        <f t="shared" si="15"/>
        <v>0</v>
      </c>
      <c r="K129" s="1699">
        <f t="shared" si="15"/>
        <v>618376</v>
      </c>
      <c r="L129" s="1699">
        <f t="shared" si="15"/>
        <v>765246</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1956</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row>
    <row r="151" spans="1:14" ht="12.75" customHeight="1" thickTop="1" thickBot="1" x14ac:dyDescent="0.25">
      <c r="A151" s="2190" t="s">
        <v>640</v>
      </c>
      <c r="B151" s="2172"/>
      <c r="C151" s="1692">
        <f>SUM(C129,C130,C139,C149,C150)</f>
        <v>209927</v>
      </c>
      <c r="D151" s="1692">
        <f t="shared" ref="D151:K151" si="16">SUM(D129,D130,D139,D149,D150)</f>
        <v>37268</v>
      </c>
      <c r="E151" s="1692">
        <f t="shared" si="16"/>
        <v>274729</v>
      </c>
      <c r="F151" s="1692">
        <f t="shared" si="16"/>
        <v>93280</v>
      </c>
      <c r="G151" s="1692">
        <f t="shared" si="16"/>
        <v>3172</v>
      </c>
      <c r="H151" s="1692">
        <f t="shared" si="16"/>
        <v>0</v>
      </c>
      <c r="I151" s="1692">
        <f t="shared" si="16"/>
        <v>0</v>
      </c>
      <c r="J151" s="1692">
        <f t="shared" si="16"/>
        <v>0</v>
      </c>
      <c r="K151" s="1692">
        <f t="shared" si="16"/>
        <v>618376</v>
      </c>
      <c r="L151" s="1692">
        <f>SUM(L129,L130,L139,L149,L150)</f>
        <v>765246</v>
      </c>
    </row>
    <row r="152" spans="1:14" ht="12.75" customHeight="1" thickTop="1" x14ac:dyDescent="0.2">
      <c r="A152" s="2193" t="s">
        <v>1239</v>
      </c>
      <c r="B152" s="2194"/>
      <c r="C152" s="619"/>
      <c r="D152" s="619"/>
      <c r="E152" s="619"/>
      <c r="F152" s="619"/>
      <c r="G152" s="619"/>
      <c r="H152" s="619"/>
      <c r="I152" s="619"/>
      <c r="J152" s="617"/>
      <c r="K152" s="1706">
        <f>'Revenues 9-14'!D275-'Expenditures 15-22'!K151</f>
        <v>60721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641</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337081</v>
      </c>
      <c r="I169" s="617"/>
      <c r="J169" s="617"/>
      <c r="K169" s="1693">
        <f>SUM(C169:H169)</f>
        <v>337081</v>
      </c>
      <c r="L169" s="657">
        <v>339081</v>
      </c>
    </row>
    <row r="170" spans="1:14" ht="33.75" customHeight="1" x14ac:dyDescent="0.2">
      <c r="A170" s="670" t="s">
        <v>1768</v>
      </c>
      <c r="B170" s="672" t="s">
        <v>31</v>
      </c>
      <c r="C170" s="617"/>
      <c r="D170" s="617"/>
      <c r="E170" s="617"/>
      <c r="F170" s="617"/>
      <c r="G170" s="617"/>
      <c r="H170" s="569">
        <v>1005000</v>
      </c>
      <c r="I170" s="617"/>
      <c r="J170" s="617"/>
      <c r="K170" s="1693">
        <f>SUM(C170:J170)</f>
        <v>1005000</v>
      </c>
      <c r="L170" s="569">
        <v>1101332</v>
      </c>
    </row>
    <row r="171" spans="1:14" ht="15.75" customHeight="1" x14ac:dyDescent="0.2">
      <c r="A171" s="622" t="s">
        <v>789</v>
      </c>
      <c r="B171" s="673" t="s">
        <v>86</v>
      </c>
      <c r="C171" s="617"/>
      <c r="D171" s="617"/>
      <c r="E171" s="466">
        <v>21536</v>
      </c>
      <c r="F171" s="617"/>
      <c r="G171" s="617"/>
      <c r="H171" s="569">
        <v>34726</v>
      </c>
      <c r="I171" s="477"/>
      <c r="J171" s="617"/>
      <c r="K171" s="1693">
        <f>SUM(C171:J171)</f>
        <v>56262</v>
      </c>
      <c r="L171" s="569">
        <v>23500</v>
      </c>
    </row>
    <row r="172" spans="1:14" ht="12.75" customHeight="1" thickBot="1" x14ac:dyDescent="0.25">
      <c r="A172" s="1690" t="s">
        <v>658</v>
      </c>
      <c r="B172" s="1691" t="s">
        <v>512</v>
      </c>
      <c r="C172" s="617"/>
      <c r="D172" s="617"/>
      <c r="E172" s="1699">
        <f>SUM(E168,E169,E170,E171)</f>
        <v>21536</v>
      </c>
      <c r="F172" s="617"/>
      <c r="G172" s="617"/>
      <c r="H172" s="1699">
        <f>SUM(H168,H169,H170,H171)</f>
        <v>1376807</v>
      </c>
      <c r="I172" s="639"/>
      <c r="J172" s="617"/>
      <c r="K172" s="1699">
        <f>SUM(K168,K169,K170,K171)</f>
        <v>1398343</v>
      </c>
      <c r="L172" s="1699">
        <f>SUM(L168,L169,L170,L171)</f>
        <v>1463913</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21536</v>
      </c>
      <c r="F174" s="617"/>
      <c r="G174" s="617"/>
      <c r="H174" s="1699">
        <f>SUM(H160,H172,H173)</f>
        <v>1376807</v>
      </c>
      <c r="I174" s="639"/>
      <c r="J174" s="617"/>
      <c r="K174" s="1699">
        <f>SUM(K160,K172,K173)</f>
        <v>1398343</v>
      </c>
      <c r="L174" s="1699">
        <f>SUM(L160,L172,L173)</f>
        <v>1463913</v>
      </c>
    </row>
    <row r="175" spans="1:14" ht="13.5" thickTop="1" x14ac:dyDescent="0.2">
      <c r="A175" s="2200" t="s">
        <v>1052</v>
      </c>
      <c r="B175" s="2201"/>
      <c r="C175" s="617"/>
      <c r="D175" s="617"/>
      <c r="E175" s="617"/>
      <c r="F175" s="617"/>
      <c r="G175" s="617"/>
      <c r="H175" s="619"/>
      <c r="I175" s="617"/>
      <c r="J175" s="617"/>
      <c r="K175" s="1706">
        <f>'Revenues 9-14'!E275-'Expenditures 15-22'!K174</f>
        <v>-89472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290752</v>
      </c>
      <c r="D182" s="466">
        <v>5068</v>
      </c>
      <c r="E182" s="466">
        <v>35640</v>
      </c>
      <c r="F182" s="466">
        <v>99210</v>
      </c>
      <c r="G182" s="466">
        <v>135288</v>
      </c>
      <c r="H182" s="466"/>
      <c r="I182" s="467"/>
      <c r="J182" s="467"/>
      <c r="K182" s="1693">
        <f>SUM(C182:J182)</f>
        <v>565958</v>
      </c>
      <c r="L182" s="466">
        <v>570412</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290752</v>
      </c>
      <c r="D184" s="1699">
        <f t="shared" ref="D184:J184" si="17">SUM(D180,D182,D183)</f>
        <v>5068</v>
      </c>
      <c r="E184" s="1699">
        <f t="shared" si="17"/>
        <v>35640</v>
      </c>
      <c r="F184" s="1699">
        <f t="shared" si="17"/>
        <v>99210</v>
      </c>
      <c r="G184" s="1699">
        <f t="shared" si="17"/>
        <v>135288</v>
      </c>
      <c r="H184" s="1699">
        <f t="shared" si="17"/>
        <v>0</v>
      </c>
      <c r="I184" s="1699">
        <f t="shared" si="17"/>
        <v>0</v>
      </c>
      <c r="J184" s="1699">
        <f t="shared" si="17"/>
        <v>0</v>
      </c>
      <c r="K184" s="1699">
        <f>SUM(K180,K182,K183)</f>
        <v>565958</v>
      </c>
      <c r="L184" s="1699">
        <f>SUM(L180, L182:L183)</f>
        <v>570412</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290752</v>
      </c>
      <c r="D210" s="1692">
        <f>SUM(D184,D185)</f>
        <v>5068</v>
      </c>
      <c r="E210" s="1692">
        <f>SUM(E184,E185,E196)</f>
        <v>35640</v>
      </c>
      <c r="F210" s="1692">
        <f>SUM(F184,F185)</f>
        <v>99210</v>
      </c>
      <c r="G210" s="1692">
        <f>SUM(G184,G185)</f>
        <v>135288</v>
      </c>
      <c r="H210" s="1692">
        <f>SUM(H184,H185,H196,H208,H209)</f>
        <v>0</v>
      </c>
      <c r="I210" s="1692">
        <f>SUM(I184,I185)</f>
        <v>0</v>
      </c>
      <c r="J210" s="1692">
        <f>SUM(J184,J185)</f>
        <v>0</v>
      </c>
      <c r="K210" s="1693">
        <f>SUM(K184,K185,K196,K208,K209)</f>
        <v>565958</v>
      </c>
      <c r="L210" s="1692">
        <f>SUM(L184,L185,L196,L208,L209)</f>
        <v>570412</v>
      </c>
    </row>
    <row r="211" spans="1:14" ht="13.5" thickTop="1" x14ac:dyDescent="0.2">
      <c r="A211" s="2200" t="s">
        <v>1052</v>
      </c>
      <c r="B211" s="2201"/>
      <c r="C211" s="619"/>
      <c r="D211" s="619"/>
      <c r="E211" s="619"/>
      <c r="F211" s="619"/>
      <c r="G211" s="619"/>
      <c r="H211" s="619"/>
      <c r="I211" s="617"/>
      <c r="J211" s="617"/>
      <c r="K211" s="1706">
        <f>'Revenues 9-14'!F275-'Expenditures 15-22'!K210</f>
        <v>15967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1021</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48807</v>
      </c>
      <c r="E215" s="617"/>
      <c r="F215" s="617"/>
      <c r="G215" s="617"/>
      <c r="H215" s="617"/>
      <c r="I215" s="617"/>
      <c r="J215" s="617"/>
      <c r="K215" s="1693">
        <f>D215</f>
        <v>48807</v>
      </c>
      <c r="L215" s="466">
        <v>34300</v>
      </c>
    </row>
    <row r="216" spans="1:14" x14ac:dyDescent="0.2">
      <c r="A216" s="1526" t="s">
        <v>165</v>
      </c>
      <c r="B216" s="615" t="s">
        <v>1023</v>
      </c>
      <c r="C216" s="617"/>
      <c r="D216" s="467"/>
      <c r="E216" s="617"/>
      <c r="F216" s="617"/>
      <c r="G216" s="617"/>
      <c r="H216" s="617"/>
      <c r="I216" s="617"/>
      <c r="J216" s="617"/>
      <c r="K216" s="1693">
        <f t="shared" ref="K216:K228" si="19">D216</f>
        <v>0</v>
      </c>
      <c r="L216" s="466">
        <v>15000</v>
      </c>
    </row>
    <row r="217" spans="1:14" x14ac:dyDescent="0.2">
      <c r="A217" s="1526" t="s">
        <v>166</v>
      </c>
      <c r="B217" s="615">
        <v>1200</v>
      </c>
      <c r="C217" s="617"/>
      <c r="D217" s="466">
        <v>4430</v>
      </c>
      <c r="E217" s="617"/>
      <c r="F217" s="617"/>
      <c r="G217" s="617"/>
      <c r="H217" s="617"/>
      <c r="I217" s="617"/>
      <c r="J217" s="617"/>
      <c r="K217" s="1693">
        <f t="shared" si="19"/>
        <v>4430</v>
      </c>
      <c r="L217" s="466">
        <v>7825</v>
      </c>
    </row>
    <row r="218" spans="1:14" x14ac:dyDescent="0.2">
      <c r="A218" s="1526" t="s">
        <v>295</v>
      </c>
      <c r="B218" s="615" t="s">
        <v>1024</v>
      </c>
      <c r="C218" s="617"/>
      <c r="D218" s="467">
        <v>3539</v>
      </c>
      <c r="E218" s="617"/>
      <c r="F218" s="617"/>
      <c r="G218" s="617"/>
      <c r="H218" s="617"/>
      <c r="I218" s="617"/>
      <c r="J218" s="617"/>
      <c r="K218" s="1693">
        <f t="shared" si="19"/>
        <v>3539</v>
      </c>
      <c r="L218" s="466"/>
    </row>
    <row r="219" spans="1:14" x14ac:dyDescent="0.2">
      <c r="A219" s="1526" t="s">
        <v>296</v>
      </c>
      <c r="B219" s="615">
        <v>1250</v>
      </c>
      <c r="C219" s="617"/>
      <c r="D219" s="466">
        <v>3320</v>
      </c>
      <c r="E219" s="617"/>
      <c r="F219" s="617"/>
      <c r="G219" s="617"/>
      <c r="H219" s="617"/>
      <c r="I219" s="617"/>
      <c r="J219" s="617"/>
      <c r="K219" s="1693">
        <f t="shared" si="19"/>
        <v>3320</v>
      </c>
      <c r="L219" s="466">
        <v>3335</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c r="E222" s="617"/>
      <c r="F222" s="617"/>
      <c r="G222" s="617"/>
      <c r="H222" s="617"/>
      <c r="I222" s="617"/>
      <c r="J222" s="617"/>
      <c r="K222" s="1693">
        <f t="shared" si="19"/>
        <v>0</v>
      </c>
      <c r="L222" s="466"/>
    </row>
    <row r="223" spans="1:14" x14ac:dyDescent="0.2">
      <c r="A223" s="1526" t="s">
        <v>1019</v>
      </c>
      <c r="B223" s="615">
        <v>1500</v>
      </c>
      <c r="C223" s="617"/>
      <c r="D223" s="466">
        <v>3061</v>
      </c>
      <c r="E223" s="617"/>
      <c r="F223" s="617"/>
      <c r="G223" s="617"/>
      <c r="H223" s="617"/>
      <c r="I223" s="617"/>
      <c r="J223" s="617"/>
      <c r="K223" s="1693">
        <f t="shared" si="19"/>
        <v>3061</v>
      </c>
      <c r="L223" s="466">
        <v>3610</v>
      </c>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v>732</v>
      </c>
      <c r="E226" s="617"/>
      <c r="F226" s="617"/>
      <c r="G226" s="617"/>
      <c r="H226" s="617"/>
      <c r="I226" s="617"/>
      <c r="J226" s="617"/>
      <c r="K226" s="1693">
        <f t="shared" si="19"/>
        <v>732</v>
      </c>
      <c r="L226" s="466">
        <v>750</v>
      </c>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63889</v>
      </c>
      <c r="E229" s="617"/>
      <c r="F229" s="617"/>
      <c r="G229" s="617"/>
      <c r="H229" s="617"/>
      <c r="I229" s="617"/>
      <c r="J229" s="617"/>
      <c r="K229" s="1692">
        <f>SUM(K215:K228)</f>
        <v>63889</v>
      </c>
      <c r="L229" s="1692">
        <f>SUM(L215:L228)</f>
        <v>64820</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c r="E232" s="617"/>
      <c r="F232" s="617"/>
      <c r="G232" s="617"/>
      <c r="H232" s="617"/>
      <c r="I232" s="617"/>
      <c r="J232" s="617"/>
      <c r="K232" s="1693">
        <f t="shared" ref="K232:K237" si="20">D232</f>
        <v>0</v>
      </c>
      <c r="L232" s="466"/>
    </row>
    <row r="233" spans="1:12" x14ac:dyDescent="0.2">
      <c r="A233" s="1526" t="s">
        <v>1150</v>
      </c>
      <c r="B233" s="615">
        <v>2120</v>
      </c>
      <c r="C233" s="617"/>
      <c r="D233" s="466">
        <v>1095</v>
      </c>
      <c r="E233" s="617"/>
      <c r="F233" s="617"/>
      <c r="G233" s="617"/>
      <c r="H233" s="617"/>
      <c r="I233" s="617"/>
      <c r="J233" s="617"/>
      <c r="K233" s="1693">
        <f t="shared" si="20"/>
        <v>1095</v>
      </c>
      <c r="L233" s="466">
        <v>1130</v>
      </c>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268</v>
      </c>
      <c r="E237" s="617"/>
      <c r="F237" s="617"/>
      <c r="G237" s="617"/>
      <c r="H237" s="617"/>
      <c r="I237" s="617"/>
      <c r="J237" s="617"/>
      <c r="K237" s="1693">
        <f t="shared" si="20"/>
        <v>268</v>
      </c>
      <c r="L237" s="466">
        <v>310</v>
      </c>
    </row>
    <row r="238" spans="1:12" ht="12.75" customHeight="1" thickBot="1" x14ac:dyDescent="0.25">
      <c r="A238" s="1690" t="s">
        <v>580</v>
      </c>
      <c r="B238" s="1697" t="s">
        <v>739</v>
      </c>
      <c r="C238" s="617"/>
      <c r="D238" s="1692">
        <f>SUM(D232:D237)</f>
        <v>1363</v>
      </c>
      <c r="E238" s="617"/>
      <c r="F238" s="617"/>
      <c r="G238" s="617"/>
      <c r="H238" s="617"/>
      <c r="I238" s="617"/>
      <c r="J238" s="617"/>
      <c r="K238" s="1692">
        <f>SUM(K232:K237)</f>
        <v>1363</v>
      </c>
      <c r="L238" s="1692">
        <f>SUM(L232:L237)</f>
        <v>1440</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627</v>
      </c>
      <c r="E240" s="617"/>
      <c r="F240" s="617"/>
      <c r="G240" s="617"/>
      <c r="H240" s="617"/>
      <c r="I240" s="617"/>
      <c r="J240" s="617"/>
      <c r="K240" s="1694">
        <f>D240</f>
        <v>627</v>
      </c>
      <c r="L240" s="481">
        <v>780</v>
      </c>
    </row>
    <row r="241" spans="1:12" x14ac:dyDescent="0.2">
      <c r="A241" s="1526" t="s">
        <v>868</v>
      </c>
      <c r="B241" s="615">
        <v>2220</v>
      </c>
      <c r="C241" s="617"/>
      <c r="D241" s="466">
        <v>886</v>
      </c>
      <c r="E241" s="617"/>
      <c r="F241" s="617"/>
      <c r="G241" s="617"/>
      <c r="H241" s="617"/>
      <c r="I241" s="617"/>
      <c r="J241" s="617"/>
      <c r="K241" s="1694">
        <f>D241</f>
        <v>886</v>
      </c>
      <c r="L241" s="466">
        <v>895</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1513</v>
      </c>
      <c r="E243" s="617"/>
      <c r="F243" s="617"/>
      <c r="G243" s="617"/>
      <c r="H243" s="617"/>
      <c r="I243" s="617"/>
      <c r="J243" s="617"/>
      <c r="K243" s="1692">
        <f>SUM(K240:K242)</f>
        <v>1513</v>
      </c>
      <c r="L243" s="1692">
        <f>SUM(L240:L242)</f>
        <v>1675</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c r="E245" s="617"/>
      <c r="F245" s="617"/>
      <c r="G245" s="617"/>
      <c r="H245" s="617"/>
      <c r="I245" s="617"/>
      <c r="J245" s="617"/>
      <c r="K245" s="1694">
        <f>D245</f>
        <v>0</v>
      </c>
      <c r="L245" s="481"/>
    </row>
    <row r="246" spans="1:12" x14ac:dyDescent="0.2">
      <c r="A246" s="1526" t="s">
        <v>871</v>
      </c>
      <c r="B246" s="615">
        <v>2320</v>
      </c>
      <c r="C246" s="617"/>
      <c r="D246" s="466">
        <v>1875</v>
      </c>
      <c r="E246" s="617"/>
      <c r="F246" s="617"/>
      <c r="G246" s="617"/>
      <c r="H246" s="617"/>
      <c r="I246" s="617"/>
      <c r="J246" s="617"/>
      <c r="K246" s="1694">
        <f t="shared" ref="K246:K256" si="21">D246</f>
        <v>1875</v>
      </c>
      <c r="L246" s="466">
        <v>1880</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1907</v>
      </c>
      <c r="B249" s="684" t="s">
        <v>299</v>
      </c>
      <c r="C249" s="617"/>
      <c r="D249" s="474"/>
      <c r="E249" s="617"/>
      <c r="F249" s="617"/>
      <c r="G249" s="617"/>
      <c r="H249" s="617"/>
      <c r="I249" s="617"/>
      <c r="J249" s="617"/>
      <c r="K249" s="1694">
        <f t="shared" si="21"/>
        <v>0</v>
      </c>
      <c r="L249" s="466"/>
    </row>
    <row r="250" spans="1:12" x14ac:dyDescent="0.2">
      <c r="A250" s="1527" t="s">
        <v>1908</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1875</v>
      </c>
      <c r="E257" s="617"/>
      <c r="F257" s="617"/>
      <c r="G257" s="617"/>
      <c r="H257" s="617"/>
      <c r="I257" s="617"/>
      <c r="J257" s="617"/>
      <c r="K257" s="1692">
        <f>SUM(K245:K256)</f>
        <v>1875</v>
      </c>
      <c r="L257" s="1692">
        <f>SUM(L245:L256)</f>
        <v>1880</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23077</v>
      </c>
      <c r="E259" s="617"/>
      <c r="F259" s="617"/>
      <c r="G259" s="617"/>
      <c r="H259" s="617"/>
      <c r="I259" s="617"/>
      <c r="J259" s="617"/>
      <c r="K259" s="1694">
        <f>D259</f>
        <v>23077</v>
      </c>
      <c r="L259" s="481">
        <v>25200</v>
      </c>
    </row>
    <row r="260" spans="1:14" s="598" customFormat="1" x14ac:dyDescent="0.2">
      <c r="A260" s="1544" t="s">
        <v>1906</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280</v>
      </c>
      <c r="B261" s="1719" t="s">
        <v>34</v>
      </c>
      <c r="C261" s="617"/>
      <c r="D261" s="1692">
        <f>SUM(D259:D260)</f>
        <v>23077</v>
      </c>
      <c r="E261" s="617"/>
      <c r="F261" s="617"/>
      <c r="G261" s="617"/>
      <c r="H261" s="617"/>
      <c r="I261" s="617"/>
      <c r="J261" s="617"/>
      <c r="K261" s="1692">
        <f>SUM(K259:K260)</f>
        <v>23077</v>
      </c>
      <c r="L261" s="1692">
        <f>SUM(L259:L260)</f>
        <v>25200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v>15458</v>
      </c>
      <c r="E264" s="617"/>
      <c r="F264" s="617"/>
      <c r="G264" s="617"/>
      <c r="H264" s="617"/>
      <c r="I264" s="617"/>
      <c r="J264" s="617"/>
      <c r="K264" s="1694">
        <f t="shared" ref="K264:K269" si="22">D264</f>
        <v>15458</v>
      </c>
      <c r="L264" s="466">
        <v>16000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40617</v>
      </c>
      <c r="E266" s="617"/>
      <c r="F266" s="617"/>
      <c r="G266" s="617"/>
      <c r="H266" s="617"/>
      <c r="I266" s="617"/>
      <c r="J266" s="617"/>
      <c r="K266" s="1694">
        <f t="shared" si="22"/>
        <v>40617</v>
      </c>
      <c r="L266" s="466">
        <v>46100</v>
      </c>
    </row>
    <row r="267" spans="1:14" x14ac:dyDescent="0.2">
      <c r="A267" s="1526" t="s">
        <v>1009</v>
      </c>
      <c r="B267" s="615">
        <v>2550</v>
      </c>
      <c r="C267" s="617"/>
      <c r="D267" s="466">
        <v>28863</v>
      </c>
      <c r="E267" s="617"/>
      <c r="F267" s="617"/>
      <c r="G267" s="617"/>
      <c r="H267" s="617"/>
      <c r="I267" s="617"/>
      <c r="J267" s="617"/>
      <c r="K267" s="1694">
        <f t="shared" si="22"/>
        <v>28863</v>
      </c>
      <c r="L267" s="466">
        <v>30000</v>
      </c>
    </row>
    <row r="268" spans="1:14" x14ac:dyDescent="0.2">
      <c r="A268" s="1526" t="s">
        <v>102</v>
      </c>
      <c r="B268" s="615">
        <v>2560</v>
      </c>
      <c r="C268" s="617"/>
      <c r="D268" s="466">
        <v>17339</v>
      </c>
      <c r="E268" s="617"/>
      <c r="F268" s="617"/>
      <c r="G268" s="617"/>
      <c r="H268" s="617"/>
      <c r="I268" s="617"/>
      <c r="J268" s="617"/>
      <c r="K268" s="1694">
        <f t="shared" si="22"/>
        <v>17339</v>
      </c>
      <c r="L268" s="466">
        <v>18200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102277</v>
      </c>
      <c r="E270" s="617"/>
      <c r="F270" s="617"/>
      <c r="G270" s="617"/>
      <c r="H270" s="617"/>
      <c r="I270" s="617"/>
      <c r="J270" s="617"/>
      <c r="K270" s="1692">
        <f>SUM(K263:K269)</f>
        <v>102277</v>
      </c>
      <c r="L270" s="1692">
        <f>SUM(L263:L269)</f>
        <v>110300</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130105</v>
      </c>
      <c r="E279" s="617"/>
      <c r="F279" s="617"/>
      <c r="G279" s="617"/>
      <c r="H279" s="617"/>
      <c r="I279" s="617"/>
      <c r="J279" s="617"/>
      <c r="K279" s="1699">
        <f>SUM(K238,K243,K257,K261,K270,K277,K278)</f>
        <v>130105</v>
      </c>
      <c r="L279" s="1699">
        <f>SUM(L238,L243,L257,L261,L270,L277,L278)</f>
        <v>140495</v>
      </c>
    </row>
    <row r="280" spans="1:12" ht="15.75" customHeight="1" thickTop="1" thickBot="1" x14ac:dyDescent="0.25">
      <c r="A280" s="1646" t="s">
        <v>929</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1956</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1" t="s">
        <v>525</v>
      </c>
      <c r="B295" s="2192"/>
      <c r="C295" s="617"/>
      <c r="D295" s="1692">
        <f>SUM(D229,D279,D280,D285)</f>
        <v>193994</v>
      </c>
      <c r="E295" s="617"/>
      <c r="F295" s="617"/>
      <c r="G295" s="617"/>
      <c r="H295" s="1692">
        <f>H293</f>
        <v>0</v>
      </c>
      <c r="I295" s="617"/>
      <c r="J295" s="617"/>
      <c r="K295" s="1692">
        <f>SUM(K229,K279,K280,K285,K293,K294)</f>
        <v>193994</v>
      </c>
      <c r="L295" s="1692">
        <f>SUM(L229,L279,L280,L285,L293,L294)</f>
        <v>205315</v>
      </c>
    </row>
    <row r="296" spans="1:14" ht="13.5" thickTop="1" x14ac:dyDescent="0.2">
      <c r="A296" s="2200" t="s">
        <v>1052</v>
      </c>
      <c r="B296" s="2201"/>
      <c r="C296" s="617"/>
      <c r="D296" s="619"/>
      <c r="E296" s="617"/>
      <c r="F296" s="617"/>
      <c r="G296" s="617"/>
      <c r="H296" s="688"/>
      <c r="I296" s="617"/>
      <c r="J296" s="617"/>
      <c r="K296" s="1706">
        <f>'Revenues 9-14'!G275-'Expenditures 15-22'!K295</f>
        <v>9419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125660</v>
      </c>
      <c r="F301" s="466"/>
      <c r="G301" s="466">
        <v>208735</v>
      </c>
      <c r="H301" s="466"/>
      <c r="I301" s="467"/>
      <c r="J301" s="467"/>
      <c r="K301" s="1693">
        <f>SUM(C301:J301)</f>
        <v>334395</v>
      </c>
      <c r="L301" s="467">
        <v>452747</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125660</v>
      </c>
      <c r="F303" s="1699">
        <f t="shared" si="23"/>
        <v>0</v>
      </c>
      <c r="G303" s="1699">
        <f t="shared" si="23"/>
        <v>208735</v>
      </c>
      <c r="H303" s="1699">
        <f t="shared" si="23"/>
        <v>0</v>
      </c>
      <c r="I303" s="1699">
        <f t="shared" si="23"/>
        <v>0</v>
      </c>
      <c r="J303" s="1699">
        <f t="shared" si="23"/>
        <v>0</v>
      </c>
      <c r="K303" s="1699">
        <f t="shared" si="23"/>
        <v>334395</v>
      </c>
      <c r="L303" s="1699">
        <f t="shared" si="23"/>
        <v>452747</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8" t="s">
        <v>294</v>
      </c>
      <c r="B312" s="2189"/>
      <c r="C312" s="1692">
        <f>SUM(C303)</f>
        <v>0</v>
      </c>
      <c r="D312" s="1692">
        <f>SUM(D303)</f>
        <v>0</v>
      </c>
      <c r="E312" s="1692">
        <f>SUM(E303,E310)</f>
        <v>125660</v>
      </c>
      <c r="F312" s="1692">
        <f>SUM(F303)</f>
        <v>0</v>
      </c>
      <c r="G312" s="1692">
        <f>SUM(G303)</f>
        <v>208735</v>
      </c>
      <c r="H312" s="1692">
        <f>SUM(H303,H310)</f>
        <v>0</v>
      </c>
      <c r="I312" s="1692">
        <f>SUM(I303)</f>
        <v>0</v>
      </c>
      <c r="J312" s="1692">
        <f>SUM(J303)</f>
        <v>0</v>
      </c>
      <c r="K312" s="1692">
        <f>SUM(K303,K310,K311)</f>
        <v>334395</v>
      </c>
      <c r="L312" s="1692">
        <f>SUM(L303,L310,L311)</f>
        <v>452747</v>
      </c>
      <c r="M312" s="666"/>
      <c r="N312" s="666"/>
    </row>
    <row r="313" spans="1:14" ht="13.5" thickTop="1" x14ac:dyDescent="0.2">
      <c r="A313" s="2184" t="s">
        <v>1052</v>
      </c>
      <c r="B313" s="2185"/>
      <c r="C313" s="627"/>
      <c r="D313" s="627"/>
      <c r="E313" s="627"/>
      <c r="F313" s="627"/>
      <c r="G313" s="627"/>
      <c r="H313" s="627"/>
      <c r="I313" s="627"/>
      <c r="J313" s="627"/>
      <c r="K313" s="1707">
        <f>'Revenues 9-14'!H275-'Expenditures 15-22'!K312</f>
        <v>118018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953</v>
      </c>
      <c r="B317" s="2198"/>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1907</v>
      </c>
      <c r="B320" s="699" t="s">
        <v>299</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v>132015</v>
      </c>
      <c r="F322" s="467"/>
      <c r="G322" s="467"/>
      <c r="H322" s="467"/>
      <c r="I322" s="467"/>
      <c r="J322" s="467"/>
      <c r="K322" s="1693">
        <f t="shared" si="24"/>
        <v>132015</v>
      </c>
      <c r="L322" s="467">
        <v>160000</v>
      </c>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v>228897</v>
      </c>
      <c r="D325" s="467"/>
      <c r="E325" s="467"/>
      <c r="F325" s="467"/>
      <c r="G325" s="467"/>
      <c r="H325" s="467"/>
      <c r="I325" s="467"/>
      <c r="J325" s="467"/>
      <c r="K325" s="1693">
        <f t="shared" si="24"/>
        <v>228897</v>
      </c>
      <c r="L325" s="467">
        <v>228897</v>
      </c>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v>13629</v>
      </c>
      <c r="F327" s="467"/>
      <c r="G327" s="467"/>
      <c r="H327" s="467"/>
      <c r="I327" s="467"/>
      <c r="J327" s="467"/>
      <c r="K327" s="1693">
        <f t="shared" si="24"/>
        <v>13629</v>
      </c>
      <c r="L327" s="467">
        <v>15000</v>
      </c>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228897</v>
      </c>
      <c r="D330" s="1692">
        <f t="shared" ref="D330:J330" si="25">SUM(D319:D329)</f>
        <v>0</v>
      </c>
      <c r="E330" s="1692">
        <f t="shared" si="25"/>
        <v>145644</v>
      </c>
      <c r="F330" s="1692">
        <f t="shared" si="25"/>
        <v>0</v>
      </c>
      <c r="G330" s="1692">
        <f t="shared" si="25"/>
        <v>0</v>
      </c>
      <c r="H330" s="1692">
        <f t="shared" si="25"/>
        <v>0</v>
      </c>
      <c r="I330" s="1692">
        <f t="shared" si="25"/>
        <v>0</v>
      </c>
      <c r="J330" s="1692">
        <f t="shared" si="25"/>
        <v>0</v>
      </c>
      <c r="K330" s="1692">
        <f>SUM(K319:K329)</f>
        <v>374541</v>
      </c>
      <c r="L330" s="1692">
        <f>SUM(L319:L329)</f>
        <v>403897</v>
      </c>
      <c r="M330" s="666"/>
      <c r="N330" s="666"/>
    </row>
    <row r="331" spans="1:14" s="675" customFormat="1" ht="12.75" customHeight="1" thickTop="1" x14ac:dyDescent="0.2">
      <c r="A331" s="1854" t="s">
        <v>1962</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228897</v>
      </c>
      <c r="D342" s="1692">
        <f>SUM(D330)</f>
        <v>0</v>
      </c>
      <c r="E342" s="1692">
        <f>SUM(E330)</f>
        <v>145644</v>
      </c>
      <c r="F342" s="1692">
        <f>SUM(F330)</f>
        <v>0</v>
      </c>
      <c r="G342" s="1692">
        <f>SUM(G330)</f>
        <v>0</v>
      </c>
      <c r="H342" s="1692">
        <f>SUM(H330,H334,H340)</f>
        <v>0</v>
      </c>
      <c r="I342" s="1692">
        <f>SUM(I330)</f>
        <v>0</v>
      </c>
      <c r="J342" s="1692">
        <f>SUM(J330)</f>
        <v>0</v>
      </c>
      <c r="K342" s="1692">
        <f>SUM(K330,K334,K340)</f>
        <v>374541</v>
      </c>
      <c r="L342" s="1699">
        <f>SUM(L330,L340,L341)</f>
        <v>403897</v>
      </c>
    </row>
    <row r="343" spans="1:14" ht="12.75" customHeight="1" thickTop="1" x14ac:dyDescent="0.2">
      <c r="A343" s="2186" t="s">
        <v>1052</v>
      </c>
      <c r="B343" s="2187"/>
      <c r="C343" s="617"/>
      <c r="D343" s="617"/>
      <c r="E343" s="617"/>
      <c r="F343" s="617"/>
      <c r="G343" s="617"/>
      <c r="H343" s="617"/>
      <c r="I343" s="617"/>
      <c r="J343" s="617"/>
      <c r="K343" s="1706">
        <f>'Revenues 9-14'!J275-'Expenditures 15-22'!K342</f>
        <v>31786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1022</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v>1312</v>
      </c>
      <c r="H349" s="466"/>
      <c r="I349" s="467"/>
      <c r="J349" s="467"/>
      <c r="K349" s="1693">
        <f>SUM(C349:J349)</f>
        <v>1312</v>
      </c>
      <c r="L349" s="466">
        <v>17500</v>
      </c>
    </row>
    <row r="350" spans="1:14" ht="12.75" customHeight="1" thickBot="1" x14ac:dyDescent="0.25">
      <c r="A350" s="1690" t="s">
        <v>742</v>
      </c>
      <c r="B350" s="1691" t="s">
        <v>35</v>
      </c>
      <c r="C350" s="1692">
        <f>SUM(C348:C349)</f>
        <v>0</v>
      </c>
      <c r="D350" s="1692">
        <f t="shared" ref="D350:L350" si="26">SUM(D348:D349)</f>
        <v>0</v>
      </c>
      <c r="E350" s="1692">
        <f t="shared" si="26"/>
        <v>0</v>
      </c>
      <c r="F350" s="1692">
        <f t="shared" si="26"/>
        <v>0</v>
      </c>
      <c r="G350" s="1692">
        <f t="shared" si="26"/>
        <v>1312</v>
      </c>
      <c r="H350" s="1692">
        <f t="shared" si="26"/>
        <v>0</v>
      </c>
      <c r="I350" s="1692">
        <f t="shared" si="26"/>
        <v>0</v>
      </c>
      <c r="J350" s="1692">
        <f t="shared" si="26"/>
        <v>0</v>
      </c>
      <c r="K350" s="1692">
        <f t="shared" si="26"/>
        <v>1312</v>
      </c>
      <c r="L350" s="1692">
        <f t="shared" si="26"/>
        <v>17500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0</v>
      </c>
      <c r="F352" s="1692">
        <f t="shared" si="27"/>
        <v>0</v>
      </c>
      <c r="G352" s="1692">
        <f t="shared" si="27"/>
        <v>1312</v>
      </c>
      <c r="H352" s="1692">
        <f t="shared" si="27"/>
        <v>0</v>
      </c>
      <c r="I352" s="1692">
        <f t="shared" si="27"/>
        <v>0</v>
      </c>
      <c r="J352" s="1692">
        <f t="shared" si="27"/>
        <v>0</v>
      </c>
      <c r="K352" s="1692">
        <f t="shared" si="27"/>
        <v>1312</v>
      </c>
      <c r="L352" s="1692">
        <f t="shared" si="27"/>
        <v>17500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0</v>
      </c>
      <c r="F367" s="1692">
        <f t="shared" si="28"/>
        <v>0</v>
      </c>
      <c r="G367" s="1692">
        <f t="shared" si="28"/>
        <v>1312</v>
      </c>
      <c r="H367" s="1692">
        <f t="shared" si="28"/>
        <v>0</v>
      </c>
      <c r="I367" s="1692">
        <f t="shared" si="28"/>
        <v>0</v>
      </c>
      <c r="J367" s="1692">
        <f t="shared" si="28"/>
        <v>0</v>
      </c>
      <c r="K367" s="1692">
        <f t="shared" si="28"/>
        <v>1312</v>
      </c>
      <c r="L367" s="1692">
        <f t="shared" si="28"/>
        <v>17500</v>
      </c>
    </row>
    <row r="368" spans="1:14" ht="13.5" thickTop="1" x14ac:dyDescent="0.2">
      <c r="A368" s="2200" t="s">
        <v>1052</v>
      </c>
      <c r="B368" s="2201"/>
      <c r="C368" s="655"/>
      <c r="D368" s="655"/>
      <c r="E368" s="627"/>
      <c r="F368" s="627"/>
      <c r="G368" s="627"/>
      <c r="H368" s="627"/>
      <c r="I368" s="627"/>
      <c r="J368" s="624"/>
      <c r="K368" s="1693">
        <f>'Revenues 9-14'!K275-'Expenditures 15-22'!K367</f>
        <v>68145</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&amp;F&amp;RThe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2.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914F8B6-F742-48D8-9F13-1076A7DC5E6F}">
  <ds:schemaRefs>
    <ds:schemaRef ds:uri="http://schemas.microsoft.com/office/2006/metadata/properties"/>
    <ds:schemaRef ds:uri="http://schemas.microsoft.com/sharepoint/v3"/>
    <ds:schemaRef ds:uri="d21dc803-237d-4c68-8692-8d731fd29118"/>
    <ds:schemaRef ds:uri="http://www.w3.org/XML/1998/namespace"/>
    <ds:schemaRef ds:uri="http://purl.org/dc/elements/1.1/"/>
    <ds:schemaRef ds:uri="6ce3111e-7420-4802-b50a-75d4e9a0b980"/>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4d435f69-8686-490b-bd6d-b153bf22ab5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Sheet1</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2018-09-07T19:15:35Z</cp:lastPrinted>
  <dcterms:created xsi:type="dcterms:W3CDTF">2003-10-29T19:06:34Z</dcterms:created>
  <dcterms:modified xsi:type="dcterms:W3CDTF">2018-10-12T16:19:15Z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