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30"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s="1"/>
  <c r="B6303" i="106"/>
  <c r="D6303" i="106"/>
  <c r="B6304" i="106"/>
  <c r="D6304" i="106" s="1"/>
  <c r="B6305" i="106"/>
  <c r="D6305" i="106" s="1"/>
  <c r="B6307" i="106"/>
  <c r="D6307" i="106" s="1"/>
  <c r="B6308" i="106"/>
  <c r="D6308" i="106" s="1"/>
  <c r="B6309" i="106"/>
  <c r="D6309" i="106" s="1"/>
  <c r="B6310" i="106"/>
  <c r="D6310" i="106" s="1"/>
  <c r="B6311" i="106"/>
  <c r="D6311" i="106" s="1"/>
  <c r="B6312" i="106"/>
  <c r="D6312" i="106"/>
  <c r="B6313" i="106"/>
  <c r="D6313" i="106" s="1"/>
  <c r="B6314" i="106"/>
  <c r="D6314" i="106" s="1"/>
  <c r="B6315" i="106"/>
  <c r="D6315" i="106" s="1"/>
  <c r="B6316" i="106"/>
  <c r="D6316" i="106" s="1"/>
  <c r="B6317" i="106"/>
  <c r="D6317" i="106" s="1"/>
  <c r="B6319" i="106"/>
  <c r="D6319" i="106"/>
  <c r="B6320" i="106"/>
  <c r="D6320" i="106" s="1"/>
  <c r="B6321" i="106"/>
  <c r="D6321" i="106"/>
  <c r="B6322" i="106"/>
  <c r="D6322" i="106" s="1"/>
  <c r="B6323" i="106"/>
  <c r="D6323" i="106" s="1"/>
  <c r="B6324" i="106"/>
  <c r="D6324" i="106" s="1"/>
  <c r="B6325" i="106"/>
  <c r="D6325" i="106"/>
  <c r="B6326" i="106"/>
  <c r="D6326" i="106" s="1"/>
  <c r="B6327" i="106"/>
  <c r="D6327" i="106"/>
  <c r="B6328" i="106"/>
  <c r="D6328" i="106" s="1"/>
  <c r="B6329" i="106"/>
  <c r="D6329" i="106"/>
  <c r="B6330" i="106"/>
  <c r="D6330" i="106" s="1"/>
  <c r="B6331" i="106"/>
  <c r="D6331" i="106" s="1"/>
  <c r="B6332" i="106"/>
  <c r="D6332" i="106" s="1"/>
  <c r="B6333" i="106"/>
  <c r="D6333" i="106"/>
  <c r="B6334" i="106"/>
  <c r="D6334" i="106" s="1"/>
  <c r="B6335" i="106"/>
  <c r="D6335" i="106"/>
  <c r="B6336" i="106"/>
  <c r="D6336" i="106" s="1"/>
  <c r="B6337" i="106"/>
  <c r="D6337" i="106"/>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c r="B6355" i="106"/>
  <c r="D6355" i="106" s="1"/>
  <c r="B6356" i="106"/>
  <c r="D6356" i="106" s="1"/>
  <c r="B6358" i="106"/>
  <c r="D6358" i="106" s="1"/>
  <c r="B6359" i="106"/>
  <c r="D6359" i="106" s="1"/>
  <c r="B6360" i="106"/>
  <c r="D6360" i="106" s="1"/>
  <c r="B6361" i="106"/>
  <c r="D6361" i="106" s="1"/>
  <c r="B6362" i="106"/>
  <c r="D6362" i="106" s="1"/>
  <c r="B6363" i="106"/>
  <c r="D6363" i="106"/>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c r="B6380" i="106"/>
  <c r="D6380" i="106" s="1"/>
  <c r="B6381" i="106"/>
  <c r="D6381" i="106" s="1"/>
  <c r="B6382" i="106"/>
  <c r="D6382" i="106" s="1"/>
  <c r="B6383" i="106"/>
  <c r="D6383" i="106" s="1"/>
  <c r="B6384" i="106"/>
  <c r="D6384" i="106" s="1"/>
  <c r="B6385" i="106"/>
  <c r="D6385" i="106" s="1"/>
  <c r="B6386" i="106"/>
  <c r="D6386" i="106" s="1"/>
  <c r="B6387" i="106"/>
  <c r="D6387" i="106"/>
  <c r="B6388" i="106"/>
  <c r="D6388" i="106" s="1"/>
  <c r="B6389" i="106"/>
  <c r="D6389" i="106" s="1"/>
  <c r="B6390" i="106"/>
  <c r="D6390" i="106" s="1"/>
  <c r="B6391" i="106"/>
  <c r="D6391" i="106" s="1"/>
  <c r="B6392" i="106"/>
  <c r="D6392" i="106" s="1"/>
  <c r="B6393" i="106"/>
  <c r="D6393" i="106" s="1"/>
  <c r="B6394" i="106"/>
  <c r="D6394" i="106" s="1"/>
  <c r="B6395" i="106"/>
  <c r="D6395" i="106"/>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s="1"/>
  <c r="B6618" i="106"/>
  <c r="D6618" i="106" s="1"/>
  <c r="B6619" i="106"/>
  <c r="D6619" i="106" s="1"/>
  <c r="B6620" i="106"/>
  <c r="D6620" i="106" s="1"/>
  <c r="B6621" i="106"/>
  <c r="D6621" i="106" s="1"/>
  <c r="B6622" i="106"/>
  <c r="D6622" i="106"/>
  <c r="B6623" i="106"/>
  <c r="D6623" i="106" s="1"/>
  <c r="B6624" i="106"/>
  <c r="D6624" i="106" s="1"/>
  <c r="B6625" i="106"/>
  <c r="D6625" i="106" s="1"/>
  <c r="B6626" i="106"/>
  <c r="D6626" i="106" s="1"/>
  <c r="B6627" i="106"/>
  <c r="D6627" i="106" s="1"/>
  <c r="B6628" i="106"/>
  <c r="D6628" i="106" s="1"/>
  <c r="B6629" i="106"/>
  <c r="D6629" i="106" s="1"/>
  <c r="B6630" i="106"/>
  <c r="D6630" i="106"/>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c r="B6730" i="106"/>
  <c r="D6730" i="106" s="1"/>
  <c r="B6731" i="106"/>
  <c r="D6731" i="106" s="1"/>
  <c r="B6732" i="106"/>
  <c r="D6732" i="106" s="1"/>
  <c r="B6733" i="106"/>
  <c r="D6733" i="106"/>
  <c r="B6734" i="106"/>
  <c r="D6734" i="106" s="1"/>
  <c r="B6735" i="106"/>
  <c r="D6735" i="106"/>
  <c r="B6736" i="106"/>
  <c r="D6736" i="106" s="1"/>
  <c r="B6737" i="106"/>
  <c r="D6737" i="106"/>
  <c r="B6738" i="106"/>
  <c r="D6738" i="106" s="1"/>
  <c r="B6739" i="106"/>
  <c r="D6739" i="106" s="1"/>
  <c r="B6740" i="106"/>
  <c r="D6740" i="106" s="1"/>
  <c r="B6741" i="106"/>
  <c r="D6741" i="106"/>
  <c r="B6742" i="106"/>
  <c r="D6742" i="106" s="1"/>
  <c r="B6743" i="106"/>
  <c r="D6743" i="106"/>
  <c r="B6744" i="106"/>
  <c r="D6744" i="106" s="1"/>
  <c r="B6745" i="106"/>
  <c r="D6745" i="106"/>
  <c r="B6746" i="106"/>
  <c r="D6746" i="106" s="1"/>
  <c r="B6747" i="106"/>
  <c r="D6747" i="106" s="1"/>
  <c r="B6748" i="106"/>
  <c r="D6748" i="106" s="1"/>
  <c r="B6749" i="106"/>
  <c r="D6749" i="106"/>
  <c r="B6750" i="106"/>
  <c r="D6750" i="106" s="1"/>
  <c r="B6751" i="106"/>
  <c r="D6751" i="106"/>
  <c r="B6752" i="106"/>
  <c r="D6752" i="106" s="1"/>
  <c r="B6753" i="106"/>
  <c r="D6753" i="106"/>
  <c r="B6754" i="106"/>
  <c r="D6754" i="106" s="1"/>
  <c r="B6755" i="106"/>
  <c r="D6755" i="106" s="1"/>
  <c r="B6756" i="106"/>
  <c r="D6756" i="106" s="1"/>
  <c r="B6757" i="106"/>
  <c r="D6757" i="106"/>
  <c r="B6758" i="106"/>
  <c r="D6758" i="106" s="1"/>
  <c r="B6759" i="106"/>
  <c r="D6759" i="106"/>
  <c r="B6760" i="106"/>
  <c r="D6760" i="106" s="1"/>
  <c r="B6761" i="106"/>
  <c r="D6761" i="106"/>
  <c r="B6762" i="106"/>
  <c r="D6762" i="106" s="1"/>
  <c r="B6763" i="106"/>
  <c r="D6763" i="106" s="1"/>
  <c r="B6764" i="106"/>
  <c r="D6764" i="106" s="1"/>
  <c r="B6765" i="106"/>
  <c r="D6765" i="106"/>
  <c r="B6766" i="106"/>
  <c r="D6766" i="106" s="1"/>
  <c r="B6767" i="106"/>
  <c r="D6767" i="106"/>
  <c r="B6768" i="106"/>
  <c r="D6768" i="106" s="1"/>
  <c r="B6769" i="106"/>
  <c r="D6769" i="106"/>
  <c r="B6770" i="106"/>
  <c r="D6770" i="106" s="1"/>
  <c r="B6771" i="106"/>
  <c r="D6771" i="106" s="1"/>
  <c r="B6772" i="106"/>
  <c r="D6772" i="106" s="1"/>
  <c r="B6773" i="106"/>
  <c r="D6773" i="106"/>
  <c r="B6774" i="106"/>
  <c r="D6774" i="106" s="1"/>
  <c r="B6775" i="106"/>
  <c r="D6775" i="106"/>
  <c r="B6776" i="106"/>
  <c r="D6776" i="106" s="1"/>
  <c r="B6777" i="106"/>
  <c r="D6777" i="106"/>
  <c r="B6778" i="106"/>
  <c r="D6778" i="106" s="1"/>
  <c r="B6779" i="106"/>
  <c r="D6779" i="106" s="1"/>
  <c r="B6780" i="106"/>
  <c r="D6780" i="106" s="1"/>
  <c r="B6781" i="106"/>
  <c r="D6781" i="106"/>
  <c r="B6782" i="106"/>
  <c r="D6782" i="106" s="1"/>
  <c r="B6783" i="106"/>
  <c r="D6783" i="106"/>
  <c r="B6784" i="106"/>
  <c r="D6784" i="106" s="1"/>
  <c r="B6785" i="106"/>
  <c r="D6785" i="106"/>
  <c r="B6786" i="106"/>
  <c r="D6786" i="106" s="1"/>
  <c r="B6787" i="106"/>
  <c r="D6787" i="106" s="1"/>
  <c r="B6788" i="106"/>
  <c r="D6788" i="106" s="1"/>
  <c r="B6789" i="106"/>
  <c r="D6789" i="106"/>
  <c r="B6790" i="106"/>
  <c r="D6790" i="106" s="1"/>
  <c r="B6791" i="106"/>
  <c r="D6791" i="106"/>
  <c r="B6792" i="106"/>
  <c r="D6792" i="106" s="1"/>
  <c r="B6793" i="106"/>
  <c r="D6793" i="106"/>
  <c r="B6794" i="106"/>
  <c r="D6794" i="106" s="1"/>
  <c r="B6795" i="106"/>
  <c r="D6795" i="106" s="1"/>
  <c r="B6796" i="106"/>
  <c r="D6796" i="106" s="1"/>
  <c r="B6797" i="106"/>
  <c r="D6797" i="106"/>
  <c r="B6798" i="106"/>
  <c r="D6798" i="106" s="1"/>
  <c r="B6799" i="106"/>
  <c r="D6799" i="106"/>
  <c r="B6800" i="106"/>
  <c r="D6800" i="106" s="1"/>
  <c r="B6801" i="106"/>
  <c r="D6801" i="106"/>
  <c r="B6802" i="106"/>
  <c r="D6802" i="106" s="1"/>
  <c r="B6803" i="106"/>
  <c r="D6803" i="106" s="1"/>
  <c r="B6804" i="106"/>
  <c r="D6804" i="106" s="1"/>
  <c r="B6805" i="106"/>
  <c r="D6805" i="106"/>
  <c r="B6806" i="106"/>
  <c r="D6806" i="106" s="1"/>
  <c r="B6807" i="106"/>
  <c r="D6807" i="106"/>
  <c r="B6808" i="106"/>
  <c r="D6808" i="106" s="1"/>
  <c r="B6809" i="106"/>
  <c r="D6809" i="106"/>
  <c r="B6810" i="106"/>
  <c r="D6810" i="106" s="1"/>
  <c r="B6811" i="106"/>
  <c r="D6811" i="106" s="1"/>
  <c r="B6812" i="106"/>
  <c r="D6812" i="106" s="1"/>
  <c r="B6813" i="106"/>
  <c r="D6813" i="106"/>
  <c r="B6814" i="106"/>
  <c r="D6814" i="106" s="1"/>
  <c r="B6815" i="106"/>
  <c r="D6815" i="106"/>
  <c r="B6816" i="106"/>
  <c r="D6816" i="106" s="1"/>
  <c r="B6817" i="106"/>
  <c r="D6817" i="106"/>
  <c r="B6818" i="106"/>
  <c r="D6818" i="106" s="1"/>
  <c r="B6819" i="106"/>
  <c r="D6819" i="106" s="1"/>
  <c r="B6820" i="106"/>
  <c r="D6820" i="106" s="1"/>
  <c r="B6821" i="106"/>
  <c r="D6821" i="106"/>
  <c r="B6822" i="106"/>
  <c r="D6822" i="106" s="1"/>
  <c r="B6823" i="106"/>
  <c r="D6823" i="106"/>
  <c r="B6824" i="106"/>
  <c r="D6824" i="106" s="1"/>
  <c r="B6825" i="106"/>
  <c r="D6825" i="106"/>
  <c r="B6826" i="106"/>
  <c r="D6826" i="106" s="1"/>
  <c r="B6827" i="106"/>
  <c r="D6827" i="106" s="1"/>
  <c r="B6828" i="106"/>
  <c r="D6828" i="106" s="1"/>
  <c r="B6829" i="106"/>
  <c r="D6829" i="106"/>
  <c r="B6830" i="106"/>
  <c r="D6830" i="106" s="1"/>
  <c r="B6831" i="106"/>
  <c r="D6831" i="106"/>
  <c r="B6832" i="106"/>
  <c r="D6832" i="106" s="1"/>
  <c r="B6841" i="106"/>
  <c r="D6841" i="106"/>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53" i="127"/>
  <c r="B5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C131" i="5"/>
  <c r="B5147" i="106" s="1"/>
  <c r="D5147" i="106" s="1"/>
  <c r="D131" i="5"/>
  <c r="B5369" i="106" s="1"/>
  <c r="D5369" i="106" s="1"/>
  <c r="C140" i="5"/>
  <c r="B5161" i="106"/>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D5" i="4"/>
  <c r="B3406" i="106" s="1"/>
  <c r="D3406"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D22" i="37"/>
  <c r="H22" i="37"/>
  <c r="J22" i="37"/>
  <c r="L22" i="37"/>
  <c r="D24" i="37"/>
  <c r="B4270" i="106" s="1"/>
  <c r="D4270" i="106" s="1"/>
  <c r="D5" i="7"/>
  <c r="B1761" i="106" s="1"/>
  <c r="D1761" i="106" s="1"/>
  <c r="D13" i="7"/>
  <c r="B3726" i="106" s="1"/>
  <c r="D3726" i="106" s="1"/>
  <c r="D9" i="7"/>
  <c r="B1767" i="106" s="1"/>
  <c r="D1767" i="106" s="1"/>
  <c r="B5847" i="106"/>
  <c r="D5847" i="106" s="1"/>
  <c r="D109" i="5"/>
  <c r="B5356" i="106" s="1"/>
  <c r="D5356" i="106" s="1"/>
  <c r="B1746" i="106"/>
  <c r="D1746" i="106" s="1"/>
  <c r="D17" i="7"/>
  <c r="B4104" i="106" s="1"/>
  <c r="D4104" i="106" s="1"/>
  <c r="D12" i="7"/>
  <c r="B1769" i="106" s="1"/>
  <c r="D1769" i="106" s="1"/>
  <c r="K76" i="4" l="1"/>
  <c r="B3586" i="106" s="1"/>
  <c r="D3586" i="106" s="1"/>
  <c r="B3254" i="106"/>
  <c r="D3254" i="106" s="1"/>
  <c r="F111" i="34"/>
  <c r="D11" i="7"/>
  <c r="B1768" i="106" s="1"/>
  <c r="D1768" i="106" s="1"/>
  <c r="D7" i="7"/>
  <c r="B1763" i="106" s="1"/>
  <c r="D1763" i="106" s="1"/>
  <c r="K274" i="5"/>
  <c r="F131" i="34"/>
  <c r="F36" i="34"/>
  <c r="D15" i="7"/>
  <c r="B1772" i="106" s="1"/>
  <c r="D1772" i="106" s="1"/>
  <c r="H173" i="5"/>
  <c r="B5906" i="106" s="1"/>
  <c r="D5906" i="106" s="1"/>
  <c r="F106" i="34"/>
  <c r="F136" i="34"/>
  <c r="F172" i="5"/>
  <c r="B5644" i="106" s="1"/>
  <c r="D5644" i="106" s="1"/>
  <c r="J77" i="4"/>
  <c r="B6262" i="106" s="1"/>
  <c r="D6262" i="106" s="1"/>
  <c r="F127" i="34"/>
  <c r="B6006" i="106"/>
  <c r="D6006" i="106" s="1"/>
  <c r="K173" i="5"/>
  <c r="K6" i="4" s="1"/>
  <c r="B3570" i="106" s="1"/>
  <c r="D3570" i="106" s="1"/>
  <c r="H6" i="4"/>
  <c r="B2656" i="106" s="1"/>
  <c r="D2656" i="106" s="1"/>
  <c r="C172" i="5"/>
  <c r="B5214" i="106" s="1"/>
  <c r="D5214" i="106" s="1"/>
  <c r="F128" i="34"/>
  <c r="D4" i="7"/>
  <c r="B1760" i="106" s="1"/>
  <c r="D1760" i="106" s="1"/>
  <c r="G5" i="4"/>
  <c r="B3409" i="106" s="1"/>
  <c r="D3409" i="106" s="1"/>
  <c r="L342" i="29"/>
  <c r="F46" i="34"/>
  <c r="G172" i="5"/>
  <c r="F130" i="34"/>
  <c r="B6899" i="106"/>
  <c r="D6899" i="106" s="1"/>
  <c r="F50" i="34"/>
  <c r="B6887" i="106"/>
  <c r="D6887" i="106" s="1"/>
  <c r="F44" i="34"/>
  <c r="B6883" i="106"/>
  <c r="D6883" i="106" s="1"/>
  <c r="F42" i="34"/>
  <c r="B4996" i="106"/>
  <c r="D4996" i="106" s="1"/>
  <c r="H33" i="118"/>
  <c r="J274" i="5"/>
  <c r="B7054" i="106" s="1"/>
  <c r="D7054" i="106" s="1"/>
  <c r="I173" i="5"/>
  <c r="B4216" i="106" s="1"/>
  <c r="D4216" i="106" s="1"/>
  <c r="L367" i="29"/>
  <c r="B3649" i="106"/>
  <c r="D3649" i="106" s="1"/>
  <c r="G367" i="29"/>
  <c r="D7245" i="106"/>
  <c r="D6103" i="106"/>
  <c r="B3658" i="106"/>
  <c r="D3658" i="106" s="1"/>
  <c r="H365" i="29"/>
  <c r="B3621" i="106"/>
  <c r="D3621" i="106" s="1"/>
  <c r="C367" i="29"/>
  <c r="K285" i="29"/>
  <c r="B3723" i="106"/>
  <c r="D3723" i="106" s="1"/>
  <c r="B1223" i="106"/>
  <c r="D1223" i="106" s="1"/>
  <c r="F19" i="7"/>
  <c r="B1807" i="106" s="1"/>
  <c r="D1807" i="106" s="1"/>
  <c r="L13" i="11"/>
  <c r="B2060" i="106" s="1"/>
  <c r="D2060" i="106" s="1"/>
  <c r="L5" i="11"/>
  <c r="B2056" i="106" s="1"/>
  <c r="D2056" i="106" s="1"/>
  <c r="K24" i="12"/>
  <c r="N22" i="3"/>
  <c r="B283" i="106" s="1"/>
  <c r="D283" i="106" s="1"/>
  <c r="K350" i="29"/>
  <c r="D52" i="36"/>
  <c r="C342" i="29"/>
  <c r="B7216" i="106" s="1"/>
  <c r="D7216" i="106" s="1"/>
  <c r="J41" i="3"/>
  <c r="B6216" i="106" s="1"/>
  <c r="D6216" i="106" s="1"/>
  <c r="H109" i="5"/>
  <c r="B6025" i="106" s="1"/>
  <c r="D6025" i="106" s="1"/>
  <c r="B1410" i="106"/>
  <c r="D1410" i="106" s="1"/>
  <c r="G109" i="5"/>
  <c r="K184" i="29"/>
  <c r="F13" i="4" s="1"/>
  <c r="B2596" i="106" s="1"/>
  <c r="D2596" i="106" s="1"/>
  <c r="B1329" i="106"/>
  <c r="D1329" i="106" s="1"/>
  <c r="F61" i="34"/>
  <c r="E109" i="5"/>
  <c r="E4" i="4" s="1"/>
  <c r="B2630" i="106" s="1"/>
  <c r="D2630" i="106" s="1"/>
  <c r="D4" i="4"/>
  <c r="B2564" i="106" s="1"/>
  <c r="D2564" i="106" s="1"/>
  <c r="B6995" i="106"/>
  <c r="D6995" i="106" s="1"/>
  <c r="C173" i="5"/>
  <c r="B5223" i="106" s="1"/>
  <c r="D5223" i="106" s="1"/>
  <c r="C109" i="5"/>
  <c r="B5121" i="106" s="1"/>
  <c r="D5121" i="106" s="1"/>
  <c r="B4268" i="106"/>
  <c r="D4268" i="106"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D274" i="5"/>
  <c r="B3447" i="106"/>
  <c r="D3447" i="106" s="1"/>
  <c r="B7270" i="106"/>
  <c r="D7255" i="106" l="1"/>
  <c r="D51" i="36"/>
  <c r="G173" i="5"/>
  <c r="B5770" i="106"/>
  <c r="D5770" i="106" s="1"/>
  <c r="H275" i="5"/>
  <c r="B5915" i="106" s="1"/>
  <c r="D5915" i="106" s="1"/>
  <c r="F274" i="5"/>
  <c r="F275" i="5" s="1"/>
  <c r="B5720" i="106" s="1"/>
  <c r="D5720" i="106" s="1"/>
  <c r="F73" i="34"/>
  <c r="G15" i="4"/>
  <c r="B6032" i="106" s="1"/>
  <c r="D6032" i="106" s="1"/>
  <c r="B3724" i="106"/>
  <c r="D3724" i="106" s="1"/>
  <c r="H4" i="4"/>
  <c r="H367" i="29"/>
  <c r="B3660" i="106" s="1"/>
  <c r="D3660" i="106" s="1"/>
  <c r="B7242" i="106"/>
  <c r="D7242" i="106" s="1"/>
  <c r="B5527" i="106"/>
  <c r="D5527" i="106" s="1"/>
  <c r="N23" i="3"/>
  <c r="B284" i="106" s="1"/>
  <c r="D284" i="106" s="1"/>
  <c r="L16" i="11"/>
  <c r="B2061" i="106" s="1"/>
  <c r="D2061" i="106" s="1"/>
  <c r="B2031" i="106"/>
  <c r="D2031" i="106" s="1"/>
  <c r="D44" i="36"/>
  <c r="B7733" i="106"/>
  <c r="D7733" i="106" s="1"/>
  <c r="K26" i="12"/>
  <c r="B7743" i="106" s="1"/>
  <c r="D7743" i="106" s="1"/>
  <c r="B3670" i="106"/>
  <c r="D3670" i="106" s="1"/>
  <c r="K352" i="29"/>
  <c r="K342" i="29"/>
  <c r="F13" i="34" s="1"/>
  <c r="B6024" i="106"/>
  <c r="D6024" i="106" s="1"/>
  <c r="G4" i="4"/>
  <c r="B2603" i="106" s="1"/>
  <c r="D2603" i="106" s="1"/>
  <c r="D19" i="7"/>
  <c r="B1775" i="106" s="1"/>
  <c r="D1775" i="106" s="1"/>
  <c r="B1317" i="106"/>
  <c r="D1317" i="106" s="1"/>
  <c r="L114" i="29"/>
  <c r="C114" i="29"/>
  <c r="B757" i="106" s="1"/>
  <c r="D757"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J8" i="4"/>
  <c r="D7" i="4"/>
  <c r="D275" i="5"/>
  <c r="B5507" i="106"/>
  <c r="D5507" i="106" s="1"/>
  <c r="B7298" i="106"/>
  <c r="B7299" i="106"/>
  <c r="B5778" i="106" l="1"/>
  <c r="D5778" i="106" s="1"/>
  <c r="G6" i="4"/>
  <c r="B2604" i="106" s="1"/>
  <c r="D2604" i="106" s="1"/>
  <c r="B2655" i="106"/>
  <c r="D2655" i="106" s="1"/>
  <c r="H8" i="4"/>
  <c r="K13" i="4"/>
  <c r="B3572" i="106" s="1"/>
  <c r="D3572" i="106" s="1"/>
  <c r="B3672" i="106"/>
  <c r="D3672" i="106" s="1"/>
  <c r="K367" i="29"/>
  <c r="B3678" i="106" s="1"/>
  <c r="D3678" i="106" s="1"/>
  <c r="B7224" i="106"/>
  <c r="D7224" i="106" s="1"/>
  <c r="F8" i="4"/>
  <c r="D8" i="146" s="1"/>
  <c r="B1145" i="106"/>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K368" i="29"/>
  <c r="B3681" i="106" s="1"/>
  <c r="D3681" i="106" s="1"/>
  <c r="B2595" i="106"/>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<sst xmlns="http://schemas.openxmlformats.org/spreadsheetml/2006/main" count="5103" uniqueCount="2151">
  <si>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</si>
  <si>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</si>
  <si>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</si>
  <si>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</si>
  <si>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</si>
  <si>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</si>
  <si>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</si>
  <si>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</si>
  <si>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</si>
  <si>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</si>
  <si>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</si>
  <si>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</si>
  <si>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</si>
  <si>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</si>
  <si>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</si>
  <si>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</si>
  <si>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</si>
  <si>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</si>
  <si>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</si>
  <si>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</si>
  <si>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</si>
  <si>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</si>
  <si>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</si>
  <si>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</si>
  <si>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</si>
  <si>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</si>
  <si>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</si>
  <si>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</si>
  <si>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</si>
  <si>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</si>
  <si>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</si>
  <si>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</si>
  <si>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</si>
  <si>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</si>
  <si>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</si>
  <si>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</si>
  <si>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</si>
  <si>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</si>
  <si>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</si>
  <si>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</si>
  <si>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</si>
  <si>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</si>
  <si>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</si>
  <si>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</si>
  <si>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</si>
  <si>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</si>
  <si>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</si>
  <si>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</si>
  <si>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</si>
  <si>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</si>
  <si>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</si>
  <si>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</si>
  <si>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</si>
  <si>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</si>
  <si>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</si>
  <si>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</si>
  <si>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</si>
  <si>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</si>
  <si>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</si>
  <si>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</si>
  <si>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</si>
  <si>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</si>
  <si>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</si>
  <si>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</si>
  <si>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</si>
  <si>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</si>
  <si>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</si>
  <si>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</si>
  <si>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</si>
  <si>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</si>
  <si>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</si>
  <si>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</si>
  <si>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</si>
  <si>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</si>
  <si>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</si>
  <si>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</si>
  <si>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</si>
  <si>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</si>
  <si>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</si>
  <si>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</si>
  <si>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</si>
  <si>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</si>
  <si>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</si>
  <si>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</si>
  <si>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</si>
  <si>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</si>
  <si>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</si>
  <si>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</si>
  <si>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</si>
  <si>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</si>
  <si>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</si>
  <si>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</si>
  <si>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</si>
  <si>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</si>
  <si>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</si>
  <si>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</si>
  <si>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</si>
  <si>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</si>
  <si>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</si>
  <si>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</si>
  <si>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</si>
  <si>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</si>
  <si>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</si>
  <si>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</si>
  <si>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</si>
  <si>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</si>
  <si>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</si>
  <si>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</si>
  <si>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</si>
  <si>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</si>
  <si>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</si>
  <si>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</si>
  <si>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</si>
  <si>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</si>
  <si>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</si>
  <si>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</si>
  <si>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</si>
  <si>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</si>
  <si>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</si>
  <si>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</si>
  <si>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</si>
  <si>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</si>
  <si>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</si>
  <si>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</si>
  <si>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</si>
  <si>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</si>
  <si>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</si>
  <si>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</si>
  <si>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</si>
  <si>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</si>
  <si>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</si>
  <si>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</si>
  <si>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</si>
  <si>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</si>
  <si>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</si>
  <si>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</si>
  <si>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</si>
  <si>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</si>
  <si>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</si>
  <si>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</si>
  <si>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</si>
  <si>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</si>
  <si>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</si>
  <si>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</si>
  <si>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</si>
  <si>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</si>
  <si>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</si>
  <si>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</si>
  <si>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</si>
  <si>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</si>
  <si>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</si>
  <si>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</si>
  <si>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</si>
  <si>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</si>
  <si>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</si>
  <si>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</si>
  <si>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</si>
  <si>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</si>
  <si>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</si>
  <si>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</si>
  <si>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</si>
  <si>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</si>
  <si>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</si>
  <si>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</si>
  <si>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</si>
  <si>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</si>
  <si>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</si>
  <si>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</si>
  <si>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</si>
  <si>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</si>
  <si>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</si>
  <si>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</si>
  <si>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</si>
  <si>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</si>
  <si>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</si>
  <si>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</si>
  <si>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</si>
  <si>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</si>
  <si>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</si>
  <si>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</si>
  <si>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</si>
  <si>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</si>
  <si>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</si>
  <si>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</si>
  <si>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</si>
  <si>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</si>
  <si>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</si>
  <si>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</si>
  <si>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</si>
  <si>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</si>
  <si>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</si>
  <si>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</si>
  <si>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</si>
  <si>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</si>
  <si>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</si>
  <si>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</si>
  <si>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</si>
  <si>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</si>
  <si>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</si>
  <si>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</si>
  <si>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</si>
  <si>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</si>
  <si>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</si>
  <si>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</si>
  <si>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</si>
  <si>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</si>
  <si>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</si>
  <si>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</si>
  <si>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</si>
  <si>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</si>
  <si>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</si>
  <si>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</si>
  <si>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</si>
  <si>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</si>
  <si>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</si>
  <si>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</si>
  <si>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</si>
  <si>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</si>
  <si>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</si>
  <si>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</si>
  <si>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</si>
  <si>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</si>
  <si>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</si>
  <si>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</si>
  <si>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</si>
  <si>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</si>
  <si>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</si>
  <si>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</si>
  <si>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</si>
  <si>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</si>
  <si>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</si>
  <si>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</si>
  <si>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</si>
  <si>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</si>
  <si>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</si>
  <si>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</si>
  <si>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</si>
  <si>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</si>
  <si>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</si>
  <si>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</si>
  <si>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</si>
  <si>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</si>
  <si>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</si>
  <si>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</si>
  <si>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</si>
  <si>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</si>
  <si>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</si>
  <si>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</si>
  <si>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</si>
  <si>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</si>
  <si>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</si>
  <si>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</si>
  <si>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</si>
  <si>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</si>
  <si>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</si>
  <si>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</si>
  <si>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</si>
  <si>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</si>
  <si>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</si>
  <si>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</si>
  <si>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</si>
  <si>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</si>
  <si>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</si>
  <si>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</si>
  <si>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</si>
  <si>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</si>
  <si>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</si>
  <si>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</si>
  <si>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</si>
  <si>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</si>
  <si>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</si>
  <si>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</si>
  <si>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</si>
  <si>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</si>
  <si>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</si>
  <si>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</si>
  <si>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</si>
  <si>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</si>
  <si>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</si>
  <si>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</si>
  <si>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</si>
  <si>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</si>
  <si>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</si>
  <si>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</si>
  <si>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</si>
  <si>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</si>
  <si>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</si>
  <si>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</si>
  <si>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</si>
  <si>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</si>
  <si>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</si>
  <si>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</si>
  <si>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</si>
  <si>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</si>
  <si>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</si>
  <si>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</si>
  <si>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</si>
  <si>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</si>
  <si>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</si>
  <si>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</si>
  <si>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</si>
  <si>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</si>
  <si>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</si>
  <si>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</si>
  <si>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</si>
  <si>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</si>
  <si>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</si>
  <si>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</si>
  <si>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</si>
  <si>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</si>
  <si>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</si>
  <si>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</si>
  <si>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</si>
  <si>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</si>
  <si>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</si>
  <si>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</si>
  <si>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</si>
  <si>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</si>
  <si>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</si>
  <si>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</si>
  <si>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</si>
  <si>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</si>
  <si>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</si>
  <si>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</si>
  <si>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</si>
  <si>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</si>
  <si>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</si>
  <si>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</si>
  <si>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</si>
  <si>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</si>
  <si>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</si>
  <si>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</si>
  <si>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</si>
  <si>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</si>
  <si>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</si>
  <si>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</si>
  <si>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</si>
  <si>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</si>
  <si>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</si>
  <si>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</si>
  <si>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</si>
  <si>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</si>
  <si>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</si>
  <si>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</si>
  <si>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</si>
  <si>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</si>
  <si>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</si>
  <si>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</si>
  <si>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</si>
  <si>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</si>
  <si>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</si>
  <si>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</si>
  <si>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</si>
  <si>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</si>
  <si>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</si>
  <si>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</si>
  <si>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</si>
  <si>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</si>
  <si>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</si>
  <si>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</si>
  <si>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</si>
  <si>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</si>
  <si>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</si>
  <si>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</si>
  <si>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</si>
  <si>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</si>
  <si>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</si>
  <si>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</si>
  <si>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</si>
  <si>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</si>
  <si>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</si>
  <si>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</si>
  <si>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</si>
  <si>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</si>
  <si>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</si>
  <si>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</si>
  <si>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</si>
  <si>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</si>
  <si>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</si>
  <si>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</si>
  <si>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</si>
  <si>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</si>
  <si>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</si>
  <si>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</si>
  <si>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</si>
  <si>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</si>
  <si>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</si>
  <si>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</si>
  <si>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</si>
  <si>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</si>
  <si>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</si>
  <si>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</si>
  <si>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</si>
  <si>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</si>
  <si>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</si>
  <si>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</si>
  <si>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</si>
  <si>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</si>
  <si>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</si>
  <si>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</si>
  <si>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</si>
  <si>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</si>
  <si>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</si>
  <si>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</si>
  <si>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</si>
  <si>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</si>
  <si>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</si>
  <si>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</si>
  <si>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</si>
  <si>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</si>
  <si>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</si>
  <si>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</si>
  <si>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</si>
  <si>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</si>
  <si>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</si>
  <si>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</si>
  <si>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</si>
  <si>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</si>
  <si>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</si>
  <si>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</si>
  <si>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</si>
  <si>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</si>
  <si>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</si>
  <si>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</si>
  <si>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</si>
  <si>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</si>
  <si>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</si>
  <si>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</si>
  <si>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</si>
  <si>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</si>
  <si>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</si>
  <si>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</si>
  <si>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</si>
  <si>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</si>
  <si>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</si>
  <si>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</si>
  <si>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</si>
  <si>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</si>
  <si>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</si>
  <si>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</si>
  <si>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</si>
  <si>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</si>
  <si>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</si>
  <si>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</si>
  <si>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</si>
  <si>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</si>
  <si>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</si>
  <si>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</si>
  <si>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</si>
  <si>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</si>
  <si>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</si>
  <si>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</si>
  <si>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</si>
  <si>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</si>
  <si>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</si>
  <si>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</si>
  <si>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</si>
  <si>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</si>
  <si>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</si>
  <si>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</si>
  <si>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</si>
  <si>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</si>
  <si>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</si>
  <si>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</si>
  <si>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</si>
  <si>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</si>
  <si>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</si>
  <si>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</si>
  <si>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</si>
  <si>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</si>
  <si>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</si>
  <si>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</si>
  <si>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</si>
  <si>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</si>
  <si>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</si>
  <si>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</si>
  <si>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</si>
  <si>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</si>
  <si>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</si>
  <si>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</si>
  <si>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</si>
  <si>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</si>
  <si>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</si>
  <si>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</si>
  <si>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</si>
  <si>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</si>
  <si>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</si>
  <si>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</si>
  <si>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</si>
  <si>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</si>
  <si>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</si>
  <si>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</si>
  <si>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</si>
  <si>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</si>
  <si>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</si>
  <si>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</si>
  <si>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</si>
  <si>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</si>
  <si>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</si>
  <si>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</si>
  <si>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</si>
  <si>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</si>
  <si>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</si>
  <si>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</si>
  <si>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</si>
  <si>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</si>
  <si>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</si>
  <si>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</si>
  <si>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</si>
  <si>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</si>
  <si>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</si>
  <si>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</si>
  <si>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</si>
  <si>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</si>
  <si>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</si>
  <si>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</si>
  <si>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</si>
  <si>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</si>
  <si>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</si>
  <si>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</si>
  <si>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</si>
  <si>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</si>
  <si>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</si>
  <si>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</si>
  <si>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</si>
  <si>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</si>
  <si>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</si>
  <si>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</si>
  <si>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</si>
  <si>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</si>
  <si>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</si>
  <si>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</si>
  <si>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</si>
  <si>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</si>
  <si>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</si>
  <si>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</si>
  <si>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</si>
  <si>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</si>
  <si>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</si>
  <si>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</si>
  <si>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</si>
  <si>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</si>
  <si>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</si>
  <si>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</si>
  <si>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</si>
  <si>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</si>
  <si>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</si>
  <si>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</si>
  <si>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</si>
  <si>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</si>
  <si>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</si>
  <si>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</si>
  <si>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</si>
  <si>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</si>
  <si>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</si>
  <si>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</si>
  <si>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</si>
  <si>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</si>
  <si>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</si>
  <si>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</si>
  <si>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</si>
  <si>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</si>
  <si>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</si>
  <si>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</si>
  <si>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</si>
  <si>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</si>
  <si>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</si>
  <si>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</si>
  <si>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</si>
  <si>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</si>
  <si>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</si>
  <si>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</si>
  <si>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</si>
  <si>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</si>
  <si>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</si>
  <si>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</si>
  <si>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</si>
  <si>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</si>
  <si>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</si>
  <si>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</si>
  <si>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</si>
  <si>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</si>
  <si>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</si>
  <si>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</si>
  <si>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</si>
  <si>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</si>
  <si>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</si>
  <si>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</si>
  <si>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</si>
  <si>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</si>
  <si>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</si>
  <si>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</si>
  <si>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</si>
  <si>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</si>
  <si>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</si>
  <si>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</si>
  <si>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</si>
  <si>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</si>
  <si>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</si>
  <si>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</si>
  <si>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</si>
  <si>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</si>
  <si>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</si>
  <si>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</si>
  <si>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</si>
  <si>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</si>
  <si>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</si>
  <si>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</si>
  <si>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</si>
  <si>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</si>
  <si>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</si>
  <si>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</si>
  <si>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</si>
  <si>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</si>
  <si>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</si>
  <si>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</si>
  <si>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</si>
  <si>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</si>
  <si>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</si>
  <si>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</si>
  <si>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</si>
  <si>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</si>
  <si>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</si>
  <si>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</si>
  <si>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</si>
  <si>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</si>
  <si>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</si>
  <si>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</si>
  <si>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</si>
  <si>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</si>
  <si>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</si>
  <si>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</si>
  <si>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</si>
  <si>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</si>
  <si>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</si>
  <si>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</si>
  <si>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</si>
  <si>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</si>
  <si>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</si>
  <si>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</si>
  <si>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</si>
  <si>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</si>
  <si>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</si>
  <si>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</si>
  <si>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</si>
  <si>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</si>
  <si>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</si>
  <si>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</si>
  <si>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</si>
  <si>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</si>
  <si>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</si>
  <si>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</si>
  <si>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</si>
  <si>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</si>
  <si>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</si>
  <si>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</si>
  <si>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</si>
  <si>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</si>
  <si>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</si>
  <si>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</si>
  <si>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</si>
  <si>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</si>
  <si>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</si>
  <si>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</si>
  <si>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</si>
  <si>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</si>
  <si>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</si>
  <si>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</si>
  <si>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</si>
  <si>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</si>
  <si>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</si>
  <si>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</si>
  <si>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</si>
  <si>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</si>
  <si>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</si>
  <si>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</si>
  <si>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</si>
  <si>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</si>
  <si>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</si>
  <si>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</si>
  <si>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</si>
  <si>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</si>
  <si>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</si>
  <si>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</si>
  <si>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</si>
  <si>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</si>
  <si>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</si>
  <si>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</si>
  <si>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</si>
  <si>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</si>
  <si>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</si>
  <si>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</si>
  <si>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</si>
  <si>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</si>
  <si>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</si>
  <si>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</si>
  <si>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</si>
  <si>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</si>
  <si>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</si>
  <si>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</si>
  <si>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</si>
  <si>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</si>
  <si>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</si>
  <si>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</si>
  <si>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</si>
  <si>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</si>
  <si>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</si>
  <si>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</si>
  <si>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</si>
  <si>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</si>
  <si>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</si>
  <si>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</si>
  <si>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</si>
  <si>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</si>
  <si>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</si>
  <si>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</si>
  <si>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</si>
  <si>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</si>
  <si>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</si>
  <si>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</si>
  <si>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</si>
  <si>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</si>
  <si>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</si>
  <si>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</si>
  <si>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</si>
  <si>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</si>
  <si>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</si>
  <si>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</si>
  <si>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</si>
  <si>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</si>
  <si>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</si>
  <si>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</si>
  <si>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</si>
  <si>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</si>
  <si>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</si>
  <si>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</si>
  <si>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</si>
  <si>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</si>
  <si>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</si>
  <si>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</si>
  <si>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</si>
  <si>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</si>
  <si>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</si>
  <si>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</si>
  <si>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</si>
  <si>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</si>
  <si>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</si>
  <si>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</si>
  <si>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</si>
  <si>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</si>
  <si>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</si>
  <si>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</si>
  <si>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</si>
  <si>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</si>
  <si>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</si>
  <si>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</si>
  <si>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</si>
  <si>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</si>
  <si>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</si>
  <si>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</si>
  <si>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</si>
  <si>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</si>
  <si>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</si>
  <si>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</si>
  <si>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</si>
  <si>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</si>
  <si>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</si>
  <si>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</si>
  <si>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</si>
  <si>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</si>
  <si>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</si>
  <si>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</si>
  <si>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</si>
  <si>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</si>
  <si>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</si>
  <si>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</si>
  <si>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</si>
  <si>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</si>
  <si>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</si>
  <si>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</si>
  <si>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</si>
  <si>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</si>
  <si>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</si>
  <si>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</si>
  <si>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</si>
  <si>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</si>
  <si>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</si>
  <si>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</si>
  <si>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</si>
  <si>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</si>
  <si>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</si>
  <si>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</si>
  <si>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</si>
  <si>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</si>
  <si>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</si>
  <si>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</si>
  <si>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</si>
  <si>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</si>
  <si>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</si>
  <si>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</si>
  <si>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</si>
  <si>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</si>
  <si>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</si>
  <si>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</si>
  <si>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</si>
  <si>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</si>
  <si>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</si>
  <si>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</si>
  <si>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</si>
  <si>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</si>
  <si>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</si>
  <si>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</si>
  <si>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</si>
  <si>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</si>
  <si>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</si>
  <si>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</si>
  <si>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</si>
  <si>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</si>
  <si>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</si>
  <si>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</si>
  <si>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</si>
  <si>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</si>
  <si>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</si>
  <si>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</si>
  <si>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</si>
  <si>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</si>
  <si>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</si>
  <si>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</si>
  <si>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</si>
  <si>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</si>
  <si>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</si>
  <si>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</si>
  <si>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</si>
  <si>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</si>
  <si>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</si>
  <si>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</si>
  <si>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</si>
  <si>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</si>
  <si>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</si>
  <si>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</si>
  <si>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</si>
  <si>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</si>
  <si>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</si>
  <si>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</si>
  <si>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</si>
  <si>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</si>
  <si>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</si>
  <si>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</si>
  <si>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</si>
  <si>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</si>
  <si>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</si>
  <si>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</si>
  <si>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</si>
  <si>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</si>
  <si>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</si>
  <si>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</si>
  <si>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</si>
  <si>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</si>
  <si>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</si>
  <si>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</si>
  <si>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</si>
  <si>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</si>
  <si>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</si>
  <si>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</si>
  <si>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</si>
  <si>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</si>
  <si>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</si>
  <si>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</si>
  <si>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</si>
  <si>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</si>
  <si>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</si>
  <si>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</si>
  <si>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</si>
  <si>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</si>
  <si>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</si>
  <si>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</si>
  <si>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</si>
  <si>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</si>
  <si>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</si>
  <si>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</si>
  <si>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</si>
  <si>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</si>
  <si>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</si>
  <si>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</si>
  <si>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</si>
  <si>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</si>
  <si>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</si>
  <si>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</si>
  <si>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</si>
  <si>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</si>
  <si>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</si>
  <si>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</si>
  <si>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</si>
  <si>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</si>
  <si>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</si>
  <si>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</si>
  <si>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</si>
  <si>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</si>
  <si>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</si>
  <si>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</si>
  <si>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</si>
  <si>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</si>
  <si>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</si>
  <si>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</si>
  <si>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</si>
  <si>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</si>
  <si>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</si>
  <si>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</si>
  <si>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</si>
  <si>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</si>
  <si>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</si>
  <si>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</si>
  <si>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</si>
  <si>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</si>
  <si>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</si>
  <si>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</si>
  <si>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</si>
  <si>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</si>
  <si>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</si>
  <si>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</si>
  <si>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</si>
  <si>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</si>
  <si>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</si>
  <si>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</si>
  <si>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</si>
  <si>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</si>
  <si>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</si>
  <si>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</si>
  <si>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</si>
  <si>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</si>
  <si>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</si>
  <si>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</si>
  <si>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</si>
  <si>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</si>
  <si>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</si>
  <si>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</si>
  <si>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</si>
  <si>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</si>
  <si>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</si>
  <si>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</si>
  <si>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</si>
  <si>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</si>
  <si>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</si>
  <si>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</si>
  <si>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</si>
  <si>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</si>
  <si>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</si>
  <si>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</si>
  <si>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</si>
  <si>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</si>
  <si>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</si>
  <si>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</si>
  <si>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</si>
  <si>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</si>
  <si>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</si>
  <si>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</si>
  <si>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</si>
  <si>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</si>
  <si>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</si>
  <si>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</si>
  <si>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</si>
  <si>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</si>
  <si>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</si>
  <si>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</si>
  <si>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</si>
  <si>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</si>
  <si>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</si>
  <si>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</si>
  <si>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</si>
  <si>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</si>
  <si>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</si>
  <si>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</si>
  <si>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</si>
  <si>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</si>
  <si>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</si>
  <si>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</si>
  <si>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</si>
  <si>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</si>
  <si>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</si>
  <si>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</si>
  <si>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</si>
  <si>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</si>
  <si>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</si>
  <si>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</si>
  <si>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</si>
  <si>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</si>
  <si>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</si>
  <si>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</si>
  <si>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</si>
  <si>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</si>
  <si>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</si>
  <si>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</si>
  <si>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</si>
  <si>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</si>
  <si>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</si>
  <si>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</si>
  <si>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</si>
  <si>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</si>
  <si>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</si>
  <si>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</si>
  <si>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</si>
  <si>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</si>
  <si>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</si>
  <si>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</si>
  <si>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</si>
  <si>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</si>
  <si>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</si>
  <si>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</si>
  <si>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</si>
  <si>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</si>
  <si>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</si>
  <si>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</si>
  <si>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</si>
  <si>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</si>
  <si>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</si>
  <si>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</si>
  <si>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</si>
  <si>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</si>
  <si>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</si>
  <si>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</si>
  <si>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</si>
  <si>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</si>
  <si>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</si>
  <si>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</si>
  <si>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</si>
  <si>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</si>
  <si>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</si>
  <si>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</si>
  <si>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</si>
  <si>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</si>
  <si>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</si>
  <si>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</si>
  <si>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</si>
  <si>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</si>
  <si>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</si>
  <si>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</si>
  <si>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</si>
  <si>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</si>
  <si>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</si>
  <si>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</si>
  <si>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</si>
  <si>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</si>
  <si>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</si>
  <si>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</si>
  <si>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</si>
  <si>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</si>
  <si>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</si>
  <si>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</si>
  <si>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</si>
  <si>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</si>
  <si>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</si>
  <si>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</si>
  <si>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</si>
  <si>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</si>
  <si>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</si>
  <si>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</si>
  <si>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</si>
  <si>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</si>
  <si>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</si>
  <si>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</si>
  <si>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</si>
  <si>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</si>
  <si>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</si>
  <si>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</si>
  <si>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</si>
  <si>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</si>
  <si>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</si>
  <si>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</si>
  <si>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</si>
  <si>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</si>
  <si>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</si>
  <si>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</si>
  <si>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</si>
  <si>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</si>
  <si>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</si>
  <si>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</si>
  <si>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</si>
  <si>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</si>
  <si>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</si>
  <si>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</si>
  <si>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</si>
  <si>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</si>
  <si>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</si>
  <si>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</si>
  <si>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</si>
  <si>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</si>
  <si>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</si>
  <si>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</si>
  <si>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</si>
  <si>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</si>
  <si>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</si>
  <si>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</si>
  <si>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</si>
  <si>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</si>
  <si>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</si>
  <si>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</si>
  <si>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</si>
  <si>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</si>
  <si>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</si>
  <si>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</si>
  <si>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</si>
  <si>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</si>
  <si>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</si>
  <si>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</si>
  <si>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</si>
  <si>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</si>
  <si>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</si>
  <si>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</si>
  <si>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</si>
  <si>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</si>
  <si>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</si>
  <si>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</si>
  <si>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</si>
  <si>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</si>
  <si>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</si>
  <si>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</si>
  <si>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</si>
  <si>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</si>
  <si>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</si>
  <si>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</si>
  <si>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</si>
  <si>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</si>
  <si>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</si>
  <si>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</si>
  <si>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</si>
  <si>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</si>
  <si>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</si>
  <si>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</si>
  <si>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</si>
  <si>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</si>
  <si>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</si>
  <si>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</si>
  <si>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</si>
  <si>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</si>
  <si>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</si>
  <si>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</si>
  <si>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</si>
  <si>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</si>
  <si>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</si>
  <si>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</si>
  <si>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</si>
  <si>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</si>
  <si>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</si>
  <si>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</si>
  <si>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</si>
  <si>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</si>
  <si>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</si>
  <si>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</si>
  <si>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</si>
  <si>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</si>
  <si>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</si>
  <si>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</si>
  <si>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</si>
  <si>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</si>
  <si>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</si>
  <si>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</si>
  <si>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</si>
  <si>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</si>
  <si>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</si>
  <si>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</si>
  <si>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</si>
  <si>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</si>
  <si>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</si>
  <si>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</si>
  <si>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</si>
  <si>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</si>
  <si>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</si>
  <si>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</si>
  <si>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</si>
  <si>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</si>
  <si>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</si>
  <si>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</si>
  <si>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</si>
  <si>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</si>
  <si>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</si>
  <si>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</si>
  <si>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</si>
  <si>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</si>
  <si>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</si>
  <si>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</si>
  <si>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</si>
  <si>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</si>
  <si>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</si>
  <si>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</si>
  <si>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</si>
  <si>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</si>
  <si>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</si>
  <si>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</si>
  <si>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</si>
  <si>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</si>
  <si>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</si>
  <si>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</si>
  <si>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</si>
  <si>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</si>
  <si>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</si>
  <si>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</si>
  <si>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</si>
  <si>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</si>
  <si>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</si>
  <si>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</si>
  <si>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</si>
  <si>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</si>
  <si>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</si>
  <si>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</si>
  <si>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</si>
  <si>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</si>
  <si>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</si>
  <si>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</si>
  <si>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</si>
  <si>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</si>
  <si>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</si>
  <si>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</si>
  <si>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</si>
  <si>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</si>
  <si>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</si>
  <si>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</si>
  <si>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</si>
  <si>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</si>
  <si>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</si>
  <si>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</si>
  <si>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</si>
  <si>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</si>
  <si>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</si>
  <si>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</si>
  <si>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</si>
  <si>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</si>
  <si>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</si>
  <si>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</si>
  <si>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</si>
  <si>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</si>
  <si>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</si>
  <si>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</si>
  <si>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</si>
  <si>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</si>
  <si>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</si>
  <si>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</si>
  <si>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</si>
  <si>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</si>
  <si>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</si>
  <si>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</si>
  <si>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</si>
  <si>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</si>
  <si>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</si>
  <si>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</si>
  <si>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</si>
  <si>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</si>
  <si>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</si>
  <si>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</si>
  <si>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</si>
  <si>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</si>
  <si>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</si>
  <si>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</si>
  <si>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</si>
  <si>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</si>
  <si>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</si>
  <si>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</si>
  <si>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</si>
  <si>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</si>
  <si>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</si>
  <si>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</si>
  <si>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</si>
  <si>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</si>
  <si>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</si>
  <si>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</si>
  <si>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</si>
  <si>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</si>
  <si>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</si>
  <si>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</si>
  <si>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</si>
  <si>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</si>
  <si>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</si>
  <si>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</si>
  <si>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</si>
  <si>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</si>
  <si>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</si>
  <si>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</si>
  <si>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</si>
  <si>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</si>
  <si>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</si>
  <si>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</si>
  <si>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</si>
  <si>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</si>
  <si>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</si>
  <si>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</si>
  <si>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</si>
  <si>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</si>
  <si>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</si>
  <si>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</si>
  <si>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</si>
  <si>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</si>
  <si>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</si>
  <si>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</si>
  <si>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</si>
  <si>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</si>
  <si>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</si>
  <si>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</si>
  <si>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</si>
  <si>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</si>
  <si>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</si>
  <si>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</si>
  <si>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</si>
  <si>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</si>
  <si>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</si>
  <si>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</si>
  <si>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</si>
  <si>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</si>
  <si>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</si>
  <si>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</si>
  <si>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</si>
  <si>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</si>
  <si>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</si>
  <si>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</si>
  <si>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</si>
  <si>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</si>
  <si>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</si>
  <si>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</si>
  <si>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</si>
  <si>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</si>
  <si>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</si>
  <si>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</si>
  <si>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</si>
  <si>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</si>
  <si>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</si>
  <si>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</si>
  <si>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</si>
  <si>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</si>
  <si>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</si>
  <si>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</si>
  <si>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</si>
  <si>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</si>
  <si>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</si>
  <si>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</si>
  <si>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</si>
  <si>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</si>
  <si>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</si>
  <si>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</si>
  <si>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</si>
  <si>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</si>
  <si>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</si>
  <si>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</si>
  <si>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</si>
  <si>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</si>
  <si>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</si>
  <si>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</si>
  <si>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</si>
  <si>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</si>
  <si>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</si>
  <si>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</si>
  <si>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</si>
  <si>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</si>
  <si>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</si>
  <si>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</si>
  <si>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</si>
  <si>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</si>
  <si>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</si>
  <si>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</si>
  <si>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</si>
  <si>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</si>
  <si>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</si>
  <si>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</si>
  <si>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</si>
  <si>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</si>
  <si>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</si>
  <si>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</si>
  <si>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</si>
  <si>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</si>
  <si>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</si>
  <si>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</si>
  <si>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</si>
  <si>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</si>
  <si>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</si>
  <si>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</si>
  <si>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</si>
  <si>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</si>
  <si>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</si>
  <si>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</si>
  <si>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</si>
  <si>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</si>
  <si>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</si>
  <si>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</si>
  <si>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</si>
  <si>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</si>
  <si>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</si>
  <si>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</si>
  <si>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</si>
  <si>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</si>
  <si>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</si>
  <si>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</si>
  <si>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</si>
  <si>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</si>
  <si>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</si>
  <si>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</si>
  <si>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</si>
  <si>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</si>
  <si>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</si>
  <si>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</si>
  <si>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</si>
  <si>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</si>
  <si>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</si>
  <si>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</si>
  <si>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</si>
  <si>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</si>
  <si>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</si>
  <si>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</si>
  <si>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</si>
  <si>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</si>
  <si>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</si>
  <si>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</si>
  <si>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</si>
  <si>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</si>
  <si>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</si>
  <si>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</si>
  <si>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</si>
  <si>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</si>
  <si>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</si>
  <si>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</si>
  <si>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</si>
  <si>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</si>
  <si>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</si>
  <si>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</si>
  <si>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</si>
  <si>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</si>
  <si>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</si>
  <si>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</si>
  <si>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</si>
  <si>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</si>
  <si>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</si>
  <si>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</si>
  <si>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</si>
  <si>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</si>
  <si>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</si>
  <si>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</si>
  <si>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</si>
  <si>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</si>
  <si>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</si>
  <si>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</si>
  <si>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</si>
  <si>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</si>
  <si>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</si>
  <si>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</si>
  <si>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</si>
  <si>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</si>
  <si>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</si>
  <si>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</si>
  <si>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</si>
  <si>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</si>
  <si>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</si>
  <si>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</si>
  <si>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</si>
  <si>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</si>
  <si>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</si>
  <si>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</si>
  <si>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</si>
  <si>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</si>
  <si>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</si>
  <si>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</si>
  <si>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</si>
  <si>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</si>
  <si>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</si>
  <si>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</si>
  <si>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</si>
  <si>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</si>
  <si>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</si>
  <si>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</si>
  <si>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</si>
  <si>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</si>
  <si>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</si>
  <si>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</si>
  <si>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</si>
  <si>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</si>
  <si>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</si>
  <si>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</si>
  <si>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</si>
  <si>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</si>
  <si>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</si>
  <si>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</si>
  <si>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</si>
  <si>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</si>
  <si>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</si>
  <si>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</si>
  <si>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</si>
  <si>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</si>
  <si>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</si>
  <si>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</si>
  <si>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</si>
  <si>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</si>
  <si>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</si>
  <si>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</si>
  <si>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</si>
  <si>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</si>
  <si>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</si>
  <si>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</si>
  <si>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</si>
  <si>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</si>
  <si>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</si>
  <si>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</si>
  <si>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</si>
  <si>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</si>
  <si>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</si>
  <si>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</si>
  <si>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</si>
  <si>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</si>
  <si>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</si>
  <si>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</si>
  <si>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</si>
  <si>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</si>
  <si>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</si>
  <si>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</si>
  <si>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</si>
  <si>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</si>
  <si>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</si>
  <si>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</si>
  <si>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</si>
  <si>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</si>
  <si>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</si>
  <si>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</si>
  <si>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</si>
  <si>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</si>
  <si>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</si>
  <si>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</si>
  <si>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</si>
  <si>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</si>
  <si>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</si>
  <si>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</si>
  <si>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</si>
  <si>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</si>
  <si>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</si>
  <si>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</si>
  <si>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</si>
  <si>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</si>
  <si>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</si>
  <si>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</si>
  <si>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</si>
  <si>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</si>
  <si>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</si>
  <si>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</si>
  <si>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</si>
  <si>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</si>
  <si>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</si>
  <si>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</si>
  <si>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</si>
  <si>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</si>
  <si>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</si>
  <si>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</si>
  <si>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</si>
  <si>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</si>
  <si>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</si>
  <si>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</si>
  <si>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</si>
  <si>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</si>
  <si>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</si>
  <si>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</si>
  <si>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</si>
  <si>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</si>
  <si>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</si>
  <si>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</si>
  <si>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</si>
  <si>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</si>
  <si>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</si>
  <si>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</si>
  <si>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</si>
  <si>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</si>
  <si>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</si>
  <si>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</si>
  <si>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</si>
  <si>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</si>
  <si>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</si>
  <si>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</si>
  <si>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</si>
  <si>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</si>
  <si>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</si>
  <si>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</si>
  <si>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</si>
  <si>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</si>
  <si>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</si>
  <si>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</si>
  <si>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</si>
  <si>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</si>
  <si>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</si>
  <si>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</si>
  <si>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</si>
  <si>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</si>
  <si>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</si>
  <si>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</si>
  <si>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</si>
  <si>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</si>
  <si>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</si>
  <si>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</si>
  <si>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</si>
  <si>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</si>
  <si>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</si>
  <si>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</si>
  <si>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</si>
  <si>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</si>
  <si>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</si>
  <si>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</si>
  <si>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</si>
  <si>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</si>
  <si>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</si>
  <si>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</si>
  <si>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</si>
  <si>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</si>
  <si>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</si>
  <si>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</si>
  <si>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</si>
  <si>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</si>
  <si>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</si>
  <si>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</si>
  <si>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</si>
  <si>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</si>
  <si>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</si>
  <si>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</si>
  <si>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</si>
  <si>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</si>
  <si>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</si>
  <si>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</si>
  <si>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</si>
  <si>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</si>
  <si>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</si>
  <si>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</si>
  <si>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</si>
  <si>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</si>
  <si>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</si>
  <si>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</si>
  <si>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</si>
  <si>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</si>
  <si>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</si>
  <si>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</si>
  <si>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</si>
  <si>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</si>
  <si>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</si>
  <si>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</si>
  <si>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</si>
  <si>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</si>
  <si>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</si>
  <si>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</si>
  <si>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</si>
  <si>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</si>
  <si>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</si>
  <si>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</si>
  <si>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</si>
  <si>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</si>
  <si>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</si>
  <si>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</si>
  <si>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</si>
  <si>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</si>
  <si>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</si>
  <si>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</si>
  <si>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</si>
  <si>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</si>
  <si>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</si>
  <si>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</si>
  <si>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</si>
  <si>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</si>
  <si>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</si>
  <si>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</si>
  <si>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</si>
  <si>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</si>
  <si>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</si>
  <si>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</si>
  <si>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</si>
  <si>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</si>
  <si>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</si>
  <si>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</si>
  <si>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</si>
  <si>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</si>
  <si>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</si>
  <si>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</si>
  <si>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</si>
  <si>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</si>
  <si>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</si>
  <si>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</si>
  <si>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</si>
  <si>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</si>
  <si>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</si>
  <si>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</si>
  <si>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</si>
  <si>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</si>
  <si>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</si>
  <si>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</si>
  <si>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</si>
  <si>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</si>
  <si>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</si>
  <si>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</si>
  <si>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</si>
  <si>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</si>
  <si>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</si>
  <si>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</si>
  <si>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</si>
  <si>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</si>
  <si>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</si>
  <si>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</si>
  <si>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</si>
  <si>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</si>
  <si>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</si>
  <si>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</si>
  <si>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</si>
  <si>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</si>
  <si>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</si>
  <si>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</si>
  <si>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</si>
  <si>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</si>
  <si>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</si>
  <si>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</si>
  <si>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</si>
  <si>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</si>
  <si>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</si>
  <si>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</si>
  <si>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</si>
  <si>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</si>
  <si>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</si>
  <si>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</si>
  <si>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</si>
  <si>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</si>
  <si>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</si>
  <si>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</si>
  <si>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</si>
  <si>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</si>
  <si>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</si>
  <si>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</si>
  <si>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</si>
  <si>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</si>
  <si>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</si>
  <si>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</si>
  <si>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</si>
  <si>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</si>
  <si>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</si>
  <si>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</si>
  <si>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</si>
  <si>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</si>
  <si>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</si>
  <si>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</si>
  <si>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</si>
  <si>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</si>
  <si>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</si>
  <si>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</si>
  <si>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</si>
  <si>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</si>
  <si>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</si>
  <si>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</si>
  <si>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</si>
  <si>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</si>
  <si>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</si>
  <si>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</si>
  <si>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</si>
  <si>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</si>
  <si>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</si>
  <si>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</si>
  <si>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</si>
  <si>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</si>
  <si>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</si>
  <si>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</si>
  <si>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</si>
  <si>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</si>
  <si>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</si>
  <si>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</si>
  <si>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</si>
  <si>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</si>
  <si>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</si>
  <si>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</si>
  <si>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</si>
  <si>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</si>
  <si>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</si>
  <si>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</si>
  <si>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</si>
  <si>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</si>
  <si>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</si>
  <si>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</si>
  <si>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</si>
  <si>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</si>
  <si>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</si>
  <si>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</si>
  <si>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</si>
  <si>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</si>
  <si>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</si>
  <si>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</si>
  <si>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</si>
  <si>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</si>
  <si>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</si>
  <si>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</si>
  <si>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</si>
  <si>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</si>
  <si>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</si>
  <si>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</si>
  <si>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</si>
  <si>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</si>
  <si>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</si>
  <si>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</si>
  <si>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</si>
  <si>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</si>
  <si>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</si>
  <si>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</si>
  <si>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</si>
  <si>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</si>
  <si>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</si>
  <si>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</si>
  <si>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</si>
  <si>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</si>
  <si>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</si>
  <si>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</si>
  <si>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</si>
  <si>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</si>
  <si>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</si>
  <si>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</si>
  <si>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</si>
  <si>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</si>
  <si>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</si>
  <si>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</si>
  <si>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</si>
  <si>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</si>
  <si>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</si>
  <si>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</si>
  <si>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</si>
  <si>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</si>
  <si>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</si>
  <si>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</si>
  <si>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</si>
  <si>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</si>
  <si>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</si>
  <si>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</si>
  <si>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</si>
  <si>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</si>
  <si>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</si>
  <si>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</si>
  <si>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</si>
  <si>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</si>
  <si>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</si>
  <si>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</si>
  <si>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</si>
  <si>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</si>
  <si>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</si>
  <si>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</si>
  <si>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</si>
  <si>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</si>
  <si>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</si>
  <si>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</si>
  <si>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</si>
  <si>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</si>
  <si>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</si>
  <si>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</si>
  <si>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</si>
  <si>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</si>
  <si>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</si>
  <si>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</si>
  <si>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</si>
  <si>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</si>
  <si>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</si>
  <si>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</si>
  <si>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</si>
  <si>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</si>
  <si>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</si>
  <si>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</si>
  <si>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</si>
  <si>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</si>
  <si>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</si>
  <si>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</si>
  <si>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</si>
  <si>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</si>
  <si>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</si>
  <si>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</si>
  <si>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</si>
  <si>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</si>
  <si>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</si>
  <si>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</si>
  <si>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</si>
  <si>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</si>
  <si>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</si>
  <si>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</si>
  <si>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</si>
  <si>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</si>
  <si>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</si>
  <si>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</si>
  <si>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</si>
  <si>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</si>
  <si>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</si>
  <si>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</si>
  <si>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</si>
  <si>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</si>
  <si>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</si>
  <si>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</si>
  <si>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</si>
  <si>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</si>
  <si>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</si>
  <si>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</si>
  <si>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</si>
  <si>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</si>
  <si>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</si>
  <si>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</si>
  <si>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</si>
  <si>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</si>
  <si>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</si>
  <si>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</si>
  <si>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</si>
  <si>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</si>
  <si>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</si>
  <si>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</si>
  <si>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</si>
  <si>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</si>
  <si>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</si>
  <si>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</si>
  <si>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</si>
  <si>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</si>
  <si>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</si>
  <si>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</si>
  <si>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</si>
  <si>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</si>
  <si>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</si>
  <si>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</si>
  <si>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</si>
  <si>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</si>
  <si>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</si>
  <si>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</si>
  <si>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</si>
  <si>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</si>
  <si>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</si>
  <si>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</si>
  <si>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</si>
  <si>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</si>
  <si>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</si>
  <si>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</si>
  <si>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</si>
  <si>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</si>
  <si>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</si>
  <si>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</si>
  <si>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</si>
  <si>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</si>
  <si>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</si>
  <si>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</si>
  <si>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</si>
  <si>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</si>
  <si>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</si>
  <si>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</si>
  <si>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</si>
  <si>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</si>
  <si>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</si>
  <si>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</si>
  <si>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</si>
  <si>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</si>
  <si>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</si>
  <si>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</si>
  <si>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</si>
  <si>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</si>
  <si>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</si>
  <si>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</si>
  <si>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</si>
  <si>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</si>
  <si>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</si>
  <si>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</si>
  <si>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</si>
  <si>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</si>
  <si>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</si>
  <si>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</si>
  <si>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</si>
  <si>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</si>
  <si>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</si>
  <si>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</si>
  <si>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</si>
  <si>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</si>
  <si>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</si>
  <si>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</si>
  <si>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</si>
  <si>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</si>
  <si>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</si>
  <si>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</si>
  <si>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</si>
  <si>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</si>
  <si>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</si>
  <si>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</si>
  <si>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</si>
  <si>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</si>
  <si>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</si>
  <si>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</si>
  <si>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</si>
  <si>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</si>
  <si>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</si>
  <si>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</si>
  <si>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</si>
  <si>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</si>
  <si>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</si>
  <si>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</si>
  <si>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</si>
  <si>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</si>
  <si>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</si>
  <si>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</si>
  <si>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</si>
  <si>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</si>
  <si>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</si>
  <si>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</si>
  <si>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</si>
  <si>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</si>
  <si>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</si>
  <si>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</si>
  <si>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</si>
  <si>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</si>
  <si>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</si>
  <si>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</si>
  <si>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</si>
  <si>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</si>
  <si>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</si>
  <si>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</si>
  <si>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</si>
  <si>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</si>
  <si>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</si>
  <si>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</si>
  <si>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</si>
  <si>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</si>
  <si>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</si>
  <si>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</si>
  <si>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</si>
  <si>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</si>
  <si>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</si>
  <si>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</si>
  <si>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</si>
  <si>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</si>
  <si>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</si>
  <si>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</si>
  <si>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</si>
  <si>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</si>
  <si>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</si>
  <si>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</si>
  <si>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</si>
  <si>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</si>
  <si>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</si>
  <si>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</si>
  <si>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</si>
  <si>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</si>
  <si>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</si>
  <si>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</si>
  <si>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</si>
  <si>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</si>
  <si>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</si>
  <si>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</si>
  <si>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</si>
  <si>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</si>
  <si>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</si>
  <si>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</si>
  <si>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</si>
  <si>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</si>
  <si>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</si>
  <si>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</si>
  <si>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</si>
  <si>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</si>
  <si>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</si>
  <si>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</si>
  <si>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</si>
  <si>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</si>
  <si>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</si>
  <si>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</si>
  <si>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</si>
  <si>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</si>
  <si>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</si>
  <si>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</si>
  <si>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</si>
  <si>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</si>
  <si>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</si>
  <si>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</si>
  <si>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</si>
  <si>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</si>
  <si>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</si>
  <si>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</si>
  <si>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</si>
  <si>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</si>
  <si>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</si>
  <si>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</si>
  <si>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</si>
  <si>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</si>
  <si>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</si>
  <si>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</si>
  <si>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</si>
  <si>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</si>
  <si>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</si>
  <si>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</si>
  <si>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</si>
  <si>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</si>
  <si>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</si>
  <si>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</si>
  <si>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</si>
  <si>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</si>
  <si>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39-055-0010-26</t>
  </si>
  <si>
    <t>MACON</t>
  </si>
  <si>
    <t>500 NORTH MAIN STREET, P.O. BOX 440</t>
  </si>
  <si>
    <t xml:space="preserve">ARGENTA </t>
  </si>
  <si>
    <t>MR. DAMIAN JONES</t>
  </si>
  <si>
    <t>djones@argenta-oreana.org</t>
  </si>
  <si>
    <t>217-795-2313</t>
  </si>
  <si>
    <t>217-795-2174</t>
  </si>
  <si>
    <t>FLOYD &amp; ASSOCIATES, CPAs</t>
  </si>
  <si>
    <t>JULIE M. FLOYD, CPA</t>
  </si>
  <si>
    <t>910 STATE HIGHWAY 54 EAST</t>
  </si>
  <si>
    <t>CLINTON</t>
  </si>
  <si>
    <t>IL</t>
  </si>
  <si>
    <t>217-935-8871</t>
  </si>
  <si>
    <t>217-935-5711</t>
  </si>
  <si>
    <t>julie.floyd@frontier.com</t>
  </si>
  <si>
    <t>Floyd &amp; Associates, CPAs</t>
  </si>
  <si>
    <t>Refunding Bonds, Series 2012</t>
  </si>
  <si>
    <t>Working Cash Bonds, Series 2016</t>
  </si>
  <si>
    <t>Richland Transfer Academy</t>
  </si>
  <si>
    <t>Energy Consortium</t>
  </si>
  <si>
    <t>District #61</t>
  </si>
  <si>
    <t>Macon-Piatt Special Education</t>
  </si>
  <si>
    <t>Heartland Technical Academy</t>
  </si>
  <si>
    <t>Maroa-Forsyth CUSD #2-Wrestling, Decatur Christian and Lutheran School Assoc-Soccer</t>
  </si>
  <si>
    <t>General Obligation Bonds, Series 2013</t>
  </si>
  <si>
    <t>General Obligation Debt Certificates, Series 2017</t>
  </si>
  <si>
    <t>Debt Certificates</t>
  </si>
  <si>
    <t>General Obligation Bonds, Series 2017A</t>
  </si>
  <si>
    <t>2,3</t>
  </si>
  <si>
    <t>Tort-Risk Management-Purchased Services</t>
  </si>
  <si>
    <t>80-2365-300</t>
  </si>
  <si>
    <t>Decatur Memorial Hospital</t>
  </si>
  <si>
    <t>Tort-Ed Superintentdent Services-Purchased Services</t>
  </si>
  <si>
    <t>80-2367-311</t>
  </si>
  <si>
    <t>George Alarm</t>
  </si>
  <si>
    <t>FPS-Support Services-Purchased Services</t>
  </si>
  <si>
    <t>CC Fire</t>
  </si>
  <si>
    <t>ED-Board Of Educ-Purchased Services</t>
  </si>
  <si>
    <t>Watts</t>
  </si>
  <si>
    <t>O/M-Support Services-Purchased Services</t>
  </si>
  <si>
    <t>20-2540-300</t>
  </si>
  <si>
    <t>Tech Electronics</t>
  </si>
  <si>
    <t>Page 10, Line 74</t>
  </si>
  <si>
    <t xml:space="preserve">   Education Fund</t>
  </si>
  <si>
    <t>Page 10, Line81</t>
  </si>
  <si>
    <t xml:space="preserve">   </t>
  </si>
  <si>
    <t xml:space="preserve">      Beverage Machine Money</t>
  </si>
  <si>
    <t xml:space="preserve">      Other Food Payments </t>
  </si>
  <si>
    <t>Page 10, Line 107</t>
  </si>
  <si>
    <t xml:space="preserve">      Local-Winnings</t>
  </si>
  <si>
    <t xml:space="preserve">      Tourney Reimbursement</t>
  </si>
  <si>
    <t xml:space="preserve">      Other Local Revenue</t>
  </si>
  <si>
    <t xml:space="preserve">      Alternative Beverage</t>
  </si>
  <si>
    <t xml:space="preserve">      Heartland Grant</t>
  </si>
  <si>
    <t xml:space="preserve">   Operations &amp; Maintenance Fund</t>
  </si>
  <si>
    <t xml:space="preserve">      Parking Fees</t>
  </si>
  <si>
    <t xml:space="preserve">      E-rate Reimbursement</t>
  </si>
  <si>
    <t>Page 12, Line 171</t>
  </si>
  <si>
    <t xml:space="preserve">      Library Grant</t>
  </si>
  <si>
    <t>Page 15, Line 41</t>
  </si>
  <si>
    <t xml:space="preserve">      Playground Supervisor Salaries</t>
  </si>
  <si>
    <t xml:space="preserve">      Playground Supervisor Benefits</t>
  </si>
  <si>
    <t xml:space="preserve">      Travel (District)</t>
  </si>
  <si>
    <t>Page 19, Line 236</t>
  </si>
  <si>
    <t xml:space="preserve">   Municipal Retirement/Social Security Fund</t>
  </si>
  <si>
    <t>Page 18, Line 171</t>
  </si>
  <si>
    <t xml:space="preserve">      Bond Issuance Fees</t>
  </si>
  <si>
    <t xml:space="preserve">   Debt Service Fund</t>
  </si>
  <si>
    <t xml:space="preserve">      GSA Transfer Macon-Piatt</t>
  </si>
  <si>
    <t>10-2310-300</t>
  </si>
  <si>
    <t>90-2530-300</t>
  </si>
  <si>
    <t>Argenta Oreana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</si>
</sst>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6" fontId="56" fillId="0" borderId="0" xfId="0" applyNumberFormat="1" applyFont="1"/>
    <xf numFmtId="3" fontId="56" fillId="0" borderId="0" xfId="0" applyNumberFormat="1"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950768</xdr:colOff>
          <xdr:row>5</xdr:row>
          <xdr:rowOff>12989</xdr:rowOff>
        </xdr:from>
        <xdr:to>
          <xdr:col>3</xdr:col>
          <xdr:colOff>297873</xdr:colOff>
          <xdr:row>9</xdr:row>
          <xdr:rowOff>61480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5" t="s">
        <v>1685</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t="s">
        <v>2077</v>
      </c>
      <c r="C5" s="26" t="s">
        <v>966</v>
      </c>
      <c r="D5" s="84"/>
      <c r="E5" s="84"/>
      <c r="H5" s="38"/>
      <c r="I5" s="2013" t="s">
        <v>701</v>
      </c>
      <c r="J5" s="2012"/>
      <c r="K5" s="2012"/>
      <c r="L5" s="2012"/>
      <c r="M5" s="2012"/>
      <c r="N5" s="2012"/>
      <c r="O5" s="2012"/>
      <c r="P5" s="2012"/>
      <c r="Q5" s="2012"/>
      <c r="R5" s="2012"/>
      <c r="S5" s="2012"/>
    </row>
    <row r="6" spans="1:28" ht="14.1" customHeight="1" x14ac:dyDescent="0.2">
      <c r="B6" s="104"/>
      <c r="C6" s="26" t="s">
        <v>967</v>
      </c>
      <c r="D6" s="84"/>
      <c r="E6" s="84"/>
      <c r="I6" s="2011" t="s">
        <v>938</v>
      </c>
      <c r="J6" s="2012"/>
      <c r="K6" s="2012"/>
      <c r="L6" s="2012"/>
      <c r="M6" s="2012"/>
      <c r="N6" s="2012"/>
      <c r="O6" s="2012"/>
      <c r="P6" s="2012"/>
      <c r="Q6" s="2012"/>
      <c r="R6" s="2012"/>
      <c r="S6" s="2012"/>
    </row>
    <row r="7" spans="1:28" ht="12.4"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8" t="s">
        <v>2077</v>
      </c>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8" t="s">
        <v>2078</v>
      </c>
      <c r="B13" s="2039"/>
      <c r="C13" s="2039"/>
      <c r="D13" s="2039"/>
      <c r="E13" s="2039"/>
      <c r="F13" s="2039"/>
      <c r="G13" s="2039"/>
      <c r="H13" s="2040"/>
      <c r="I13" s="31"/>
      <c r="J13" s="30"/>
      <c r="K13" s="28"/>
      <c r="L13" s="30"/>
      <c r="M13" s="30"/>
      <c r="N13" s="30"/>
      <c r="O13" s="30"/>
      <c r="P13" s="30"/>
      <c r="Q13" s="30"/>
      <c r="R13" s="30"/>
      <c r="S13" s="30"/>
      <c r="T13" s="2043" t="s">
        <v>2086</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2079</v>
      </c>
      <c r="B15" s="2041"/>
      <c r="C15" s="2041"/>
      <c r="D15" s="2041"/>
      <c r="E15" s="2041"/>
      <c r="F15" s="2041"/>
      <c r="G15" s="2041"/>
      <c r="H15" s="2042"/>
      <c r="T15" s="2047" t="s">
        <v>2087</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2150</v>
      </c>
      <c r="B17" s="1998"/>
      <c r="C17" s="1998"/>
      <c r="D17" s="1998"/>
      <c r="E17" s="1998"/>
      <c r="F17" s="1998"/>
      <c r="G17" s="1998"/>
      <c r="H17" s="2023"/>
      <c r="T17" s="2054" t="s">
        <v>2088</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9" t="s">
        <v>698</v>
      </c>
      <c r="AA18" s="46"/>
    </row>
    <row r="19" spans="1:27" ht="13.5" customHeight="1" x14ac:dyDescent="0.2">
      <c r="A19" s="2037" t="s">
        <v>2080</v>
      </c>
      <c r="B19" s="1983"/>
      <c r="C19" s="1983"/>
      <c r="D19" s="1983"/>
      <c r="E19" s="1983"/>
      <c r="F19" s="1983"/>
      <c r="G19" s="1983"/>
      <c r="H19" s="1963"/>
      <c r="I19" s="30"/>
      <c r="J19" s="99"/>
      <c r="K19" s="40"/>
      <c r="L19" s="38"/>
      <c r="M19" s="112" t="s">
        <v>333</v>
      </c>
      <c r="P19" s="27"/>
      <c r="Q19" s="27"/>
      <c r="R19" s="27"/>
      <c r="S19" s="31"/>
      <c r="T19" s="2037" t="s">
        <v>2089</v>
      </c>
      <c r="U19" s="1962"/>
      <c r="V19" s="1962"/>
      <c r="W19" s="1963"/>
      <c r="X19" s="2052" t="s">
        <v>2090</v>
      </c>
      <c r="Y19" s="2053"/>
      <c r="Z19" s="2050">
        <v>61727</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1" t="s">
        <v>2081</v>
      </c>
      <c r="B21" s="1962"/>
      <c r="C21" s="1962"/>
      <c r="D21" s="1962"/>
      <c r="E21" s="1962"/>
      <c r="F21" s="1962"/>
      <c r="G21" s="1962"/>
      <c r="H21" s="1963"/>
      <c r="I21" s="2017" t="s">
        <v>699</v>
      </c>
      <c r="J21" s="2012"/>
      <c r="K21" s="2012"/>
      <c r="L21" s="2012"/>
      <c r="M21" s="2012"/>
      <c r="N21" s="2012"/>
      <c r="O21" s="2012"/>
      <c r="P21" s="2012"/>
      <c r="Q21" s="2012"/>
      <c r="R21" s="2012"/>
      <c r="S21" s="2018"/>
      <c r="T21" s="2061" t="s">
        <v>2091</v>
      </c>
      <c r="U21" s="2062"/>
      <c r="V21" s="2062"/>
      <c r="W21" s="2062"/>
      <c r="X21" s="2067" t="s">
        <v>2092</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4"/>
      <c r="B23" s="2015"/>
      <c r="C23" s="2015"/>
      <c r="D23" s="2015"/>
      <c r="E23" s="2015"/>
      <c r="F23" s="2015"/>
      <c r="G23" s="2015"/>
      <c r="H23" s="2016"/>
      <c r="T23" s="1997">
        <v>66.004384999999999</v>
      </c>
      <c r="U23" s="2060"/>
      <c r="V23" s="2060"/>
      <c r="W23" s="2060"/>
      <c r="X23" s="2064">
        <v>43434</v>
      </c>
      <c r="Y23" s="2065"/>
      <c r="Z23" s="2065"/>
      <c r="AA23" s="2066"/>
    </row>
    <row r="24" spans="1:27" ht="14.1" customHeight="1" x14ac:dyDescent="0.2">
      <c r="A24" s="88" t="s">
        <v>698</v>
      </c>
      <c r="B24" s="49"/>
      <c r="C24" s="49"/>
      <c r="D24" s="49"/>
      <c r="E24" s="49"/>
      <c r="F24" s="49"/>
      <c r="G24" s="49"/>
      <c r="H24" s="61"/>
      <c r="J24" s="1984">
        <f>IF(B5="x",IF(AUDITCHECK!D29="AFR form Incomplete.","",IF(AUDITCHECK!D29="Deficit reduction plan is required.","School District must complete a deficit reduction plan in the 2018-2019 Budget",)),"")</f>
        <v>0</v>
      </c>
      <c r="K24" s="1984"/>
      <c r="L24" s="1984"/>
      <c r="M24" s="1984"/>
      <c r="N24" s="1984"/>
      <c r="O24" s="1984"/>
      <c r="P24" s="1984"/>
      <c r="Q24" s="1984"/>
      <c r="R24" s="1984"/>
      <c r="S24" s="1985"/>
      <c r="T24" s="105" t="s">
        <v>552</v>
      </c>
      <c r="U24" s="106"/>
      <c r="V24" s="106"/>
      <c r="W24" s="106"/>
      <c r="X24" s="107"/>
      <c r="Y24" s="107"/>
      <c r="Z24" s="107"/>
      <c r="AA24" s="108"/>
    </row>
    <row r="25" spans="1:27" ht="14.1" customHeight="1" x14ac:dyDescent="0.2">
      <c r="A25" s="1961">
        <v>62501</v>
      </c>
      <c r="B25" s="1962"/>
      <c r="C25" s="1962"/>
      <c r="D25" s="1962"/>
      <c r="E25" s="1962"/>
      <c r="F25" s="1962"/>
      <c r="G25" s="1962"/>
      <c r="H25" s="1963"/>
      <c r="I25" s="113"/>
      <c r="J25" s="1986"/>
      <c r="K25" s="1986"/>
      <c r="L25" s="1986"/>
      <c r="M25" s="1986"/>
      <c r="N25" s="1986"/>
      <c r="O25" s="1986"/>
      <c r="P25" s="1986"/>
      <c r="Q25" s="1986"/>
      <c r="R25" s="1986"/>
      <c r="S25" s="1987"/>
      <c r="T25" s="2057" t="s">
        <v>2093</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2" t="s">
        <v>1591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t="s">
        <v>2082</v>
      </c>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t="s">
        <v>2083</v>
      </c>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6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t="s">
        <v>2084</v>
      </c>
      <c r="B42" s="1981"/>
      <c r="C42" s="1982"/>
      <c r="D42" s="1980" t="s">
        <v>2085</v>
      </c>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25" sqref="T25:AA25"/>
    </sheetView>
  </sheetViews>
  <sheetFormatPr defaultColWidth="9.28515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28515625" style="329"/>
  </cols>
  <sheetData>
    <row r="1" spans="1:6" ht="33.75" customHeight="1" x14ac:dyDescent="0.2">
      <c r="A1" s="1908" t="s">
        <v>106</v>
      </c>
    </row>
    <row r="2" spans="1:6" ht="39.75" customHeight="1" x14ac:dyDescent="0.2">
      <c r="A2" s="2203" t="s">
        <v>1905</v>
      </c>
      <c r="B2" s="1550" t="s">
        <v>2037</v>
      </c>
      <c r="C2" s="715" t="s">
        <v>1910</v>
      </c>
      <c r="D2" s="715" t="s">
        <v>1911</v>
      </c>
      <c r="E2" s="715" t="s">
        <v>1912</v>
      </c>
      <c r="F2" s="715" t="s">
        <v>1913</v>
      </c>
    </row>
    <row r="3" spans="1:6" ht="12" customHeight="1" x14ac:dyDescent="0.2">
      <c r="A3" s="2204"/>
      <c r="B3" s="1547"/>
      <c r="C3" s="1548"/>
      <c r="D3" s="1549" t="s">
        <v>274</v>
      </c>
      <c r="E3" s="1548"/>
      <c r="F3" s="1549" t="s">
        <v>275</v>
      </c>
    </row>
    <row r="4" spans="1:6" ht="13.9" customHeight="1" x14ac:dyDescent="0.2">
      <c r="A4" s="716" t="s">
        <v>1217</v>
      </c>
      <c r="B4" s="1771">
        <f>'Revenues 9-14'!C5</f>
        <v>3159879</v>
      </c>
      <c r="C4" s="1546"/>
      <c r="D4" s="1774">
        <f>B4-C4</f>
        <v>3159879</v>
      </c>
      <c r="E4" s="1546">
        <v>3244757</v>
      </c>
      <c r="F4" s="1774">
        <f>E4-C4</f>
        <v>3244757</v>
      </c>
    </row>
    <row r="5" spans="1:6" ht="13.9" customHeight="1" x14ac:dyDescent="0.2">
      <c r="A5" s="716" t="s">
        <v>925</v>
      </c>
      <c r="B5" s="1772">
        <f>'Revenues 9-14'!D5</f>
        <v>642251</v>
      </c>
      <c r="C5" s="585"/>
      <c r="D5" s="1775">
        <f t="shared" ref="D5:D18" si="0">B5-C5</f>
        <v>642251</v>
      </c>
      <c r="E5" s="585">
        <v>659504</v>
      </c>
      <c r="F5" s="1775">
        <f>E5-C5</f>
        <v>659504</v>
      </c>
    </row>
    <row r="6" spans="1:6" ht="13.9" customHeight="1" x14ac:dyDescent="0.2">
      <c r="A6" s="716" t="s">
        <v>431</v>
      </c>
      <c r="B6" s="1772">
        <f>'Revenues 9-14'!E5</f>
        <v>762563</v>
      </c>
      <c r="C6" s="585"/>
      <c r="D6" s="1775">
        <f t="shared" si="0"/>
        <v>762563</v>
      </c>
      <c r="E6" s="585">
        <v>781703</v>
      </c>
      <c r="F6" s="1775">
        <f t="shared" ref="F6:F18" si="1">E6-C6</f>
        <v>781703</v>
      </c>
    </row>
    <row r="7" spans="1:6" ht="13.9" customHeight="1" x14ac:dyDescent="0.2">
      <c r="A7" s="716" t="s">
        <v>157</v>
      </c>
      <c r="B7" s="1772">
        <f>'Revenues 9-14'!F5</f>
        <v>256901</v>
      </c>
      <c r="C7" s="585"/>
      <c r="D7" s="1775">
        <f t="shared" si="0"/>
        <v>256901</v>
      </c>
      <c r="E7" s="585">
        <v>263801</v>
      </c>
      <c r="F7" s="1775">
        <f t="shared" si="1"/>
        <v>263801</v>
      </c>
    </row>
    <row r="8" spans="1:6" ht="13.9" customHeight="1" x14ac:dyDescent="0.2">
      <c r="A8" s="716" t="s">
        <v>1241</v>
      </c>
      <c r="B8" s="1772">
        <f>'Revenues 9-14'!G5</f>
        <v>191391</v>
      </c>
      <c r="C8" s="585"/>
      <c r="D8" s="1775">
        <f t="shared" si="0"/>
        <v>191391</v>
      </c>
      <c r="E8" s="585">
        <v>195002</v>
      </c>
      <c r="F8" s="1775">
        <f t="shared" si="1"/>
        <v>195002</v>
      </c>
    </row>
    <row r="9" spans="1:6" ht="13.9" customHeight="1" x14ac:dyDescent="0.2">
      <c r="A9" s="716" t="s">
        <v>428</v>
      </c>
      <c r="B9" s="1772">
        <f>'Revenues 9-14'!H5</f>
        <v>0</v>
      </c>
      <c r="C9" s="585"/>
      <c r="D9" s="1775">
        <f t="shared" si="0"/>
        <v>0</v>
      </c>
      <c r="E9" s="585"/>
      <c r="F9" s="1775">
        <f t="shared" si="1"/>
        <v>0</v>
      </c>
    </row>
    <row r="10" spans="1:6" ht="13.9" customHeight="1" x14ac:dyDescent="0.2">
      <c r="A10" s="716" t="s">
        <v>427</v>
      </c>
      <c r="B10" s="1772">
        <f>'Revenues 9-14'!I5</f>
        <v>64224</v>
      </c>
      <c r="C10" s="585"/>
      <c r="D10" s="1775">
        <f t="shared" si="0"/>
        <v>64224</v>
      </c>
      <c r="E10" s="585">
        <v>65950</v>
      </c>
      <c r="F10" s="1775">
        <f t="shared" si="1"/>
        <v>65950</v>
      </c>
    </row>
    <row r="11" spans="1:6" x14ac:dyDescent="0.2">
      <c r="A11" s="716" t="s">
        <v>429</v>
      </c>
      <c r="B11" s="1772">
        <f>'Revenues 9-14'!J5</f>
        <v>279727</v>
      </c>
      <c r="C11" s="585"/>
      <c r="D11" s="1775">
        <f t="shared" si="0"/>
        <v>279727</v>
      </c>
      <c r="E11" s="585">
        <v>285011</v>
      </c>
      <c r="F11" s="1775">
        <f t="shared" si="1"/>
        <v>285011</v>
      </c>
    </row>
    <row r="12" spans="1:6" ht="13.9" customHeight="1" x14ac:dyDescent="0.2">
      <c r="A12" s="716" t="s">
        <v>159</v>
      </c>
      <c r="B12" s="1772">
        <f>'Revenues 9-14'!K5</f>
        <v>64224</v>
      </c>
      <c r="C12" s="585"/>
      <c r="D12" s="1775">
        <f t="shared" si="0"/>
        <v>64224</v>
      </c>
      <c r="E12" s="585">
        <v>65950</v>
      </c>
      <c r="F12" s="1775">
        <f t="shared" si="1"/>
        <v>65950</v>
      </c>
    </row>
    <row r="13" spans="1:6" ht="13.9" customHeight="1" x14ac:dyDescent="0.2">
      <c r="A13" s="716" t="s">
        <v>993</v>
      </c>
      <c r="B13" s="1772">
        <f>SUM('Revenues 9-14'!C6:D6)</f>
        <v>64225</v>
      </c>
      <c r="C13" s="585"/>
      <c r="D13" s="1775">
        <f t="shared" si="0"/>
        <v>64225</v>
      </c>
      <c r="E13" s="585">
        <v>65950</v>
      </c>
      <c r="F13" s="1775">
        <f t="shared" si="1"/>
        <v>65950</v>
      </c>
    </row>
    <row r="14" spans="1:6" ht="13.9" customHeight="1" x14ac:dyDescent="0.2">
      <c r="A14" s="716" t="s">
        <v>430</v>
      </c>
      <c r="B14" s="1772">
        <f>SUM('Revenues 9-14'!C7:D7,'Revenues 9-14'!F7:H7)</f>
        <v>51380</v>
      </c>
      <c r="C14" s="585"/>
      <c r="D14" s="1775">
        <f t="shared" si="0"/>
        <v>51380</v>
      </c>
      <c r="E14" s="585">
        <v>52760</v>
      </c>
      <c r="F14" s="1775">
        <f t="shared" si="1"/>
        <v>52760</v>
      </c>
    </row>
    <row r="15" spans="1:6" ht="13.9" customHeight="1" x14ac:dyDescent="0.2">
      <c r="A15" s="716" t="s">
        <v>1220</v>
      </c>
      <c r="B15" s="1772">
        <f>'Revenues 9-14'!E9</f>
        <v>0</v>
      </c>
      <c r="C15" s="585"/>
      <c r="D15" s="1775">
        <f t="shared" si="0"/>
        <v>0</v>
      </c>
      <c r="E15" s="585"/>
      <c r="F15" s="1775">
        <f t="shared" si="1"/>
        <v>0</v>
      </c>
    </row>
    <row r="16" spans="1:6" ht="13.9" customHeight="1" x14ac:dyDescent="0.2">
      <c r="A16" s="716" t="s">
        <v>1221</v>
      </c>
      <c r="B16" s="1772">
        <f>'Revenues 9-14'!G8</f>
        <v>115823</v>
      </c>
      <c r="C16" s="585"/>
      <c r="D16" s="1775">
        <f t="shared" si="0"/>
        <v>115823</v>
      </c>
      <c r="E16" s="585">
        <v>118012</v>
      </c>
      <c r="F16" s="1775">
        <f t="shared" si="1"/>
        <v>118012</v>
      </c>
    </row>
    <row r="17" spans="1:6" ht="13.9" customHeight="1" x14ac:dyDescent="0.2">
      <c r="A17" s="716" t="s">
        <v>1222</v>
      </c>
      <c r="B17" s="1772">
        <f>'Revenues 9-14'!C10</f>
        <v>0</v>
      </c>
      <c r="C17" s="585"/>
      <c r="D17" s="1775">
        <f t="shared" si="0"/>
        <v>0</v>
      </c>
      <c r="E17" s="585"/>
      <c r="F17" s="1775">
        <f t="shared" si="1"/>
        <v>0</v>
      </c>
    </row>
    <row r="18" spans="1:6" ht="13.9" customHeight="1" x14ac:dyDescent="0.2">
      <c r="A18" s="716" t="s">
        <v>786</v>
      </c>
      <c r="B18" s="1772">
        <f>SUM('Revenues 9-14'!C11:K11)</f>
        <v>0</v>
      </c>
      <c r="C18" s="585"/>
      <c r="D18" s="1775">
        <f t="shared" si="0"/>
        <v>0</v>
      </c>
      <c r="E18" s="585"/>
      <c r="F18" s="1775">
        <f t="shared" si="1"/>
        <v>0</v>
      </c>
    </row>
    <row r="19" spans="1:6" ht="13.9" customHeight="1" thickBot="1" x14ac:dyDescent="0.25">
      <c r="A19" s="1776" t="s">
        <v>1223</v>
      </c>
      <c r="B19" s="1773">
        <f>SUM(B4:B18)</f>
        <v>5652588</v>
      </c>
      <c r="C19" s="1773">
        <f>SUM(C4:C18)</f>
        <v>0</v>
      </c>
      <c r="D19" s="1773">
        <f>SUM(D4:D18)</f>
        <v>5652588</v>
      </c>
      <c r="E19" s="1773">
        <f>SUM(E4:E18)</f>
        <v>5798400</v>
      </c>
      <c r="F19" s="1773">
        <f>SUM(F4:F18)</f>
        <v>5798400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T25" sqref="T25:AA25"/>
    </sheetView>
  </sheetViews>
  <sheetFormatPr defaultColWidth="9.28515625" defaultRowHeight="12.75" x14ac:dyDescent="0.2"/>
  <cols>
    <col min="1" max="1" width="44" style="401" customWidth="1"/>
    <col min="2" max="2" width="12.28515625" style="723" customWidth="1"/>
    <col min="3" max="5" width="16.7109375" style="723" customWidth="1"/>
    <col min="6" max="6" width="13.42578125" style="384" customWidth="1"/>
    <col min="7" max="7" width="14.7109375" style="384" customWidth="1"/>
    <col min="8" max="10" width="16.7109375" style="384" customWidth="1"/>
    <col min="11" max="16384" width="9.28515625" style="384"/>
  </cols>
  <sheetData>
    <row r="1" spans="1:7" ht="27" customHeight="1" x14ac:dyDescent="0.2">
      <c r="A1" s="2225" t="s">
        <v>650</v>
      </c>
      <c r="B1" s="2223"/>
      <c r="C1" s="722"/>
    </row>
    <row r="2" spans="1:7" ht="33.75" x14ac:dyDescent="0.2">
      <c r="A2" s="2230" t="s">
        <v>1905</v>
      </c>
      <c r="B2" s="2231"/>
      <c r="C2" s="1909" t="s">
        <v>2038</v>
      </c>
      <c r="D2" s="724" t="s">
        <v>2045</v>
      </c>
      <c r="E2" s="724" t="s">
        <v>2046</v>
      </c>
      <c r="F2" s="1909" t="s">
        <v>2039</v>
      </c>
    </row>
    <row r="3" spans="1:7" ht="15.75" customHeight="1" x14ac:dyDescent="0.2">
      <c r="A3" s="2232" t="s">
        <v>1176</v>
      </c>
      <c r="B3" s="2233"/>
      <c r="C3" s="2226"/>
      <c r="D3" s="2227"/>
      <c r="E3" s="2227"/>
      <c r="F3" s="2228"/>
    </row>
    <row r="4" spans="1:7" ht="12.75" customHeight="1" thickBot="1" x14ac:dyDescent="0.25">
      <c r="A4" s="2220" t="s">
        <v>651</v>
      </c>
      <c r="B4" s="2221"/>
      <c r="C4" s="581"/>
      <c r="D4" s="581"/>
      <c r="E4" s="581"/>
      <c r="F4" s="1777">
        <f>SUM(C4+D4)-E4</f>
        <v>0</v>
      </c>
    </row>
    <row r="5" spans="1:7" ht="15.75" customHeight="1" thickTop="1" x14ac:dyDescent="0.2">
      <c r="A5" s="2224" t="s">
        <v>1172</v>
      </c>
      <c r="B5" s="2219"/>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6" t="s">
        <v>652</v>
      </c>
      <c r="B15" s="2217"/>
      <c r="C15" s="1777">
        <f>SUM(C6:C14)</f>
        <v>0</v>
      </c>
      <c r="D15" s="1777">
        <f>SUM(D6:D14)</f>
        <v>0</v>
      </c>
      <c r="E15" s="1777">
        <f>SUM(E6:E14)</f>
        <v>0</v>
      </c>
      <c r="F15" s="1777">
        <f>SUM(F6:F14)</f>
        <v>0</v>
      </c>
      <c r="G15" s="552"/>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7"/>
      <c r="D17" s="585"/>
      <c r="E17" s="727"/>
      <c r="F17" s="1777">
        <f>SUM(C17+D17)-E17</f>
        <v>0</v>
      </c>
    </row>
    <row r="18" spans="1:11" ht="12.75" customHeight="1" thickTop="1" thickBot="1" x14ac:dyDescent="0.25">
      <c r="A18" s="2211" t="s">
        <v>6</v>
      </c>
      <c r="B18" s="2212"/>
      <c r="C18" s="727"/>
      <c r="D18" s="585"/>
      <c r="E18" s="727"/>
      <c r="F18" s="1777">
        <f>SUM(C18+D18)-E18</f>
        <v>0</v>
      </c>
    </row>
    <row r="19" spans="1:11" ht="12.75" customHeight="1" thickTop="1" thickBot="1" x14ac:dyDescent="0.25">
      <c r="A19" s="2211" t="s">
        <v>406</v>
      </c>
      <c r="B19" s="2212"/>
      <c r="C19" s="727"/>
      <c r="D19" s="585"/>
      <c r="E19" s="727"/>
      <c r="F19" s="1777">
        <f>SUM(C19+D19)-E19</f>
        <v>0</v>
      </c>
    </row>
    <row r="20" spans="1:11" ht="12.75" customHeight="1" thickTop="1" thickBot="1" x14ac:dyDescent="0.25">
      <c r="A20" s="2211" t="s">
        <v>468</v>
      </c>
      <c r="B20" s="2212"/>
      <c r="C20" s="727"/>
      <c r="D20" s="585"/>
      <c r="E20" s="727"/>
      <c r="F20" s="1777">
        <f>SUM(C20+D20)-E20</f>
        <v>0</v>
      </c>
    </row>
    <row r="21" spans="1:11" ht="14.25" thickTop="1" thickBot="1" x14ac:dyDescent="0.25">
      <c r="A21" s="2216" t="s">
        <v>653</v>
      </c>
      <c r="B21" s="2217"/>
      <c r="C21" s="1777">
        <f>SUM(C17:C20)</f>
        <v>0</v>
      </c>
      <c r="D21" s="1777">
        <f>SUM(D17:D20)</f>
        <v>0</v>
      </c>
      <c r="E21" s="1777">
        <f>SUM(E17:E20)</f>
        <v>0</v>
      </c>
      <c r="F21" s="1777">
        <f>SUM(F17:F20)</f>
        <v>0</v>
      </c>
      <c r="G21" s="552"/>
    </row>
    <row r="22" spans="1:11" ht="15.75" customHeight="1" thickTop="1" x14ac:dyDescent="0.2">
      <c r="A22" s="2218" t="s">
        <v>1174</v>
      </c>
      <c r="B22" s="2219"/>
      <c r="C22" s="2213"/>
      <c r="D22" s="2214"/>
      <c r="E22" s="2214"/>
      <c r="F22" s="2215"/>
    </row>
    <row r="23" spans="1:11" ht="13.5" thickBot="1" x14ac:dyDescent="0.25">
      <c r="A23" s="2220" t="s">
        <v>654</v>
      </c>
      <c r="B23" s="2221"/>
      <c r="C23" s="581"/>
      <c r="D23" s="581"/>
      <c r="E23" s="581"/>
      <c r="F23" s="1777">
        <f>SUM(C23+D23)-E23</f>
        <v>0</v>
      </c>
      <c r="G23" s="552"/>
    </row>
    <row r="24" spans="1:11" ht="15.75" customHeight="1" thickTop="1" x14ac:dyDescent="0.2">
      <c r="A24" s="2218" t="s">
        <v>1175</v>
      </c>
      <c r="B24" s="2219"/>
      <c r="C24" s="2213"/>
      <c r="D24" s="2214"/>
      <c r="E24" s="2214"/>
      <c r="F24" s="2215"/>
    </row>
    <row r="25" spans="1:11" ht="13.5" thickBot="1" x14ac:dyDescent="0.25">
      <c r="A25" s="2220" t="s">
        <v>655</v>
      </c>
      <c r="B25" s="2221"/>
      <c r="C25" s="581"/>
      <c r="D25" s="581"/>
      <c r="E25" s="581"/>
      <c r="F25" s="1777">
        <f>SUM(C25+D25)-E25</f>
        <v>0</v>
      </c>
      <c r="G25" s="552"/>
    </row>
    <row r="26" spans="1:11" ht="15.75" customHeight="1" thickTop="1" x14ac:dyDescent="0.2">
      <c r="A26" s="2224" t="s">
        <v>678</v>
      </c>
      <c r="B26" s="2219"/>
      <c r="C26" s="728"/>
      <c r="D26" s="728"/>
      <c r="E26" s="728"/>
      <c r="F26" s="729"/>
    </row>
    <row r="27" spans="1:11" ht="13.5" thickBot="1" x14ac:dyDescent="0.25">
      <c r="A27" s="2216" t="s">
        <v>1130</v>
      </c>
      <c r="B27" s="2217"/>
      <c r="C27" s="585"/>
      <c r="D27" s="585"/>
      <c r="E27" s="585"/>
      <c r="F27" s="1777">
        <f>SUM(C27+D27)-E27</f>
        <v>0</v>
      </c>
      <c r="G27" s="552"/>
    </row>
    <row r="28" spans="1:11" ht="7.5" customHeight="1" thickTop="1" x14ac:dyDescent="0.2">
      <c r="A28" s="594"/>
    </row>
    <row r="29" spans="1:11" ht="23.25" customHeight="1" x14ac:dyDescent="0.2">
      <c r="A29" s="2222" t="s">
        <v>603</v>
      </c>
      <c r="B29" s="2223"/>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2095</v>
      </c>
      <c r="B31" s="734">
        <v>41153</v>
      </c>
      <c r="C31" s="735">
        <v>7080000</v>
      </c>
      <c r="D31" s="736">
        <v>3</v>
      </c>
      <c r="E31" s="735">
        <v>4895000</v>
      </c>
      <c r="F31" s="735"/>
      <c r="G31" s="735"/>
      <c r="H31" s="735">
        <v>1870000</v>
      </c>
      <c r="I31" s="1778">
        <f>((E31+F31)-H31)+G31</f>
        <v>3025000</v>
      </c>
      <c r="J31" s="735">
        <v>2399560</v>
      </c>
      <c r="K31" s="737"/>
    </row>
    <row r="32" spans="1:11" ht="12" customHeight="1" x14ac:dyDescent="0.2">
      <c r="A32" s="733" t="s">
        <v>2103</v>
      </c>
      <c r="B32" s="734">
        <v>41334</v>
      </c>
      <c r="C32" s="735">
        <v>1695000</v>
      </c>
      <c r="D32" s="736">
        <v>1</v>
      </c>
      <c r="E32" s="735">
        <v>300000</v>
      </c>
      <c r="F32" s="735"/>
      <c r="G32" s="735"/>
      <c r="H32" s="735">
        <v>300000</v>
      </c>
      <c r="I32" s="1778">
        <f>((E32+F32)-H32)+G32</f>
        <v>0</v>
      </c>
      <c r="J32" s="735"/>
      <c r="K32" s="737"/>
    </row>
    <row r="33" spans="1:11" ht="12" customHeight="1" x14ac:dyDescent="0.2">
      <c r="A33" s="733" t="s">
        <v>2096</v>
      </c>
      <c r="B33" s="734">
        <v>42396</v>
      </c>
      <c r="C33" s="735">
        <v>2120000</v>
      </c>
      <c r="D33" s="736">
        <v>1</v>
      </c>
      <c r="E33" s="735">
        <v>2120000</v>
      </c>
      <c r="F33" s="735"/>
      <c r="G33" s="735"/>
      <c r="H33" s="735">
        <v>120000</v>
      </c>
      <c r="I33" s="1778">
        <f t="shared" ref="I33:I48" si="1">((E33+F33)-H33)+G33</f>
        <v>2000000</v>
      </c>
      <c r="J33" s="735">
        <v>2000000</v>
      </c>
      <c r="K33" s="737"/>
    </row>
    <row r="34" spans="1:11" ht="12" customHeight="1" x14ac:dyDescent="0.2">
      <c r="A34" s="733" t="s">
        <v>2104</v>
      </c>
      <c r="B34" s="734">
        <v>42984</v>
      </c>
      <c r="C34" s="735"/>
      <c r="D34" s="736">
        <v>7</v>
      </c>
      <c r="E34" s="735"/>
      <c r="F34" s="735">
        <v>5560000</v>
      </c>
      <c r="G34" s="735"/>
      <c r="H34" s="735">
        <v>5560000</v>
      </c>
      <c r="I34" s="1778">
        <f t="shared" si="1"/>
        <v>0</v>
      </c>
      <c r="J34" s="735"/>
      <c r="K34" s="738"/>
    </row>
    <row r="35" spans="1:11" ht="12" customHeight="1" x14ac:dyDescent="0.2">
      <c r="A35" s="733" t="s">
        <v>2106</v>
      </c>
      <c r="B35" s="734">
        <v>120517</v>
      </c>
      <c r="C35" s="739"/>
      <c r="D35" s="736" t="s">
        <v>2107</v>
      </c>
      <c r="E35" s="739"/>
      <c r="F35" s="739">
        <v>6800000</v>
      </c>
      <c r="G35" s="739"/>
      <c r="H35" s="739"/>
      <c r="I35" s="1778">
        <f t="shared" si="1"/>
        <v>6800000</v>
      </c>
      <c r="J35" s="739">
        <v>6800000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10895000</v>
      </c>
      <c r="D49" s="746"/>
      <c r="E49" s="1778">
        <f t="shared" ref="E49:J49" si="2">SUM(E31:E48)</f>
        <v>7315000</v>
      </c>
      <c r="F49" s="1778">
        <f t="shared" si="2"/>
        <v>12360000</v>
      </c>
      <c r="G49" s="1778">
        <f t="shared" si="2"/>
        <v>0</v>
      </c>
      <c r="H49" s="1778">
        <f t="shared" si="2"/>
        <v>7850000</v>
      </c>
      <c r="I49" s="1778">
        <f t="shared" si="2"/>
        <v>11825000</v>
      </c>
      <c r="J49" s="1778">
        <f t="shared" si="2"/>
        <v>11199560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5" t="s">
        <v>605</v>
      </c>
      <c r="C52" s="2206"/>
      <c r="D52" s="2206"/>
      <c r="E52" s="750" t="s">
        <v>900</v>
      </c>
      <c r="F52" s="2207" t="s">
        <v>2105</v>
      </c>
      <c r="G52" s="2208"/>
      <c r="H52" s="737"/>
      <c r="I52" s="737"/>
      <c r="J52" s="747"/>
    </row>
    <row r="53" spans="1:11" ht="11.25" customHeight="1" x14ac:dyDescent="0.2">
      <c r="A53" s="751" t="s">
        <v>969</v>
      </c>
      <c r="B53" s="752" t="s">
        <v>1008</v>
      </c>
      <c r="C53" s="747"/>
      <c r="D53" s="738"/>
      <c r="E53" s="750" t="s">
        <v>518</v>
      </c>
      <c r="F53" s="2209"/>
      <c r="G53" s="2210"/>
      <c r="H53" s="737"/>
      <c r="I53" s="737"/>
      <c r="J53" s="747"/>
    </row>
    <row r="54" spans="1:11" ht="11.25" customHeight="1" x14ac:dyDescent="0.2">
      <c r="A54" s="753" t="s">
        <v>970</v>
      </c>
      <c r="B54" s="748" t="s">
        <v>1009</v>
      </c>
      <c r="C54" s="747"/>
      <c r="D54" s="738"/>
      <c r="E54" s="750" t="s">
        <v>519</v>
      </c>
      <c r="F54" s="2209"/>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T25" sqref="T25:AA25"/>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34" t="s">
        <v>911</v>
      </c>
      <c r="B1" s="2235"/>
      <c r="C1" s="2235"/>
      <c r="D1" s="2235"/>
      <c r="E1" s="2235"/>
      <c r="F1" s="2235"/>
      <c r="G1" s="2236"/>
      <c r="H1" s="1552"/>
      <c r="I1" s="761"/>
      <c r="J1" s="433"/>
    </row>
    <row r="2" spans="1:11" ht="26.25" x14ac:dyDescent="0.2">
      <c r="A2" s="2253" t="s">
        <v>1776</v>
      </c>
      <c r="B2" s="2254"/>
      <c r="C2" s="2254"/>
      <c r="D2" s="2254"/>
      <c r="E2" s="2255"/>
      <c r="F2" s="762" t="s">
        <v>960</v>
      </c>
      <c r="G2" s="763" t="s">
        <v>1773</v>
      </c>
      <c r="H2" s="763" t="s">
        <v>430</v>
      </c>
      <c r="I2" s="763" t="s">
        <v>1220</v>
      </c>
      <c r="J2" s="763" t="s">
        <v>1919</v>
      </c>
      <c r="K2" s="763" t="s">
        <v>140</v>
      </c>
    </row>
    <row r="3" spans="1:11" x14ac:dyDescent="0.2">
      <c r="A3" s="2256" t="s">
        <v>1698</v>
      </c>
      <c r="B3" s="2257"/>
      <c r="C3" s="2257"/>
      <c r="D3" s="2257"/>
      <c r="E3" s="2258"/>
      <c r="F3" s="764"/>
      <c r="G3" s="765"/>
      <c r="H3" s="765"/>
      <c r="I3" s="765"/>
      <c r="J3" s="766">
        <v>446793</v>
      </c>
      <c r="K3" s="766">
        <v>11505</v>
      </c>
    </row>
    <row r="4" spans="1:11" x14ac:dyDescent="0.2">
      <c r="A4" s="2259" t="s">
        <v>387</v>
      </c>
      <c r="B4" s="2260"/>
      <c r="C4" s="2260"/>
      <c r="D4" s="2260"/>
      <c r="E4" s="2206"/>
      <c r="F4" s="767"/>
      <c r="G4" s="768"/>
      <c r="H4" s="769"/>
      <c r="I4" s="768"/>
      <c r="J4" s="770"/>
      <c r="K4" s="770"/>
    </row>
    <row r="5" spans="1:11" x14ac:dyDescent="0.2">
      <c r="A5" s="2237" t="s">
        <v>1129</v>
      </c>
      <c r="B5" s="2238"/>
      <c r="C5" s="2238"/>
      <c r="D5" s="2238"/>
      <c r="E5" s="2239"/>
      <c r="F5" s="771" t="s">
        <v>903</v>
      </c>
      <c r="G5" s="772"/>
      <c r="H5" s="765">
        <v>51380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8204</v>
      </c>
    </row>
    <row r="8" spans="1:11" x14ac:dyDescent="0.2">
      <c r="A8" s="779" t="s">
        <v>363</v>
      </c>
      <c r="B8" s="780"/>
      <c r="C8" s="780"/>
      <c r="D8" s="780"/>
      <c r="E8" s="781"/>
      <c r="F8" s="771" t="s">
        <v>906</v>
      </c>
      <c r="G8" s="783"/>
      <c r="H8" s="783"/>
      <c r="I8" s="783"/>
      <c r="J8" s="766">
        <v>600024</v>
      </c>
      <c r="K8" s="770"/>
    </row>
    <row r="9" spans="1:11" x14ac:dyDescent="0.2">
      <c r="A9" s="779" t="s">
        <v>140</v>
      </c>
      <c r="B9" s="780"/>
      <c r="C9" s="780"/>
      <c r="D9" s="780"/>
      <c r="E9" s="781"/>
      <c r="F9" s="778" t="s">
        <v>908</v>
      </c>
      <c r="G9" s="783"/>
      <c r="H9" s="772"/>
      <c r="I9" s="772"/>
      <c r="J9" s="782"/>
      <c r="K9" s="766">
        <v>13455</v>
      </c>
    </row>
    <row r="10" spans="1:11" x14ac:dyDescent="0.2">
      <c r="A10" s="2237" t="s">
        <v>1920</v>
      </c>
      <c r="B10" s="2238"/>
      <c r="C10" s="2238"/>
      <c r="D10" s="2238"/>
      <c r="E10" s="2240"/>
      <c r="F10" s="784" t="s">
        <v>917</v>
      </c>
      <c r="G10" s="783"/>
      <c r="H10" s="785"/>
      <c r="I10" s="765"/>
      <c r="J10" s="766"/>
      <c r="K10" s="766"/>
    </row>
    <row r="11" spans="1:11" x14ac:dyDescent="0.2">
      <c r="A11" s="2237" t="s">
        <v>162</v>
      </c>
      <c r="B11" s="2238"/>
      <c r="C11" s="2238"/>
      <c r="D11" s="2238"/>
      <c r="E11" s="2239"/>
      <c r="F11" s="771" t="s">
        <v>907</v>
      </c>
      <c r="G11" s="772"/>
      <c r="H11" s="765"/>
      <c r="I11" s="765"/>
      <c r="J11" s="766">
        <v>5600000</v>
      </c>
      <c r="K11" s="774"/>
    </row>
    <row r="12" spans="1:11" ht="13.5" thickBot="1" x14ac:dyDescent="0.25">
      <c r="A12" s="2264" t="s">
        <v>961</v>
      </c>
      <c r="B12" s="2265"/>
      <c r="C12" s="2265"/>
      <c r="D12" s="2265"/>
      <c r="E12" s="2266"/>
      <c r="F12" s="1779"/>
      <c r="G12" s="1780">
        <f>SUM(G5:G11)</f>
        <v>0</v>
      </c>
      <c r="H12" s="1780">
        <f>SUM(H5:H11)</f>
        <v>51380</v>
      </c>
      <c r="I12" s="1780">
        <f>SUM(I5:I11)</f>
        <v>0</v>
      </c>
      <c r="J12" s="1780">
        <f>SUM(J5:J11)</f>
        <v>6200024</v>
      </c>
      <c r="K12" s="1780">
        <f>SUM(K5:K11)</f>
        <v>21659</v>
      </c>
    </row>
    <row r="13" spans="1:11" ht="13.5" thickTop="1" x14ac:dyDescent="0.2">
      <c r="A13" s="2261" t="s">
        <v>388</v>
      </c>
      <c r="B13" s="2262"/>
      <c r="C13" s="2262"/>
      <c r="D13" s="2262"/>
      <c r="E13" s="2263"/>
      <c r="F13" s="786"/>
      <c r="G13" s="787"/>
      <c r="H13" s="788"/>
      <c r="I13" s="789"/>
      <c r="J13" s="789"/>
      <c r="K13" s="789"/>
    </row>
    <row r="14" spans="1:11" x14ac:dyDescent="0.2">
      <c r="A14" s="2244" t="s">
        <v>476</v>
      </c>
      <c r="B14" s="2244"/>
      <c r="C14" s="2244"/>
      <c r="D14" s="2244"/>
      <c r="E14" s="2245"/>
      <c r="F14" s="790" t="s">
        <v>909</v>
      </c>
      <c r="G14" s="783"/>
      <c r="H14" s="765">
        <v>51380</v>
      </c>
      <c r="I14" s="772"/>
      <c r="J14" s="774"/>
      <c r="K14" s="766">
        <v>20173</v>
      </c>
    </row>
    <row r="15" spans="1:11" x14ac:dyDescent="0.2">
      <c r="A15" s="2238" t="s">
        <v>4</v>
      </c>
      <c r="B15" s="2238"/>
      <c r="C15" s="2238"/>
      <c r="D15" s="2238"/>
      <c r="E15" s="2239"/>
      <c r="F15" s="790" t="s">
        <v>910</v>
      </c>
      <c r="G15" s="772"/>
      <c r="H15" s="765"/>
      <c r="I15" s="765"/>
      <c r="J15" s="766">
        <v>2319555</v>
      </c>
      <c r="K15" s="766"/>
    </row>
    <row r="16" spans="1:11" x14ac:dyDescent="0.2">
      <c r="A16" s="2238" t="s">
        <v>316</v>
      </c>
      <c r="B16" s="2238"/>
      <c r="C16" s="2238"/>
      <c r="D16" s="2238"/>
      <c r="E16" s="2239"/>
      <c r="F16" s="790" t="s">
        <v>980</v>
      </c>
      <c r="G16" s="773"/>
      <c r="H16" s="768"/>
      <c r="I16" s="768"/>
      <c r="J16" s="770"/>
      <c r="K16" s="770"/>
    </row>
    <row r="17" spans="1:11" x14ac:dyDescent="0.2">
      <c r="A17" s="2269" t="s">
        <v>992</v>
      </c>
      <c r="B17" s="2269"/>
      <c r="C17" s="2269"/>
      <c r="D17" s="2269"/>
      <c r="E17" s="2270"/>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46" t="s">
        <v>1916</v>
      </c>
      <c r="B19" s="2246"/>
      <c r="C19" s="2246"/>
      <c r="D19" s="2246"/>
      <c r="E19" s="2247"/>
      <c r="F19" s="790" t="s">
        <v>990</v>
      </c>
      <c r="G19" s="783"/>
      <c r="H19" s="783"/>
      <c r="I19" s="783"/>
      <c r="J19" s="766">
        <v>526117</v>
      </c>
      <c r="K19" s="796"/>
    </row>
    <row r="20" spans="1:11" x14ac:dyDescent="0.2">
      <c r="A20" s="2248" t="s">
        <v>1921</v>
      </c>
      <c r="B20" s="2249"/>
      <c r="C20" s="2249"/>
      <c r="D20" s="2249"/>
      <c r="E20" s="2250"/>
      <c r="F20" s="790" t="s">
        <v>991</v>
      </c>
      <c r="G20" s="783"/>
      <c r="H20" s="783"/>
      <c r="I20" s="783"/>
      <c r="J20" s="766"/>
      <c r="K20" s="796"/>
    </row>
    <row r="21" spans="1:11" ht="13.5" thickBot="1" x14ac:dyDescent="0.25">
      <c r="A21" s="2267" t="s">
        <v>659</v>
      </c>
      <c r="B21" s="2267"/>
      <c r="C21" s="2267"/>
      <c r="D21" s="2267"/>
      <c r="E21" s="2267"/>
      <c r="F21" s="1781"/>
      <c r="G21" s="793"/>
      <c r="H21" s="797"/>
      <c r="I21" s="797"/>
      <c r="J21" s="1782">
        <f>SUM(J18:J20)</f>
        <v>526117</v>
      </c>
      <c r="K21" s="794"/>
    </row>
    <row r="22" spans="1:11" ht="13.5" thickTop="1" x14ac:dyDescent="0.2">
      <c r="A22" s="2238" t="s">
        <v>1922</v>
      </c>
      <c r="B22" s="2238"/>
      <c r="C22" s="2238"/>
      <c r="D22" s="2238"/>
      <c r="E22" s="2239"/>
      <c r="F22" s="790" t="s">
        <v>917</v>
      </c>
      <c r="G22" s="783"/>
      <c r="H22" s="765"/>
      <c r="I22" s="765"/>
      <c r="J22" s="798"/>
      <c r="K22" s="766"/>
    </row>
    <row r="23" spans="1:11" ht="13.5" thickBot="1" x14ac:dyDescent="0.25">
      <c r="A23" s="2268" t="s">
        <v>962</v>
      </c>
      <c r="B23" s="2267"/>
      <c r="C23" s="2267"/>
      <c r="D23" s="2267"/>
      <c r="E23" s="2267"/>
      <c r="F23" s="1783"/>
      <c r="G23" s="1780">
        <f>SUM(G14:G16,G21,G22)</f>
        <v>0</v>
      </c>
      <c r="H23" s="1780">
        <f>SUM(H14:H16,H21,H22)</f>
        <v>51380</v>
      </c>
      <c r="I23" s="1780">
        <f>SUM(I14:I16,I21,I22)</f>
        <v>0</v>
      </c>
      <c r="J23" s="1780">
        <f>SUM(J14:J16,J21,J22)</f>
        <v>2845672</v>
      </c>
      <c r="K23" s="1780">
        <f>SUM(K14:K16,K21,K22)</f>
        <v>20173</v>
      </c>
    </row>
    <row r="24" spans="1:11" ht="14.25" thickTop="1" thickBot="1" x14ac:dyDescent="0.25">
      <c r="A24" s="2268" t="s">
        <v>2026</v>
      </c>
      <c r="B24" s="2267"/>
      <c r="C24" s="2267"/>
      <c r="D24" s="2267"/>
      <c r="E24" s="2267"/>
      <c r="F24" s="1784"/>
      <c r="G24" s="1785">
        <f>SUM(G3,G12)-G23</f>
        <v>0</v>
      </c>
      <c r="H24" s="1785">
        <f>SUM(H3,H12)-H23</f>
        <v>0</v>
      </c>
      <c r="I24" s="1785">
        <f>SUM(I3,I12)-I23</f>
        <v>0</v>
      </c>
      <c r="J24" s="1785">
        <f>SUM(J3,J12)-J23</f>
        <v>3801145</v>
      </c>
      <c r="K24" s="1785">
        <f>SUM(K3,K12)-K23</f>
        <v>12991</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3801145</v>
      </c>
      <c r="K26" s="1780">
        <f>K24-K25</f>
        <v>12991</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1"/>
      <c r="I31" s="2242"/>
      <c r="J31" s="2242"/>
      <c r="K31" s="2242"/>
    </row>
    <row r="32" spans="1:11" x14ac:dyDescent="0.2">
      <c r="A32" s="810"/>
      <c r="B32" s="237"/>
      <c r="C32" s="237"/>
      <c r="D32" s="237"/>
      <c r="E32" s="806"/>
      <c r="F32" s="812" t="s">
        <v>561</v>
      </c>
      <c r="G32" s="765"/>
      <c r="H32" s="2243"/>
      <c r="I32" s="2242"/>
      <c r="J32" s="2242"/>
      <c r="K32" s="2242"/>
    </row>
    <row r="33" spans="1:11" ht="1.5" customHeight="1" x14ac:dyDescent="0.2">
      <c r="A33" s="813" t="s">
        <v>1231</v>
      </c>
      <c r="B33" s="364"/>
      <c r="C33" s="364"/>
      <c r="D33" s="364"/>
      <c r="E33" s="364"/>
      <c r="F33" s="364"/>
      <c r="G33" s="814"/>
      <c r="H33" s="2243"/>
      <c r="I33" s="2242"/>
      <c r="J33" s="2242"/>
      <c r="K33" s="224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51"/>
      <c r="C41" s="2251"/>
      <c r="D41" s="2251"/>
      <c r="E41" s="2251"/>
      <c r="F41" s="225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T25" sqref="T25:AA25"/>
    </sheetView>
  </sheetViews>
  <sheetFormatPr defaultColWidth="9.28515625" defaultRowHeight="12.75" x14ac:dyDescent="0.2"/>
  <cols>
    <col min="1" max="1" width="28.7109375" style="809"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273" t="s">
        <v>2035</v>
      </c>
      <c r="B1" s="2274"/>
      <c r="C1" s="2275"/>
      <c r="D1" s="827"/>
      <c r="E1" s="828"/>
      <c r="F1" s="828"/>
      <c r="G1" s="829"/>
      <c r="H1" s="830"/>
      <c r="I1" s="831"/>
      <c r="J1" s="2271"/>
      <c r="K1" s="2272"/>
      <c r="L1" s="227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67265</v>
      </c>
      <c r="D5" s="842"/>
      <c r="E5" s="842"/>
      <c r="F5" s="1782">
        <f>(C5+D5)-E5</f>
        <v>67265</v>
      </c>
      <c r="G5" s="838"/>
      <c r="H5" s="843"/>
      <c r="I5" s="843"/>
      <c r="J5" s="843"/>
      <c r="K5" s="794"/>
      <c r="L5" s="1791">
        <f>F5-K5</f>
        <v>67265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23358321</v>
      </c>
      <c r="D8" s="845">
        <v>73873</v>
      </c>
      <c r="E8" s="845"/>
      <c r="F8" s="1782">
        <f>(C8+D8)-E8</f>
        <v>23432194</v>
      </c>
      <c r="G8" s="844">
        <v>50</v>
      </c>
      <c r="H8" s="766">
        <v>7877361</v>
      </c>
      <c r="I8" s="766">
        <v>467291</v>
      </c>
      <c r="J8" s="766"/>
      <c r="K8" s="1791">
        <f>(H8+I8)-J8</f>
        <v>8344652</v>
      </c>
      <c r="L8" s="1791">
        <f>F8-K8</f>
        <v>15087542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1036844</v>
      </c>
      <c r="D10" s="847">
        <v>2164859</v>
      </c>
      <c r="E10" s="847"/>
      <c r="F10" s="1786">
        <f>(C10+D10)-E10</f>
        <v>3201703</v>
      </c>
      <c r="G10" s="844">
        <v>20</v>
      </c>
      <c r="H10" s="848">
        <v>455050</v>
      </c>
      <c r="I10" s="848">
        <v>57902</v>
      </c>
      <c r="J10" s="848"/>
      <c r="K10" s="1791">
        <f>(H10+I10)-J10</f>
        <v>512952</v>
      </c>
      <c r="L10" s="1791">
        <f>F10-K10</f>
        <v>2688751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891500</v>
      </c>
      <c r="D12" s="845">
        <v>160768</v>
      </c>
      <c r="E12" s="845"/>
      <c r="F12" s="1782">
        <f>(C12+D12)-E12</f>
        <v>1052268</v>
      </c>
      <c r="G12" s="844">
        <v>10</v>
      </c>
      <c r="H12" s="766">
        <v>592302</v>
      </c>
      <c r="I12" s="766">
        <v>53256</v>
      </c>
      <c r="J12" s="766"/>
      <c r="K12" s="1791">
        <f>(H12+I12)-J12</f>
        <v>645558</v>
      </c>
      <c r="L12" s="1791">
        <f>F12-K12</f>
        <v>406710</v>
      </c>
    </row>
    <row r="13" spans="1:14" ht="14.25" thickTop="1" thickBot="1" x14ac:dyDescent="0.25">
      <c r="A13" s="849" t="s">
        <v>1184</v>
      </c>
      <c r="B13" s="841">
        <v>252</v>
      </c>
      <c r="C13" s="845">
        <v>152349</v>
      </c>
      <c r="D13" s="845"/>
      <c r="E13" s="845"/>
      <c r="F13" s="1782">
        <f>(C13+D13)-E13</f>
        <v>152349</v>
      </c>
      <c r="G13" s="844">
        <v>5</v>
      </c>
      <c r="H13" s="766">
        <v>86043</v>
      </c>
      <c r="I13" s="766">
        <v>19331</v>
      </c>
      <c r="J13" s="766"/>
      <c r="K13" s="1791">
        <f>(H13+I13)-J13</f>
        <v>105374</v>
      </c>
      <c r="L13" s="1791">
        <f>F13-K13</f>
        <v>46975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25506279</v>
      </c>
      <c r="D16" s="1782">
        <f>SUM(D3,D5:D6,D8:D10,D12:D15)</f>
        <v>2399500</v>
      </c>
      <c r="E16" s="1782">
        <f>SUM(E3,E5:E6,E8:E10,E12:E15)</f>
        <v>0</v>
      </c>
      <c r="F16" s="1782">
        <f>SUM(F3,F5:F6,F8:F10,F12:F15)</f>
        <v>27905779</v>
      </c>
      <c r="G16" s="844"/>
      <c r="H16" s="1782">
        <f>SUM(H3,H6,H8:H10,H12:H14,)</f>
        <v>9010756</v>
      </c>
      <c r="I16" s="1782">
        <f>SUM(I3,I6,I8:I10,I12:I14,)</f>
        <v>597780</v>
      </c>
      <c r="J16" s="1782">
        <f>SUM(J3,J6,J8:J10,J12:J14,)</f>
        <v>0</v>
      </c>
      <c r="K16" s="1782">
        <f>(H16+I16)-J16</f>
        <v>9608536</v>
      </c>
      <c r="L16" s="1782">
        <f>F16-K16</f>
        <v>18297243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249274</v>
      </c>
      <c r="G17" s="838">
        <v>10</v>
      </c>
      <c r="H17" s="770"/>
      <c r="I17" s="1791">
        <f>F17/G17</f>
        <v>24927.4</v>
      </c>
      <c r="J17" s="770"/>
      <c r="K17" s="796"/>
      <c r="L17" s="796"/>
    </row>
    <row r="18" spans="1:12" ht="14.25" thickTop="1" thickBot="1" x14ac:dyDescent="0.25">
      <c r="A18" s="1789" t="s">
        <v>706</v>
      </c>
      <c r="B18" s="1790"/>
      <c r="C18" s="772"/>
      <c r="D18" s="772"/>
      <c r="E18" s="772"/>
      <c r="F18" s="851"/>
      <c r="G18" s="852"/>
      <c r="H18" s="774"/>
      <c r="I18" s="1782">
        <f>SUM(I16,I17)</f>
        <v>622707.4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T25" sqref="T25:AA25"/>
      <selection pane="bottomLeft" activeCell="T25" sqref="T25:AA25"/>
    </sheetView>
  </sheetViews>
  <sheetFormatPr defaultColWidth="8.7109375" defaultRowHeight="11.25" x14ac:dyDescent="0.2"/>
  <cols>
    <col min="1" max="1" width="22.28515625" style="857" customWidth="1"/>
    <col min="2" max="2" width="31.7109375" style="857" customWidth="1"/>
    <col min="3" max="3" width="6.7109375" style="864" customWidth="1"/>
    <col min="4" max="4" width="55.7109375" style="857" customWidth="1"/>
    <col min="5" max="5" width="3.28515625" style="864" customWidth="1"/>
    <col min="6" max="6" width="17.42578125" style="857" customWidth="1"/>
    <col min="7" max="7" width="0.71093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4"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6451053</v>
      </c>
      <c r="G8" s="866"/>
    </row>
    <row r="9" spans="1:7" x14ac:dyDescent="0.2">
      <c r="A9" s="870" t="s">
        <v>480</v>
      </c>
      <c r="B9" s="871" t="s">
        <v>1989</v>
      </c>
      <c r="C9" s="872"/>
      <c r="D9" s="870" t="s">
        <v>522</v>
      </c>
      <c r="E9" s="869"/>
      <c r="F9" s="1935">
        <f>'Expenditures 15-22'!K151</f>
        <v>852740</v>
      </c>
      <c r="G9" s="873"/>
    </row>
    <row r="10" spans="1:7" x14ac:dyDescent="0.2">
      <c r="A10" s="870" t="s">
        <v>520</v>
      </c>
      <c r="B10" s="871" t="s">
        <v>1990</v>
      </c>
      <c r="C10" s="872"/>
      <c r="D10" s="870" t="s">
        <v>522</v>
      </c>
      <c r="E10" s="869"/>
      <c r="F10" s="1935">
        <f>'Expenditures 15-22'!K174</f>
        <v>8198428</v>
      </c>
      <c r="G10" s="873"/>
    </row>
    <row r="11" spans="1:7" x14ac:dyDescent="0.2">
      <c r="A11" s="870" t="s">
        <v>481</v>
      </c>
      <c r="B11" s="871" t="s">
        <v>1991</v>
      </c>
      <c r="C11" s="872"/>
      <c r="D11" s="870" t="s">
        <v>522</v>
      </c>
      <c r="E11" s="869"/>
      <c r="F11" s="1935">
        <f>'Expenditures 15-22'!K210</f>
        <v>636891</v>
      </c>
      <c r="G11" s="873"/>
    </row>
    <row r="12" spans="1:7" x14ac:dyDescent="0.2">
      <c r="A12" s="870" t="s">
        <v>482</v>
      </c>
      <c r="B12" s="871" t="s">
        <v>1992</v>
      </c>
      <c r="C12" s="872"/>
      <c r="D12" s="870" t="s">
        <v>522</v>
      </c>
      <c r="E12" s="869"/>
      <c r="F12" s="1935">
        <f>'Expenditures 15-22'!K295</f>
        <v>260459</v>
      </c>
      <c r="G12" s="873"/>
    </row>
    <row r="13" spans="1:7" x14ac:dyDescent="0.2">
      <c r="A13" s="870" t="s">
        <v>108</v>
      </c>
      <c r="B13" s="871" t="s">
        <v>1993</v>
      </c>
      <c r="C13" s="872"/>
      <c r="D13" s="870" t="s">
        <v>522</v>
      </c>
      <c r="E13" s="869"/>
      <c r="F13" s="1935">
        <f>'Expenditures 15-22'!K342</f>
        <v>219653</v>
      </c>
      <c r="G13" s="874"/>
    </row>
    <row r="14" spans="1:7" ht="12" customHeight="1" thickBot="1" x14ac:dyDescent="0.25">
      <c r="A14" s="1792"/>
      <c r="B14" s="1793"/>
      <c r="C14" s="1794"/>
      <c r="D14" s="1795" t="s">
        <v>522</v>
      </c>
      <c r="E14" s="1796" t="s">
        <v>1015</v>
      </c>
      <c r="F14" s="1797">
        <f>SUM(F8:F13)</f>
        <v>16619224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6333</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223600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510875</v>
      </c>
      <c r="G53" s="866"/>
    </row>
    <row r="54" spans="1:7" x14ac:dyDescent="0.2">
      <c r="A54" s="870" t="s">
        <v>479</v>
      </c>
      <c r="B54" s="870" t="s">
        <v>1552</v>
      </c>
      <c r="C54" s="890" t="s">
        <v>1039</v>
      </c>
      <c r="D54" s="886" t="s">
        <v>1157</v>
      </c>
      <c r="E54" s="869"/>
      <c r="F54" s="1939">
        <f>'Expenditures 15-22'!G114</f>
        <v>20115</v>
      </c>
      <c r="G54" s="866"/>
    </row>
    <row r="55" spans="1:7" x14ac:dyDescent="0.2">
      <c r="A55" s="870" t="s">
        <v>479</v>
      </c>
      <c r="B55" s="870" t="s">
        <v>1553</v>
      </c>
      <c r="C55" s="890" t="s">
        <v>1039</v>
      </c>
      <c r="D55" s="886" t="s">
        <v>309</v>
      </c>
      <c r="E55" s="869"/>
      <c r="F55" s="1939">
        <f>'Expenditures 15-22'!I114</f>
        <v>31937</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98075</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7850000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217337</v>
      </c>
      <c r="G66" s="866"/>
    </row>
    <row r="67" spans="1:8" x14ac:dyDescent="0.2">
      <c r="A67" s="870" t="s">
        <v>482</v>
      </c>
      <c r="B67" s="870" t="s">
        <v>2004</v>
      </c>
      <c r="C67" s="887" t="str">
        <f>'Expenditures 15-22'!B216</f>
        <v>1125</v>
      </c>
      <c r="D67" s="893" t="str">
        <f>'Expenditures 15-22'!A216</f>
        <v>Pre-K Programs</v>
      </c>
      <c r="E67" s="869"/>
      <c r="F67" s="1939">
        <f>'Expenditures 15-22'!K216</f>
        <v>9241</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35839</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9003352</v>
      </c>
      <c r="G76" s="866"/>
    </row>
    <row r="77" spans="1:8" s="894" customFormat="1" ht="12" customHeight="1" thickTop="1" thickBot="1" x14ac:dyDescent="0.25">
      <c r="A77" s="1801"/>
      <c r="B77" s="1798"/>
      <c r="C77" s="1794"/>
      <c r="D77" s="1799" t="s">
        <v>2012</v>
      </c>
      <c r="E77" s="1796"/>
      <c r="F77" s="1802">
        <f>(F14-F76)</f>
        <v>7615872</v>
      </c>
      <c r="G77" s="870"/>
    </row>
    <row r="78" spans="1:8" s="894" customFormat="1" ht="12" customHeight="1" thickTop="1" x14ac:dyDescent="0.2">
      <c r="A78" s="1803"/>
      <c r="B78" s="1798"/>
      <c r="C78" s="1794"/>
      <c r="D78" s="1799" t="s">
        <v>2059</v>
      </c>
      <c r="E78" s="1796"/>
      <c r="F78" s="899">
        <v>837.28</v>
      </c>
      <c r="G78" s="900"/>
      <c r="H78" s="870"/>
    </row>
    <row r="79" spans="1:8" s="894" customFormat="1" ht="12" customHeight="1" thickBot="1" x14ac:dyDescent="0.25">
      <c r="A79" s="1804"/>
      <c r="B79" s="1798"/>
      <c r="C79" s="1794"/>
      <c r="D79" s="1799" t="s">
        <v>2013</v>
      </c>
      <c r="E79" s="1796" t="s">
        <v>1015</v>
      </c>
      <c r="F79" s="1805">
        <f>IF(F78&gt;0,F77/F78," Complete Line 78")</f>
        <v>9095.9678960443343</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90405</v>
      </c>
      <c r="G94" s="913"/>
    </row>
    <row r="95" spans="1:7" x14ac:dyDescent="0.2">
      <c r="A95" s="909" t="s">
        <v>142</v>
      </c>
      <c r="B95" s="909" t="s">
        <v>177</v>
      </c>
      <c r="C95" s="911">
        <v>1700</v>
      </c>
      <c r="D95" s="919" t="str">
        <f>'Revenues 9-14'!A82</f>
        <v>Total District/School Activity Income</v>
      </c>
      <c r="E95" s="907"/>
      <c r="F95" s="1811">
        <f>SUM('Revenues 9-14'!C82,'Revenues 9-14'!D82)</f>
        <v>85995</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74486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3363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13455</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416561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16988</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233773</v>
      </c>
      <c r="G129" s="931"/>
    </row>
    <row r="130" spans="1:7" x14ac:dyDescent="0.2">
      <c r="A130" s="928" t="s">
        <v>689</v>
      </c>
      <c r="B130" s="928" t="s">
        <v>804</v>
      </c>
      <c r="C130" s="933">
        <v>4300</v>
      </c>
      <c r="D130" s="934" t="str">
        <f>'Revenues 9-14'!A211</f>
        <v>Total Title I</v>
      </c>
      <c r="E130" s="907"/>
      <c r="F130" s="1811">
        <f>SUM('Revenues 9-14'!C211,'Revenues 9-14'!D211,'Revenues 9-14'!F211,'Revenues 9-14'!G211)</f>
        <v>90855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150347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19629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8204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1204061</v>
      </c>
    </row>
    <row r="179" spans="1:7" ht="12" customHeight="1" x14ac:dyDescent="0.2">
      <c r="A179" s="1792"/>
      <c r="B179" s="1806"/>
      <c r="C179" s="1807"/>
      <c r="D179" s="1808" t="s">
        <v>2015</v>
      </c>
      <c r="E179" s="1809"/>
      <c r="F179" s="1811">
        <f>'PCTC-OEPP 27-28'!F77-F178</f>
        <v>6411811</v>
      </c>
    </row>
    <row r="180" spans="1:7" ht="12" customHeight="1" x14ac:dyDescent="0.2">
      <c r="A180" s="1792"/>
      <c r="B180" s="1806"/>
      <c r="C180" s="1807"/>
      <c r="D180" s="1808" t="s">
        <v>1924</v>
      </c>
      <c r="E180" s="1809"/>
      <c r="F180" s="1811">
        <f>'Cap Outlay Deprec 26'!I18</f>
        <v>622707.4</v>
      </c>
    </row>
    <row r="181" spans="1:7" ht="12" customHeight="1" x14ac:dyDescent="0.2">
      <c r="A181" s="1792"/>
      <c r="B181" s="1806"/>
      <c r="C181" s="1807"/>
      <c r="D181" s="1808" t="s">
        <v>2016</v>
      </c>
      <c r="E181" s="1809"/>
      <c r="F181" s="1811">
        <f>F179+F180</f>
        <v>7034518.4000000004</v>
      </c>
    </row>
    <row r="182" spans="1:7" ht="12" customHeight="1" x14ac:dyDescent="0.2">
      <c r="A182" s="1792"/>
      <c r="B182" s="1812"/>
      <c r="C182" s="1807"/>
      <c r="D182" s="1808" t="str">
        <f>D78</f>
        <v>9 Month ADA from District Average Daily Attendance/Prior General State Aid Inquiry 2017-2018</v>
      </c>
      <c r="E182" s="1809"/>
      <c r="F182" s="1813">
        <f>'PCTC-OEPP 27-28'!F78</f>
        <v>837.28</v>
      </c>
      <c r="G182" s="931"/>
    </row>
    <row r="183" spans="1:7" ht="12" customHeight="1" thickBot="1" x14ac:dyDescent="0.25">
      <c r="A183" s="1792"/>
      <c r="B183" s="1812"/>
      <c r="C183" s="1807"/>
      <c r="D183" s="1808" t="s">
        <v>2017</v>
      </c>
      <c r="E183" s="1809" t="s">
        <v>1626</v>
      </c>
      <c r="F183" s="1814">
        <f>F181/F182</f>
        <v>8401.6319510796875</v>
      </c>
      <c r="G183" s="857">
        <v>6323</v>
      </c>
    </row>
    <row r="184" spans="1:7" ht="12" thickTop="1" x14ac:dyDescent="0.2">
      <c r="B184" s="931"/>
      <c r="C184" s="950"/>
      <c r="D184" s="931"/>
      <c r="E184" s="950"/>
      <c r="F184" s="931"/>
      <c r="G184" s="952">
        <v>6326</v>
      </c>
    </row>
    <row r="185" spans="1:7" ht="12.4" customHeight="1" x14ac:dyDescent="0.2">
      <c r="A185" s="931" t="s">
        <v>2060</v>
      </c>
      <c r="B185" s="931"/>
      <c r="C185" s="950"/>
      <c r="D185" s="931"/>
      <c r="E185" s="950"/>
      <c r="F185" s="931"/>
      <c r="G185" s="931"/>
    </row>
    <row r="186" spans="1:7" s="1948" customFormat="1" ht="12.4" customHeight="1" x14ac:dyDescent="0.2">
      <c r="A186" s="1948" t="s">
        <v>2065</v>
      </c>
      <c r="B186" s="1949"/>
      <c r="C186" s="1950"/>
      <c r="D186" s="1949"/>
      <c r="E186" s="1950"/>
      <c r="F186" s="1949"/>
      <c r="G186" s="1949"/>
    </row>
    <row r="187" spans="1:7" s="1948" customFormat="1" ht="12.4"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T25" sqref="T25:AA25"/>
      <selection pane="bottomLeft" activeCell="B20" sqref="B20"/>
    </sheetView>
  </sheetViews>
  <sheetFormatPr defaultColWidth="9.28515625" defaultRowHeight="15" x14ac:dyDescent="0.25"/>
  <cols>
    <col min="1" max="1" width="52" style="1564" customWidth="1"/>
    <col min="2" max="2" width="16.42578125" style="1565" bestFit="1" customWidth="1"/>
    <col min="3" max="3" width="33.7109375" style="1565" customWidth="1"/>
    <col min="4" max="4" width="16.28515625" style="1566" customWidth="1"/>
    <col min="5" max="5" width="0.28515625" style="1566" hidden="1" customWidth="1"/>
    <col min="6" max="6" width="23.5703125" style="1566" customWidth="1"/>
    <col min="7" max="7" width="23.28515625" style="1565" customWidth="1"/>
    <col min="8" max="16384" width="9.28515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1941</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2108</v>
      </c>
      <c r="B17" s="1957" t="s">
        <v>2109</v>
      </c>
      <c r="C17" s="1958" t="s">
        <v>2110</v>
      </c>
      <c r="D17" s="1867">
        <v>6000</v>
      </c>
      <c r="E17" s="1562">
        <f t="shared" ref="E17:E141" si="1">IF(D17&lt;=25000,D17,IF(D17&gt;25000,25000,0))</f>
        <v>6000</v>
      </c>
      <c r="F17" s="1815">
        <f t="shared" si="0"/>
        <v>0</v>
      </c>
      <c r="G17" s="1816">
        <f>IF(F17=0,0,D17-F17)</f>
        <v>0</v>
      </c>
      <c r="H17" s="1669"/>
    </row>
    <row r="18" spans="1:8" x14ac:dyDescent="0.25">
      <c r="A18" s="1956" t="s">
        <v>2111</v>
      </c>
      <c r="B18" s="1957" t="s">
        <v>2112</v>
      </c>
      <c r="C18" s="1958" t="s">
        <v>2113</v>
      </c>
      <c r="D18" s="1867">
        <v>686</v>
      </c>
      <c r="E18" s="1562">
        <f t="shared" ref="E18:E140" si="2">IF(D18&lt;=25000,D18,IF(D18&gt;25000,25000,0))</f>
        <v>686</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6" t="s">
        <v>2114</v>
      </c>
      <c r="B19" s="2507" t="s">
        <v>2149</v>
      </c>
      <c r="C19" s="1958" t="s">
        <v>2115</v>
      </c>
      <c r="D19" s="1867">
        <v>1002</v>
      </c>
      <c r="E19" s="1562">
        <f t="shared" si="2"/>
        <v>1002</v>
      </c>
      <c r="F19" s="1815">
        <f t="shared" si="3"/>
        <v>0</v>
      </c>
      <c r="G19" s="1816">
        <f t="shared" si="4"/>
        <v>0</v>
      </c>
    </row>
    <row r="20" spans="1:8" x14ac:dyDescent="0.25">
      <c r="A20" s="1956" t="s">
        <v>2116</v>
      </c>
      <c r="B20" s="2507" t="s">
        <v>2148</v>
      </c>
      <c r="C20" s="1958" t="s">
        <v>2117</v>
      </c>
      <c r="D20" s="1867">
        <v>14495</v>
      </c>
      <c r="E20" s="1562">
        <f t="shared" si="2"/>
        <v>14495</v>
      </c>
      <c r="F20" s="1815">
        <f t="shared" si="3"/>
        <v>0</v>
      </c>
      <c r="G20" s="1816">
        <f t="shared" si="4"/>
        <v>0</v>
      </c>
    </row>
    <row r="21" spans="1:8" x14ac:dyDescent="0.25">
      <c r="A21" s="1956" t="s">
        <v>2118</v>
      </c>
      <c r="B21" s="1957" t="s">
        <v>2119</v>
      </c>
      <c r="C21" s="1958" t="s">
        <v>2120</v>
      </c>
      <c r="D21" s="1867">
        <v>580</v>
      </c>
      <c r="E21" s="1562">
        <f t="shared" si="2"/>
        <v>580</v>
      </c>
      <c r="F21" s="1815">
        <f t="shared" si="3"/>
        <v>580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22763</v>
      </c>
      <c r="E141" s="1563">
        <f t="shared" si="1"/>
        <v>22763</v>
      </c>
      <c r="F141" s="1817">
        <f>SUM(F17:F140)</f>
        <v>580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T25" sqref="T25:AA25"/>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7" t="s">
        <v>1945</v>
      </c>
      <c r="B11" s="2308"/>
      <c r="C11" s="2308"/>
      <c r="D11" s="2309"/>
      <c r="E11" s="978">
        <v>29393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4459352</v>
      </c>
      <c r="F19" s="1822"/>
      <c r="G19" s="1824">
        <f>'Expenditures 15-22'!K33-SUM('Expenditures 15-22'!G33,'Expenditures 15-22'!I33)+'Expenditures 15-22'!D229</f>
        <v>4459352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191760</v>
      </c>
      <c r="F21" s="1825"/>
      <c r="G21" s="1828">
        <f>'Expenditures 15-22'!K42-SUM('Expenditures 15-22'!G42,'Expenditures 15-22'!I42)+'Expenditures 15-22'!K120-SUM('Expenditures 15-22'!G120,'Expenditures 15-22'!I120)+'Expenditures 15-22'!K180-SUM('Expenditures 15-22'!G180,'Expenditures 15-22'!I180)+'Expenditures 15-22'!D238</f>
        <v>191760</v>
      </c>
      <c r="H21" s="988"/>
      <c r="I21" s="162"/>
    </row>
    <row r="22" spans="1:9" s="669" customFormat="1" ht="12" customHeight="1" x14ac:dyDescent="0.2">
      <c r="A22" s="995" t="s">
        <v>585</v>
      </c>
      <c r="B22" s="996"/>
      <c r="C22" s="994">
        <v>2200</v>
      </c>
      <c r="D22" s="1825"/>
      <c r="E22" s="1827">
        <f>'Expenditures 15-22'!K47-SUM('Expenditures 15-22'!G47,'Expenditures 15-22'!I47)+'Expenditures 15-22'!D243</f>
        <v>41845</v>
      </c>
      <c r="F22" s="1825"/>
      <c r="G22" s="1828">
        <f>'Expenditures 15-22'!K47-SUM('Expenditures 15-22'!G47,'Expenditures 15-22'!I47)+'Expenditures 15-22'!D243</f>
        <v>41845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495614</v>
      </c>
      <c r="F23" s="1825"/>
      <c r="G23" s="1827">
        <f>'Expenditures 15-22'!K53-SUM('Expenditures 15-22'!G53,'Expenditures 15-22'!I53)+'Expenditures 15-22'!D257+'Expenditures 15-22'!K330-SUM('Expenditures 15-22'!G330,'Expenditures 15-22'!I330)</f>
        <v>495614</v>
      </c>
      <c r="H23" s="988"/>
      <c r="I23" s="162"/>
    </row>
    <row r="24" spans="1:9" s="669" customFormat="1" ht="12" customHeight="1" x14ac:dyDescent="0.2">
      <c r="A24" s="995" t="s">
        <v>587</v>
      </c>
      <c r="B24" s="996"/>
      <c r="C24" s="994">
        <v>2400</v>
      </c>
      <c r="D24" s="1825"/>
      <c r="E24" s="1827">
        <f>'Expenditures 15-22'!K57-SUM('Expenditures 15-22'!G57,'Expenditures 15-22'!I57)+'Expenditures 15-22'!D261</f>
        <v>665509</v>
      </c>
      <c r="F24" s="1825"/>
      <c r="G24" s="1828">
        <f>'Expenditures 15-22'!K57-SUM('Expenditures 15-22'!G57,'Expenditures 15-22'!I57)+'Expenditures 15-22'!D261</f>
        <v>665509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81099</v>
      </c>
      <c r="E27" s="1827">
        <f>E8</f>
        <v>0</v>
      </c>
      <c r="F27" s="1827">
        <f>'Expenditures 15-22'!K60-SUM('Expenditures 15-22'!G60,'Expenditures 15-22'!I60)+'Expenditures 15-22'!D264-E8</f>
        <v>81099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802414</v>
      </c>
      <c r="F28" s="1829">
        <f>'Expenditures 15-22'!K61-SUM('Expenditures 15-22'!G61,'Expenditures 15-22'!I61)+'Expenditures 15-22'!K124-SUM('Expenditures 15-22'!G124,'Expenditures 15-22'!I124)+'Expenditures 15-22'!D266-E9</f>
        <v>802414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448118</v>
      </c>
      <c r="F29" s="1825"/>
      <c r="G29" s="1828">
        <f>'Expenditures 15-22'!K62-SUM('Expenditures 15-22'!G62,'Expenditures 15-22'!I62)+'Expenditures 15-22'!K125-SUM('Expenditures 15-22'!G125,'Expenditures 15-22'!I125)+'Expenditures 15-22'!K182-SUM('Expenditures 15-22'!G182,'Expenditures 15-22'!I182)+'Expenditures 15-22'!D267</f>
        <v>448118</v>
      </c>
      <c r="H29" s="986"/>
    </row>
    <row r="30" spans="1:9" ht="12" customHeight="1" x14ac:dyDescent="0.2">
      <c r="A30" s="995" t="s">
        <v>102</v>
      </c>
      <c r="B30" s="998"/>
      <c r="C30" s="994">
        <v>2560</v>
      </c>
      <c r="D30" s="1825"/>
      <c r="E30" s="1827">
        <f>'Expenditures 15-22'!K63-SUM('Expenditures 15-22'!G63,'Expenditures 15-22'!I63)+'Expenditures 15-22'!D268-E10</f>
        <v>300527</v>
      </c>
      <c r="F30" s="1825"/>
      <c r="G30" s="1827">
        <f>'Expenditures 15-22'!K63-SUM('Expenditures 15-22'!G63,'Expenditures 15-22'!I63)+'Expenditures 15-22'!D268-E10</f>
        <v>300527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20380</v>
      </c>
      <c r="E37" s="1827">
        <f>E14</f>
        <v>0</v>
      </c>
      <c r="F37" s="1827">
        <f>'Expenditures 15-22'!K71-SUM('Expenditures 15-22'!G71,'Expenditures 15-22'!I71)+'Expenditures 15-22'!D276-E14</f>
        <v>20380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101479</v>
      </c>
      <c r="E41" s="1829">
        <f>SUM(E19:E40)</f>
        <v>7405139</v>
      </c>
      <c r="F41" s="1829">
        <f>SUM(F19:F39)</f>
        <v>903893</v>
      </c>
      <c r="G41" s="1829">
        <f>SUM(G19:G40)</f>
        <v>6602725</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101479</v>
      </c>
      <c r="F43" s="1830" t="s">
        <v>495</v>
      </c>
      <c r="G43" s="1831">
        <f>F41</f>
        <v>903893</v>
      </c>
    </row>
    <row r="44" spans="1:7" ht="12" customHeight="1" x14ac:dyDescent="0.2">
      <c r="A44" s="988"/>
      <c r="B44" s="162"/>
      <c r="C44" s="1002"/>
      <c r="D44" s="1830" t="s">
        <v>494</v>
      </c>
      <c r="E44" s="1831">
        <f>E41</f>
        <v>7405139</v>
      </c>
      <c r="F44" s="1830" t="s">
        <v>494</v>
      </c>
      <c r="G44" s="1831">
        <f>G41</f>
        <v>6602725</v>
      </c>
    </row>
    <row r="45" spans="1:7" ht="12" customHeight="1" x14ac:dyDescent="0.2">
      <c r="A45" s="988"/>
      <c r="B45" s="162"/>
      <c r="C45" s="162"/>
      <c r="D45" s="1832" t="s">
        <v>1063</v>
      </c>
      <c r="E45" s="1833">
        <f>(E43/E44)</f>
        <v>1.3703861602057707E-2</v>
      </c>
      <c r="F45" s="1832" t="s">
        <v>1063</v>
      </c>
      <c r="G45" s="1833">
        <f>(G43/G44)</f>
        <v>0.13689696299633863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T25" sqref="T25:AA25"/>
      <selection pane="bottomLeft" activeCell="K6" sqref="K6"/>
    </sheetView>
  </sheetViews>
  <sheetFormatPr defaultColWidth="9.28515625" defaultRowHeight="12.75" x14ac:dyDescent="0.2"/>
  <cols>
    <col min="1" max="1" width="54.5703125" style="1901" customWidth="1"/>
    <col min="2" max="2" width="4.28515625" style="1901" customWidth="1"/>
    <col min="3" max="4" width="9.7109375" style="1872" customWidth="1"/>
    <col min="5" max="5" width="12.5703125" style="1902" customWidth="1"/>
    <col min="6" max="6" width="67.5703125" style="1872" customWidth="1"/>
    <col min="7" max="7" width="9.28515625" style="1872" customWidth="1"/>
    <col min="8" max="8" width="5.5703125" style="1903" bestFit="1" customWidth="1"/>
    <col min="9" max="10" width="2" style="1903" bestFit="1" customWidth="1"/>
    <col min="11" max="11" width="9" style="1903" customWidth="1"/>
    <col min="12" max="16384" width="9.28515625" style="1872"/>
  </cols>
  <sheetData>
    <row r="1" spans="1:10" x14ac:dyDescent="0.2">
      <c r="A1" s="2324" t="s">
        <v>1446</v>
      </c>
      <c r="B1" s="2324"/>
      <c r="C1" s="2324"/>
      <c r="D1" s="2324"/>
      <c r="E1" s="2324"/>
      <c r="F1" s="2324"/>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5" t="s">
        <v>1627</v>
      </c>
      <c r="B5" s="2326"/>
      <c r="C5" s="2327"/>
      <c r="D5" s="2327"/>
      <c r="E5" s="2327"/>
      <c r="F5" s="2327"/>
    </row>
    <row r="6" spans="1:10" ht="12" customHeight="1" x14ac:dyDescent="0.25">
      <c r="A6" s="1875"/>
      <c r="B6" s="1876"/>
      <c r="C6" s="2328" t="str">
        <f>COVER!A17</f>
        <v>Argenta Oreana CUSD 1</v>
      </c>
      <c r="D6" s="2328"/>
      <c r="E6" s="2328"/>
      <c r="F6" s="1877"/>
    </row>
    <row r="7" spans="1:10" ht="11.25" customHeight="1" thickBot="1" x14ac:dyDescent="0.3">
      <c r="A7" s="1875"/>
      <c r="B7" s="1876"/>
      <c r="C7" s="2329" t="str">
        <f>COVER!A13</f>
        <v>39-055-0010-26</v>
      </c>
      <c r="D7" s="2329"/>
      <c r="E7" s="2329"/>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2077</v>
      </c>
      <c r="D13" s="1890" t="s">
        <v>2077</v>
      </c>
      <c r="E13" s="1893" t="s">
        <v>2077</v>
      </c>
      <c r="F13" s="1892" t="s">
        <v>2097</v>
      </c>
      <c r="H13" s="1903">
        <f t="shared" si="0"/>
        <v>5</v>
      </c>
      <c r="I13" s="1903">
        <f t="shared" si="1"/>
        <v>5</v>
      </c>
      <c r="J13" s="1903">
        <f t="shared" si="2"/>
        <v>5</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2077</v>
      </c>
      <c r="D15" s="1890" t="s">
        <v>2077</v>
      </c>
      <c r="E15" s="1893" t="s">
        <v>2077</v>
      </c>
      <c r="F15" s="1892" t="s">
        <v>2098</v>
      </c>
      <c r="H15" s="1903">
        <f t="shared" si="0"/>
        <v>5</v>
      </c>
      <c r="I15" s="1903">
        <f t="shared" si="1"/>
        <v>5</v>
      </c>
      <c r="J15" s="1903">
        <f t="shared" si="2"/>
        <v>5</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t="s">
        <v>2077</v>
      </c>
      <c r="F25" s="1892" t="s">
        <v>2099</v>
      </c>
      <c r="H25" s="1903">
        <f t="shared" si="0"/>
        <v>5</v>
      </c>
      <c r="I25" s="1903">
        <f t="shared" si="1"/>
        <v>5</v>
      </c>
      <c r="J25" s="1903">
        <f t="shared" si="2"/>
        <v>5</v>
      </c>
    </row>
    <row r="26" spans="1:12" ht="12" customHeight="1" x14ac:dyDescent="0.2">
      <c r="A26" s="1888" t="s">
        <v>1615</v>
      </c>
      <c r="B26" s="1889"/>
      <c r="C26" s="1890" t="s">
        <v>2077</v>
      </c>
      <c r="D26" s="1890" t="s">
        <v>2077</v>
      </c>
      <c r="E26" s="1893" t="s">
        <v>2077</v>
      </c>
      <c r="F26" s="1892" t="s">
        <v>2100</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t="s">
        <v>2077</v>
      </c>
      <c r="F31" s="1892" t="s">
        <v>2101</v>
      </c>
      <c r="H31" s="1903">
        <f t="shared" si="0"/>
        <v>5</v>
      </c>
      <c r="I31" s="1903">
        <f t="shared" si="1"/>
        <v>5</v>
      </c>
      <c r="J31" s="1903">
        <f t="shared" si="2"/>
        <v>5</v>
      </c>
      <c r="L31" s="1894"/>
    </row>
    <row r="32" spans="1:12" ht="12" customHeight="1" x14ac:dyDescent="0.2">
      <c r="A32" s="1888" t="s">
        <v>1621</v>
      </c>
      <c r="B32" s="1889"/>
      <c r="C32" s="1890" t="s">
        <v>2077</v>
      </c>
      <c r="D32" s="1890" t="s">
        <v>2077</v>
      </c>
      <c r="E32" s="1893" t="s">
        <v>2077</v>
      </c>
      <c r="F32" s="1892" t="s">
        <v>2102</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30</v>
      </c>
      <c r="I34" s="1903">
        <f>SUM(I11:I32)</f>
        <v>30</v>
      </c>
      <c r="J34" s="1903">
        <f>SUM(J11:J32)</f>
        <v>30</v>
      </c>
      <c r="K34" s="1903">
        <f>SUM(H34:J34)</f>
        <v>90</v>
      </c>
    </row>
    <row r="35" spans="1:11" ht="12" customHeight="1" x14ac:dyDescent="0.2">
      <c r="A35" s="1896" t="s">
        <v>1459</v>
      </c>
      <c r="B35" s="1897"/>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8"/>
      <c r="B39" s="1898"/>
      <c r="C39" s="1898"/>
      <c r="D39" s="1898"/>
      <c r="E39" s="1898"/>
      <c r="F39" s="1898"/>
    </row>
    <row r="40" spans="1:11" s="1895" customFormat="1" ht="12" customHeight="1" x14ac:dyDescent="0.25">
      <c r="A40" s="1899" t="s">
        <v>1458</v>
      </c>
      <c r="B40" s="1900"/>
      <c r="C40" s="2319"/>
      <c r="D40" s="2319"/>
      <c r="E40" s="2319"/>
      <c r="F40" s="2320"/>
      <c r="H40" s="1904"/>
      <c r="I40" s="1904"/>
      <c r="J40" s="1904"/>
      <c r="K40" s="1904"/>
    </row>
    <row r="41" spans="1:11" s="1895" customFormat="1" ht="12" customHeight="1" x14ac:dyDescent="0.25">
      <c r="A41" s="2321"/>
      <c r="B41" s="2322"/>
      <c r="C41" s="2322"/>
      <c r="D41" s="2322"/>
      <c r="E41" s="2322"/>
      <c r="F41" s="2323"/>
      <c r="H41" s="1904"/>
      <c r="I41" s="1904"/>
      <c r="J41" s="1904"/>
      <c r="K41" s="1904"/>
    </row>
    <row r="42" spans="1:11" s="1895" customFormat="1" ht="12" customHeight="1" x14ac:dyDescent="0.25">
      <c r="A42" s="2321"/>
      <c r="B42" s="2322"/>
      <c r="C42" s="2322"/>
      <c r="D42" s="2322"/>
      <c r="E42" s="2322"/>
      <c r="F42" s="2323"/>
      <c r="H42" s="1904"/>
      <c r="I42" s="1904"/>
      <c r="J42" s="1904"/>
      <c r="K42" s="1904"/>
    </row>
    <row r="43" spans="1:11" s="1895" customFormat="1" ht="15" x14ac:dyDescent="0.25">
      <c r="A43" s="2310"/>
      <c r="B43" s="2311"/>
      <c r="C43" s="2311"/>
      <c r="D43" s="2311"/>
      <c r="E43" s="2311"/>
      <c r="F43" s="2312"/>
      <c r="H43" s="1904"/>
      <c r="I43" s="1904"/>
      <c r="J43" s="1904"/>
      <c r="K43" s="1904"/>
    </row>
    <row r="44" spans="1:11" s="1895" customFormat="1" ht="12" hidden="1" customHeight="1" x14ac:dyDescent="0.25">
      <c r="A44" s="2310"/>
      <c r="B44" s="2311"/>
      <c r="C44" s="2311"/>
      <c r="D44" s="2311"/>
      <c r="E44" s="2311"/>
      <c r="F44" s="231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5" colorId="8" zoomScale="110" zoomScaleNormal="110" workbookViewId="0">
      <selection activeCell="T25" sqref="T25:AA25"/>
    </sheetView>
  </sheetViews>
  <sheetFormatPr defaultColWidth="9.28515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28515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4" customHeight="1" x14ac:dyDescent="0.2">
      <c r="F5" s="1015"/>
    </row>
    <row r="6" spans="1:17" x14ac:dyDescent="0.2">
      <c r="A6" s="1919" t="s">
        <v>693</v>
      </c>
      <c r="B6" s="1664"/>
      <c r="C6" s="1664"/>
      <c r="D6" s="1664"/>
      <c r="E6" s="1665"/>
      <c r="F6" s="1016"/>
      <c r="G6" s="1010"/>
      <c r="H6" s="1017" t="s">
        <v>1086</v>
      </c>
      <c r="I6" s="2337" t="str">
        <f>COVER!A17</f>
        <v>Argenta Oreana CUSD 1</v>
      </c>
      <c r="J6" s="2338"/>
      <c r="Q6" s="1686"/>
    </row>
    <row r="7" spans="1:17" x14ac:dyDescent="0.2">
      <c r="A7" s="2339" t="s">
        <v>924</v>
      </c>
      <c r="B7" s="2340"/>
      <c r="C7" s="2340"/>
      <c r="D7" s="2340"/>
      <c r="E7" s="2341"/>
      <c r="F7" s="1018"/>
      <c r="G7" s="1010"/>
      <c r="H7" s="1017" t="s">
        <v>390</v>
      </c>
      <c r="I7" s="2342" t="str">
        <f>COVER!A13</f>
        <v>39-055-0010-26</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138176</v>
      </c>
      <c r="F12" s="1040"/>
      <c r="G12" s="1834">
        <f t="shared" ref="G12:G18" si="0">SUM(E12:F12)</f>
        <v>138176</v>
      </c>
      <c r="H12" s="1041">
        <v>136036</v>
      </c>
      <c r="I12" s="1040"/>
      <c r="J12" s="1834">
        <f t="shared" ref="J12:J18" si="1">SUM(H12:I12)</f>
        <v>136036</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138176</v>
      </c>
      <c r="F19" s="1836">
        <f t="shared" si="2"/>
        <v>0</v>
      </c>
      <c r="G19" s="1836">
        <f t="shared" si="2"/>
        <v>138176</v>
      </c>
      <c r="H19" s="1836">
        <f t="shared" si="2"/>
        <v>136036</v>
      </c>
      <c r="I19" s="1836">
        <f t="shared" si="2"/>
        <v>0</v>
      </c>
      <c r="J19" s="1836">
        <f t="shared" si="2"/>
        <v>136036</v>
      </c>
    </row>
    <row r="20" spans="1:10" ht="13.5" thickTop="1" x14ac:dyDescent="0.2">
      <c r="A20" s="1036">
        <v>9</v>
      </c>
      <c r="B20" s="2349" t="s">
        <v>1703</v>
      </c>
      <c r="C20" s="2349"/>
      <c r="D20" s="2350"/>
      <c r="E20" s="1047"/>
      <c r="F20" s="1047"/>
      <c r="G20" s="1047"/>
      <c r="H20" s="1047"/>
      <c r="I20" s="1047"/>
      <c r="J20" s="1837">
        <f>IF(AND(G19&gt;0,J19&gt;0),(((J19-G19)/G19)),"Enter Budget Data")</f>
        <v>-1.5487494210282539E-2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54"/>
  <sheetViews>
    <sheetView showGridLines="0" topLeftCell="A34" zoomScale="110" zoomScaleNormal="110" workbookViewId="0">
      <selection activeCell="A44" sqref="A44:XFD44"/>
    </sheetView>
  </sheetViews>
  <sheetFormatPr defaultColWidth="9.28515625" defaultRowHeight="12.75" x14ac:dyDescent="0.2"/>
  <cols>
    <col min="1" max="1" width="3" style="329" customWidth="1"/>
    <col min="2" max="2" width="41.85546875" style="329" customWidth="1"/>
    <col min="3" max="3" width="1.7109375" style="329" customWidth="1"/>
    <col min="4" max="16384" width="9.28515625" style="329"/>
  </cols>
  <sheetData>
    <row r="2" spans="1:4" x14ac:dyDescent="0.2">
      <c r="A2" s="389" t="s">
        <v>276</v>
      </c>
    </row>
    <row r="3" spans="1:4" x14ac:dyDescent="0.2">
      <c r="A3" s="329" t="s">
        <v>277</v>
      </c>
    </row>
    <row r="5" spans="1:4" x14ac:dyDescent="0.2">
      <c r="A5" s="1069">
        <v>1</v>
      </c>
      <c r="B5" s="329" t="s">
        <v>2121</v>
      </c>
    </row>
    <row r="6" spans="1:4" x14ac:dyDescent="0.2">
      <c r="A6" s="1069">
        <v>2</v>
      </c>
      <c r="B6" s="329" t="s">
        <v>2122</v>
      </c>
    </row>
    <row r="7" spans="1:4" x14ac:dyDescent="0.2">
      <c r="A7" s="1069">
        <v>3</v>
      </c>
      <c r="B7" s="329" t="s">
        <v>2126</v>
      </c>
      <c r="C7" s="1959" t="s">
        <v>1015</v>
      </c>
      <c r="D7" s="1960">
        <v>7653</v>
      </c>
    </row>
    <row r="8" spans="1:4" x14ac:dyDescent="0.2">
      <c r="A8" s="1069">
        <v>4</v>
      </c>
      <c r="B8" s="329" t="s">
        <v>2123</v>
      </c>
    </row>
    <row r="9" spans="1:4" x14ac:dyDescent="0.2">
      <c r="A9" s="1070" t="s">
        <v>2124</v>
      </c>
      <c r="B9" s="329" t="s">
        <v>2122</v>
      </c>
    </row>
    <row r="10" spans="1:4" x14ac:dyDescent="0.2">
      <c r="A10" s="1070"/>
      <c r="B10" s="329" t="s">
        <v>2125</v>
      </c>
      <c r="C10" s="329" t="s">
        <v>1015</v>
      </c>
      <c r="D10" s="1960">
        <v>2421</v>
      </c>
    </row>
    <row r="11" spans="1:4" x14ac:dyDescent="0.2">
      <c r="A11" s="1070"/>
    </row>
    <row r="12" spans="1:4" x14ac:dyDescent="0.2">
      <c r="A12" s="1070"/>
      <c r="B12" s="329" t="s">
        <v>2127</v>
      </c>
    </row>
    <row r="13" spans="1:4" x14ac:dyDescent="0.2">
      <c r="A13" s="1070"/>
      <c r="B13" s="329" t="s">
        <v>2122</v>
      </c>
    </row>
    <row r="14" spans="1:4" x14ac:dyDescent="0.2">
      <c r="A14" s="1070"/>
      <c r="B14" s="329" t="s">
        <v>2128</v>
      </c>
      <c r="C14" s="329" t="s">
        <v>1015</v>
      </c>
      <c r="D14" s="1960">
        <v>14090</v>
      </c>
    </row>
    <row r="15" spans="1:4" x14ac:dyDescent="0.2">
      <c r="A15" s="1070"/>
      <c r="B15" s="329" t="s">
        <v>2129</v>
      </c>
      <c r="D15" s="1960">
        <v>1788</v>
      </c>
    </row>
    <row r="16" spans="1:4" x14ac:dyDescent="0.2">
      <c r="A16" s="1070"/>
      <c r="B16" s="329" t="s">
        <v>2130</v>
      </c>
      <c r="D16" s="1960">
        <v>2233</v>
      </c>
    </row>
    <row r="17" spans="1:4" x14ac:dyDescent="0.2">
      <c r="A17" s="1070"/>
      <c r="B17" s="329" t="s">
        <v>2131</v>
      </c>
      <c r="D17" s="1960">
        <v>1835</v>
      </c>
    </row>
    <row r="18" spans="1:4" x14ac:dyDescent="0.2">
      <c r="A18" s="1070"/>
      <c r="B18" s="329" t="s">
        <v>2132</v>
      </c>
      <c r="D18" s="1960">
        <v>2560</v>
      </c>
    </row>
    <row r="19" spans="1:4" x14ac:dyDescent="0.2">
      <c r="A19" s="1070"/>
      <c r="B19" s="329" t="s">
        <v>2133</v>
      </c>
    </row>
    <row r="20" spans="1:4" x14ac:dyDescent="0.2">
      <c r="A20" s="1070"/>
      <c r="B20" s="329" t="s">
        <v>2134</v>
      </c>
      <c r="C20" s="329" t="s">
        <v>1015</v>
      </c>
      <c r="D20" s="1960">
        <v>2493</v>
      </c>
    </row>
    <row r="21" spans="1:4" x14ac:dyDescent="0.2">
      <c r="A21" s="1070"/>
      <c r="B21" s="329" t="s">
        <v>2135</v>
      </c>
      <c r="D21" s="1960">
        <v>17952</v>
      </c>
    </row>
    <row r="22" spans="1:4" x14ac:dyDescent="0.2">
      <c r="A22" s="1070"/>
      <c r="B22" s="329" t="s">
        <v>2129</v>
      </c>
      <c r="D22" s="329">
        <v>905</v>
      </c>
    </row>
    <row r="23" spans="1:4" x14ac:dyDescent="0.2">
      <c r="A23" s="1070"/>
    </row>
    <row r="24" spans="1:4" x14ac:dyDescent="0.2">
      <c r="A24" s="1070"/>
      <c r="B24" s="329" t="s">
        <v>2136</v>
      </c>
    </row>
    <row r="25" spans="1:4" x14ac:dyDescent="0.2">
      <c r="A25" s="1070"/>
      <c r="B25" s="329" t="s">
        <v>2122</v>
      </c>
    </row>
    <row r="26" spans="1:4" x14ac:dyDescent="0.2">
      <c r="A26" s="1070"/>
      <c r="B26" s="329" t="s">
        <v>2147</v>
      </c>
      <c r="C26" s="329" t="s">
        <v>1015</v>
      </c>
      <c r="D26" s="1960">
        <v>16238</v>
      </c>
    </row>
    <row r="27" spans="1:4" x14ac:dyDescent="0.2">
      <c r="A27" s="1070"/>
      <c r="B27" s="329" t="s">
        <v>2137</v>
      </c>
      <c r="D27" s="329">
        <v>750</v>
      </c>
    </row>
    <row r="28" spans="1:4" x14ac:dyDescent="0.2">
      <c r="A28" s="1070"/>
    </row>
    <row r="29" spans="1:4" x14ac:dyDescent="0.2">
      <c r="A29" s="1070"/>
      <c r="B29" s="329" t="s">
        <v>2138</v>
      </c>
    </row>
    <row r="30" spans="1:4" x14ac:dyDescent="0.2">
      <c r="A30" s="1070"/>
      <c r="B30" s="329" t="s">
        <v>2122</v>
      </c>
    </row>
    <row r="31" spans="1:4" x14ac:dyDescent="0.2">
      <c r="A31" s="1070"/>
      <c r="B31" s="329" t="s">
        <v>2139</v>
      </c>
      <c r="C31" s="329" t="s">
        <v>1015</v>
      </c>
      <c r="D31" s="1960">
        <v>64475</v>
      </c>
    </row>
    <row r="32" spans="1:4" x14ac:dyDescent="0.2">
      <c r="A32" s="1070"/>
      <c r="B32" s="329" t="s">
        <v>2140</v>
      </c>
      <c r="D32" s="1960">
        <v>3757</v>
      </c>
    </row>
    <row r="33" spans="1:4" x14ac:dyDescent="0.2">
      <c r="A33" s="1070"/>
      <c r="B33" s="329" t="s">
        <v>2141</v>
      </c>
      <c r="D33" s="329">
        <v>48</v>
      </c>
    </row>
    <row r="34" spans="1:4" x14ac:dyDescent="0.2">
      <c r="A34" s="1070"/>
    </row>
    <row r="35" spans="1:4" x14ac:dyDescent="0.2">
      <c r="A35" s="1070"/>
      <c r="B35" s="329" t="s">
        <v>2144</v>
      </c>
    </row>
    <row r="36" spans="1:4" x14ac:dyDescent="0.2">
      <c r="A36" s="1070"/>
      <c r="B36" s="329" t="s">
        <v>2146</v>
      </c>
    </row>
    <row r="37" spans="1:4" x14ac:dyDescent="0.2">
      <c r="A37" s="1070"/>
      <c r="B37" s="329" t="s">
        <v>2145</v>
      </c>
      <c r="C37" s="329" t="s">
        <v>1015</v>
      </c>
      <c r="D37" s="1960">
        <v>122660</v>
      </c>
    </row>
    <row r="38" spans="1:4" x14ac:dyDescent="0.2">
      <c r="A38" s="1070"/>
    </row>
    <row r="39" spans="1:4" x14ac:dyDescent="0.2">
      <c r="A39" s="1070"/>
      <c r="B39" s="329" t="s">
        <v>2142</v>
      </c>
    </row>
    <row r="40" spans="1:4" x14ac:dyDescent="0.2">
      <c r="A40" s="1070"/>
      <c r="B40" s="329" t="s">
        <v>2143</v>
      </c>
    </row>
    <row r="41" spans="1:4" x14ac:dyDescent="0.2">
      <c r="A41" s="1070"/>
      <c r="B41" s="329" t="s">
        <v>2140</v>
      </c>
      <c r="C41" s="329" t="s">
        <v>1015</v>
      </c>
      <c r="D41" s="1960">
        <v>9200</v>
      </c>
    </row>
    <row r="42" spans="1:4" x14ac:dyDescent="0.2">
      <c r="A42" s="1070"/>
    </row>
    <row r="43" spans="1:4" x14ac:dyDescent="0.2">
      <c r="A43" s="1070"/>
    </row>
    <row r="44" spans="1:4" x14ac:dyDescent="0.2">
      <c r="A44" s="1070"/>
    </row>
    <row r="45" spans="1:4" x14ac:dyDescent="0.2">
      <c r="A45" s="1070"/>
    </row>
    <row r="46" spans="1:4" x14ac:dyDescent="0.2">
      <c r="A46" s="1070"/>
    </row>
    <row r="47" spans="1:4" x14ac:dyDescent="0.2">
      <c r="A47" s="1070"/>
    </row>
    <row r="48" spans="1:4"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c r="B53" s="258" t="str">
        <f>COVER!A17</f>
        <v>Argenta Oreana CUSD 1</v>
      </c>
    </row>
    <row r="54" spans="1:2" x14ac:dyDescent="0.2">
      <c r="B54" s="1071" t="str">
        <f>COVER!A13</f>
        <v>39-055-0010-26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T25" sqref="T25:AA25"/>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4" customHeight="1" x14ac:dyDescent="0.2">
      <c r="A76" s="189" t="s">
        <v>1719</v>
      </c>
      <c r="B76" s="198" t="s">
        <v>1888</v>
      </c>
    </row>
    <row r="77" spans="1:9" ht="12.4"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4"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25" sqref="T25:AA25"/>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J7" sqref="J7"/>
    </sheetView>
  </sheetViews>
  <sheetFormatPr defaultColWidth="9.28515625" defaultRowHeight="12.75" x14ac:dyDescent="0.2"/>
  <cols>
    <col min="1" max="1" width="1.7109375" style="329" customWidth="1"/>
    <col min="2" max="2" width="14.28515625" style="329" customWidth="1"/>
    <col min="3" max="16384" width="9.28515625" style="329"/>
  </cols>
  <sheetData>
    <row r="11" spans="1:6" x14ac:dyDescent="0.2">
      <c r="B11" s="1072"/>
      <c r="D11" s="1072"/>
      <c r="E11" s="1072"/>
      <c r="F11" s="1072"/>
    </row>
    <row r="12" spans="1:6" x14ac:dyDescent="0.2">
      <c r="C12" s="1072"/>
    </row>
    <row r="13" spans="1:6" x14ac:dyDescent="0.2">
      <c r="A13" s="1073" t="s">
        <v>1573</v>
      </c>
    </row>
    <row r="15" spans="1:6" x14ac:dyDescent="0.2">
      <c r="A15" s="389" t="s">
        <v>912</v>
      </c>
    </row>
    <row r="16" spans="1:6" s="1072" customFormat="1" ht="45" customHeight="1" x14ac:dyDescent="0.2">
      <c r="A16" s="1074"/>
      <c r="B16" s="1074" t="s">
        <v>1783</v>
      </c>
      <c r="C16" s="329"/>
    </row>
    <row r="17" spans="1:3" ht="6" customHeight="1" x14ac:dyDescent="0.2">
      <c r="C17" s="1072"/>
    </row>
    <row r="18" spans="1:3" ht="24.75" customHeight="1" x14ac:dyDescent="0.2">
      <c r="A18" s="2356" t="s">
        <v>1784</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5</xdr:row>
                <xdr:rowOff>0</xdr:rowOff>
              </from>
              <to>
                <xdr:col>3</xdr:col>
                <xdr:colOff>295275</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T25" sqref="T25:AA25"/>
    </sheetView>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6592744</v>
      </c>
      <c r="C8" s="1838">
        <f>'Acct Summary 7-8'!D8</f>
        <v>786611</v>
      </c>
      <c r="D8" s="1838">
        <f>'Acct Summary 7-8'!F8</f>
        <v>684093</v>
      </c>
      <c r="E8" s="1838">
        <f>'Acct Summary 7-8'!I8</f>
        <v>81108</v>
      </c>
      <c r="F8" s="1838">
        <f>SUM(B8:E8)</f>
        <v>8144556</v>
      </c>
    </row>
    <row r="9" spans="1:8" s="1080" customFormat="1" ht="14.25" customHeight="1" thickBot="1" x14ac:dyDescent="0.25">
      <c r="A9" s="1079" t="s">
        <v>1436</v>
      </c>
      <c r="B9" s="1839">
        <f>'Acct Summary 7-8'!C17</f>
        <v>6451053</v>
      </c>
      <c r="C9" s="1839">
        <f>'Acct Summary 7-8'!D17</f>
        <v>852740</v>
      </c>
      <c r="D9" s="1839">
        <f>'Acct Summary 7-8'!F17</f>
        <v>636891</v>
      </c>
      <c r="E9" s="1838"/>
      <c r="F9" s="1838">
        <f>SUM(B9:E9)</f>
        <v>7940684</v>
      </c>
    </row>
    <row r="10" spans="1:8" s="1080" customFormat="1" ht="14.25" thickTop="1" thickBot="1" x14ac:dyDescent="0.25">
      <c r="A10" s="1081" t="s">
        <v>1437</v>
      </c>
      <c r="B10" s="1840">
        <f>(B8-B9)</f>
        <v>141691</v>
      </c>
      <c r="C10" s="1840">
        <f>(C8-C9)</f>
        <v>-66129</v>
      </c>
      <c r="D10" s="1840">
        <f>(D8-D9)</f>
        <v>47202</v>
      </c>
      <c r="E10" s="1839">
        <f>(E8-E9)</f>
        <v>81108</v>
      </c>
      <c r="F10" s="1841">
        <f>SUM(F8-F9)</f>
        <v>203872</v>
      </c>
    </row>
    <row r="11" spans="1:8" s="1080" customFormat="1" ht="14.25" thickTop="1" thickBot="1" x14ac:dyDescent="0.25">
      <c r="A11" s="1082" t="s">
        <v>1785</v>
      </c>
      <c r="B11" s="1842">
        <f>'Acct Summary 7-8'!C81</f>
        <v>1256585</v>
      </c>
      <c r="C11" s="1842">
        <f>'Acct Summary 7-8'!D81</f>
        <v>1045550</v>
      </c>
      <c r="D11" s="1842">
        <f>'Acct Summary 7-8'!F81</f>
        <v>731190</v>
      </c>
      <c r="E11" s="1842">
        <f>'Acct Summary 7-8'!I81</f>
        <v>2972233</v>
      </c>
      <c r="F11" s="1843">
        <f>SUM(B11:E11)</f>
        <v>6005558</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 colorId="8" zoomScale="110" zoomScaleNormal="110" workbookViewId="0">
      <selection activeCell="T25" sqref="T25:AA25"/>
    </sheetView>
  </sheetViews>
  <sheetFormatPr defaultColWidth="9.28515625" defaultRowHeight="12" x14ac:dyDescent="0.2"/>
  <cols>
    <col min="1" max="1" width="2.7109375" style="1134" customWidth="1"/>
    <col min="2" max="2" width="3.28515625" style="1134" customWidth="1"/>
    <col min="3" max="3" width="96.28515625" style="1074" customWidth="1"/>
    <col min="4" max="4" width="42.28515625" style="242" customWidth="1"/>
    <col min="5" max="5" width="2.7109375" style="1093" customWidth="1"/>
    <col min="6" max="6" width="1" style="1093" customWidth="1"/>
    <col min="7" max="16384" width="9.28515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4" customHeight="1" x14ac:dyDescent="0.2">
      <c r="A23" s="1140"/>
      <c r="B23" s="1141"/>
      <c r="C23" s="1142" t="s">
        <v>1011</v>
      </c>
      <c r="D23" s="1143" t="str">
        <f>IF(COVER!O11="X","CASH",IF(COVER!O12="X","ACCRUAL ","PLEASE CHECK AN ACCOUNTING BASIS."))</f>
        <v>CASH</v>
      </c>
    </row>
    <row r="24" spans="1:10" ht="12.4"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39-055-0010-26</v>
      </c>
    </row>
    <row r="3" spans="1:2" x14ac:dyDescent="0.2">
      <c r="A3" t="s">
        <v>1013</v>
      </c>
      <c r="B3" s="138" t="str">
        <f>COVER!A15</f>
        <v>MACON</v>
      </c>
    </row>
    <row r="4" spans="1:2" x14ac:dyDescent="0.2">
      <c r="A4" t="s">
        <v>1064</v>
      </c>
      <c r="B4" s="138" t="str">
        <f>COVER!A17</f>
        <v>Argenta Oreana CUSD 1</v>
      </c>
    </row>
    <row r="5" spans="1:2" x14ac:dyDescent="0.2">
      <c r="A5" t="s">
        <v>728</v>
      </c>
      <c r="B5" s="138" t="str">
        <f>COVER!A38</f>
        <v>MR. DAMIAN JONES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66.004384999999999</v>
      </c>
    </row>
    <row r="16" spans="1:2" x14ac:dyDescent="0.2">
      <c r="A16" t="s">
        <v>442</v>
      </c>
      <c r="B16" s="138" t="str">
        <f>COVER!T13</f>
        <v>FLOYD &amp; ASSOCIATES, CPAs</v>
      </c>
    </row>
    <row r="17" spans="1:2" x14ac:dyDescent="0.2">
      <c r="A17" t="s">
        <v>939</v>
      </c>
      <c r="B17" s="138" t="str">
        <f>COVER!T15</f>
        <v>JULIE M. FLOYD, CPA</v>
      </c>
    </row>
    <row r="18" spans="1:2" x14ac:dyDescent="0.2">
      <c r="A18" t="s">
        <v>1212</v>
      </c>
      <c r="B18" s="138" t="str">
        <f>COVER!T17</f>
        <v>910 STATE HIGHWAY 54 EAST</v>
      </c>
    </row>
    <row r="19" spans="1:2" x14ac:dyDescent="0.2">
      <c r="A19" t="s">
        <v>941</v>
      </c>
      <c r="B19" s="138" t="str">
        <f>COVER!T25</f>
        <v>julie.floyd@frontier.com</v>
      </c>
    </row>
    <row r="20" spans="1:2" x14ac:dyDescent="0.2">
      <c r="A20" t="s">
        <v>942</v>
      </c>
      <c r="B20" s="138" t="str">
        <f>COVER!T19</f>
        <v>CLINTON</v>
      </c>
    </row>
    <row r="21" spans="1:2" x14ac:dyDescent="0.2">
      <c r="A21" t="s">
        <v>500</v>
      </c>
      <c r="B21" s="138" t="str">
        <f>COVER!X19</f>
        <v>IL</v>
      </c>
    </row>
    <row r="22" spans="1:2" x14ac:dyDescent="0.2">
      <c r="A22" t="s">
        <v>943</v>
      </c>
      <c r="B22" s="138">
        <f>COVER!Z19</f>
        <v>61727</v>
      </c>
    </row>
    <row r="23" spans="1:2" x14ac:dyDescent="0.2">
      <c r="A23" t="s">
        <v>1214</v>
      </c>
      <c r="B23" s="138" t="str">
        <f>COVER!T21</f>
        <v>217-935-8871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1034018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1256585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1119350</v>
      </c>
      <c r="D92" s="2" t="str">
        <f t="shared" si="0"/>
        <v>Error?</v>
      </c>
    </row>
    <row r="93" spans="1:4" x14ac:dyDescent="0.2">
      <c r="A93" s="5">
        <v>32</v>
      </c>
      <c r="B93" s="138">
        <f>'Assets-Liab 5-6'!C41</f>
        <v>1256585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1061345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1061345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15795</v>
      </c>
      <c r="C122" s="2" t="s">
        <v>594</v>
      </c>
      <c r="D122" s="2" t="str">
        <f t="shared" si="0"/>
        <v>Error?</v>
      </c>
    </row>
    <row r="123" spans="1:4" x14ac:dyDescent="0.2">
      <c r="A123" s="5">
        <v>62</v>
      </c>
      <c r="B123" s="138">
        <f>'Assets-Liab 5-6'!D39</f>
        <v>1045550</v>
      </c>
      <c r="D123" s="2" t="str">
        <f t="shared" si="0"/>
        <v>Error?</v>
      </c>
    </row>
    <row r="124" spans="1:4" x14ac:dyDescent="0.2">
      <c r="A124" s="5">
        <v>63</v>
      </c>
      <c r="B124" s="138">
        <f>'Assets-Liab 5-6'!D41</f>
        <v>1061345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374406</v>
      </c>
      <c r="D129" s="2" t="str">
        <f t="shared" si="1"/>
        <v>Error?</v>
      </c>
    </row>
    <row r="130" spans="1:4" x14ac:dyDescent="0.2">
      <c r="A130" s="5">
        <v>69</v>
      </c>
      <c r="B130" s="138">
        <f>'Assets-Liab 5-6'!E12</f>
        <v>0</v>
      </c>
      <c r="D130" s="2" t="str">
        <f t="shared" si="1"/>
        <v>Error?</v>
      </c>
    </row>
    <row r="131" spans="1:4" x14ac:dyDescent="0.2">
      <c r="A131" s="5">
        <v>70</v>
      </c>
      <c r="B131" s="138">
        <f>'Assets-Liab 5-6'!E13</f>
        <v>625440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625440</v>
      </c>
      <c r="D140" s="2" t="str">
        <f t="shared" si="1"/>
        <v>Error?</v>
      </c>
    </row>
    <row r="141" spans="1:4" x14ac:dyDescent="0.2">
      <c r="A141" s="5">
        <v>80</v>
      </c>
      <c r="B141" s="138">
        <f>'Assets-Liab 5-6'!E41</f>
        <v>625440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497059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731190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731190</v>
      </c>
      <c r="D170" s="2" t="str">
        <f t="shared" si="1"/>
        <v>Error?</v>
      </c>
    </row>
    <row r="171" spans="1:4" x14ac:dyDescent="0.2">
      <c r="A171" s="5">
        <v>110</v>
      </c>
      <c r="B171" s="138">
        <f>'Assets-Liab 5-6'!F41</f>
        <v>731190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208075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224787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224787</v>
      </c>
      <c r="D189" s="2" t="str">
        <f t="shared" si="1"/>
        <v>Error?</v>
      </c>
    </row>
    <row r="190" spans="1:4" x14ac:dyDescent="0.2">
      <c r="A190" s="5">
        <v>129</v>
      </c>
      <c r="B190" s="138">
        <f>'Assets-Liab 5-6'!G41</f>
        <v>224787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3449408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3531065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3531065</v>
      </c>
      <c r="D212" s="2" t="str">
        <f t="shared" si="2"/>
        <v>Error?</v>
      </c>
    </row>
    <row r="213" spans="1:4" x14ac:dyDescent="0.2">
      <c r="A213" s="12">
        <v>152</v>
      </c>
      <c r="B213" s="138">
        <f>'Assets-Liab 5-6'!H41</f>
        <v>3531065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67265</v>
      </c>
      <c r="D273" s="2" t="str">
        <f t="shared" si="3"/>
        <v>Error?</v>
      </c>
    </row>
    <row r="274" spans="1:4" x14ac:dyDescent="0.2">
      <c r="A274" s="5">
        <v>213</v>
      </c>
      <c r="B274" s="138">
        <f>'Assets-Liab 5-6'!M17</f>
        <v>26633897</v>
      </c>
      <c r="D274" s="2" t="str">
        <f t="shared" si="3"/>
        <v>Error?</v>
      </c>
    </row>
    <row r="275" spans="1:4" x14ac:dyDescent="0.2">
      <c r="A275" s="5">
        <v>214</v>
      </c>
      <c r="B275" s="138">
        <f>'Assets-Liab 5-6'!M18</f>
        <v>0</v>
      </c>
      <c r="D275" s="2" t="str">
        <f t="shared" si="3"/>
        <v>Error?</v>
      </c>
    </row>
    <row r="276" spans="1:4" x14ac:dyDescent="0.2">
      <c r="A276" s="5">
        <v>215</v>
      </c>
      <c r="B276" s="138">
        <f>'Assets-Liab 5-6'!M19</f>
        <v>1204617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27905779</v>
      </c>
      <c r="C279" s="2" t="s">
        <v>594</v>
      </c>
      <c r="D279" s="2" t="str">
        <f t="shared" si="3"/>
        <v>Error?</v>
      </c>
    </row>
    <row r="280" spans="1:4" x14ac:dyDescent="0.2">
      <c r="A280" s="5">
        <v>219</v>
      </c>
      <c r="B280" s="138">
        <f>'Assets-Liab 5-6'!M40</f>
        <v>27905779</v>
      </c>
      <c r="D280" s="2" t="str">
        <f t="shared" si="3"/>
        <v>Error?</v>
      </c>
    </row>
    <row r="281" spans="1:4" x14ac:dyDescent="0.2">
      <c r="A281" s="5">
        <v>220</v>
      </c>
      <c r="B281" s="138">
        <f>'Assets-Liab 5-6'!M41</f>
        <v>27905779</v>
      </c>
      <c r="C281" s="2" t="s">
        <v>594</v>
      </c>
      <c r="D281" s="2" t="str">
        <f t="shared" si="3"/>
        <v>Error?</v>
      </c>
    </row>
    <row r="282" spans="1:4" x14ac:dyDescent="0.2">
      <c r="A282" s="5">
        <v>221</v>
      </c>
      <c r="B282" s="138">
        <f>'Assets-Liab 5-6'!N21</f>
        <v>625440</v>
      </c>
      <c r="D282" s="2" t="str">
        <f t="shared" si="3"/>
        <v>Error?</v>
      </c>
    </row>
    <row r="283" spans="1:4" x14ac:dyDescent="0.2">
      <c r="A283" s="5">
        <v>222</v>
      </c>
      <c r="B283" s="138">
        <f>'Assets-Liab 5-6'!N22</f>
        <v>11199560</v>
      </c>
      <c r="D283" s="2" t="str">
        <f t="shared" si="3"/>
        <v>Error?</v>
      </c>
    </row>
    <row r="284" spans="1:4" x14ac:dyDescent="0.2">
      <c r="A284" s="5">
        <v>223</v>
      </c>
      <c r="B284" s="138">
        <f>'Assets-Liab 5-6'!N23</f>
        <v>11825000</v>
      </c>
      <c r="C284" s="2" t="s">
        <v>594</v>
      </c>
      <c r="D284" s="2" t="str">
        <f t="shared" si="3"/>
        <v>Error?</v>
      </c>
    </row>
    <row r="285" spans="1:4" x14ac:dyDescent="0.2">
      <c r="A285" s="5">
        <v>224</v>
      </c>
      <c r="B285" s="138">
        <f>'Assets-Liab 5-6'!N36</f>
        <v>11825000</v>
      </c>
      <c r="D285" s="2" t="str">
        <f t="shared" si="3"/>
        <v>Error?</v>
      </c>
    </row>
    <row r="286" spans="1:4" x14ac:dyDescent="0.2">
      <c r="A286" s="10">
        <v>225</v>
      </c>
      <c r="D286" s="2" t="str">
        <f t="shared" si="3"/>
        <v>OK</v>
      </c>
    </row>
    <row r="287" spans="1:4" x14ac:dyDescent="0.2">
      <c r="A287" s="5">
        <v>226</v>
      </c>
      <c r="B287" s="138">
        <f>'Assets-Liab 5-6'!N37</f>
        <v>11825000</v>
      </c>
      <c r="C287" s="2" t="s">
        <v>594</v>
      </c>
      <c r="D287" s="2" t="str">
        <f t="shared" si="3"/>
        <v>Error?</v>
      </c>
    </row>
    <row r="288" spans="1:4" x14ac:dyDescent="0.2">
      <c r="A288" s="5">
        <v>227</v>
      </c>
      <c r="B288" s="138">
        <f>'Assets-Liab 5-6'!N41</f>
        <v>11825000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147750</v>
      </c>
      <c r="D500" s="2" t="str">
        <f t="shared" si="6"/>
        <v>Error?</v>
      </c>
    </row>
    <row r="501" spans="1:4" x14ac:dyDescent="0.2">
      <c r="A501" s="5">
        <v>440</v>
      </c>
      <c r="B501" s="138">
        <f>'Acct Summary 7-8'!E35</f>
        <v>5227</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2604818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122679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3357626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66014</v>
      </c>
      <c r="D722" s="2" t="str">
        <f t="shared" si="10"/>
        <v>Error?</v>
      </c>
    </row>
    <row r="723" spans="1:4" x14ac:dyDescent="0.2">
      <c r="A723" s="5">
        <v>662</v>
      </c>
      <c r="B723" s="138">
        <f>'Expenditures 15-22'!C38</f>
        <v>27942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64475</v>
      </c>
      <c r="D726" s="2" t="str">
        <f t="shared" si="10"/>
        <v>Error?</v>
      </c>
    </row>
    <row r="727" spans="1:4" x14ac:dyDescent="0.2">
      <c r="A727" s="5">
        <v>666</v>
      </c>
      <c r="B727" s="138">
        <f>'Expenditures 15-22'!C42</f>
        <v>158431</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26547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26547</v>
      </c>
      <c r="C731" s="2" t="s">
        <v>594</v>
      </c>
      <c r="D731" s="2" t="str">
        <f t="shared" si="10"/>
        <v>Error?</v>
      </c>
    </row>
    <row r="732" spans="1:4" x14ac:dyDescent="0.2">
      <c r="A732" s="5">
        <v>671</v>
      </c>
      <c r="B732" s="138">
        <f>'Expenditures 15-22'!C49</f>
        <v>11191</v>
      </c>
      <c r="D732" s="2" t="str">
        <f t="shared" si="10"/>
        <v>Error?</v>
      </c>
    </row>
    <row r="733" spans="1:4" x14ac:dyDescent="0.2">
      <c r="A733" s="5">
        <v>672</v>
      </c>
      <c r="B733" s="138">
        <f>'Expenditures 15-22'!C50</f>
        <v>98125</v>
      </c>
      <c r="D733" s="2" t="str">
        <f t="shared" si="10"/>
        <v>Error?</v>
      </c>
    </row>
    <row r="734" spans="1:4" x14ac:dyDescent="0.2">
      <c r="A734" s="5">
        <v>673</v>
      </c>
      <c r="B734" s="138">
        <f>'Expenditures 15-22'!C53</f>
        <v>109316</v>
      </c>
      <c r="C734" s="2" t="s">
        <v>594</v>
      </c>
      <c r="D734" s="2" t="str">
        <f t="shared" si="10"/>
        <v>Error?</v>
      </c>
    </row>
    <row r="735" spans="1:4" x14ac:dyDescent="0.2">
      <c r="A735" s="5">
        <v>674</v>
      </c>
      <c r="B735" s="138">
        <f>'Expenditures 15-22'!C55</f>
        <v>516804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516804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67657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101211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168868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979966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4337592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719319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14453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818830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13981</v>
      </c>
      <c r="D780" s="2" t="str">
        <f t="shared" si="11"/>
        <v>Error?</v>
      </c>
    </row>
    <row r="781" spans="1:4" x14ac:dyDescent="0.2">
      <c r="A781" s="5">
        <v>720</v>
      </c>
      <c r="B781" s="138">
        <f>'Expenditures 15-22'!D38</f>
        <v>34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3757</v>
      </c>
      <c r="D784" s="2" t="str">
        <f t="shared" si="11"/>
        <v>Error?</v>
      </c>
    </row>
    <row r="785" spans="1:4" x14ac:dyDescent="0.2">
      <c r="A785" s="5">
        <v>724</v>
      </c>
      <c r="B785" s="138">
        <f>'Expenditures 15-22'!D42</f>
        <v>17772</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3244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3244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35838</v>
      </c>
      <c r="D791" s="2" t="str">
        <f t="shared" si="11"/>
        <v>Error?</v>
      </c>
    </row>
    <row r="792" spans="1:4" x14ac:dyDescent="0.2">
      <c r="A792" s="5">
        <v>731</v>
      </c>
      <c r="B792" s="138">
        <f>'Expenditures 15-22'!D53</f>
        <v>35838</v>
      </c>
      <c r="C792" s="2" t="s">
        <v>594</v>
      </c>
      <c r="D792" s="2" t="str">
        <f t="shared" si="11"/>
        <v>Error?</v>
      </c>
    </row>
    <row r="793" spans="1:4" x14ac:dyDescent="0.2">
      <c r="A793" s="5">
        <v>732</v>
      </c>
      <c r="B793" s="138">
        <f>'Expenditures 15-22'!D55</f>
        <v>115690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115690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2406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4796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7202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179746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998576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34104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24861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73861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48</v>
      </c>
      <c r="D842" s="2" t="str">
        <f t="shared" si="12"/>
        <v>Error?</v>
      </c>
    </row>
    <row r="843" spans="1:4" x14ac:dyDescent="0.2">
      <c r="A843" s="5">
        <v>782</v>
      </c>
      <c r="B843" s="138">
        <f>'Expenditures 15-22'!E42</f>
        <v>178</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2250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2250</v>
      </c>
      <c r="C847" s="2" t="s">
        <v>594</v>
      </c>
      <c r="D847" s="2" t="str">
        <f t="shared" si="12"/>
        <v>Error?</v>
      </c>
    </row>
    <row r="848" spans="1:4" x14ac:dyDescent="0.2">
      <c r="A848" s="5">
        <v>787</v>
      </c>
      <c r="B848" s="138">
        <f>'Expenditures 15-22'!E49</f>
        <v>111387</v>
      </c>
      <c r="D848" s="2" t="str">
        <f t="shared" si="12"/>
        <v>Error?</v>
      </c>
    </row>
    <row r="849" spans="1:4" x14ac:dyDescent="0.2">
      <c r="A849" s="5">
        <v>788</v>
      </c>
      <c r="B849" s="138">
        <f>'Expenditures 15-22'!E50</f>
        <v>2284</v>
      </c>
      <c r="D849" s="2" t="str">
        <f t="shared" si="12"/>
        <v>Error?</v>
      </c>
    </row>
    <row r="850" spans="1:4" x14ac:dyDescent="0.2">
      <c r="A850" s="5">
        <v>789</v>
      </c>
      <c r="B850" s="138">
        <f>'Expenditures 15-22'!E53</f>
        <v>113671</v>
      </c>
      <c r="C850" s="2" t="s">
        <v>594</v>
      </c>
      <c r="D850" s="2" t="str">
        <f t="shared" si="12"/>
        <v>Error?</v>
      </c>
    </row>
    <row r="851" spans="1:4" x14ac:dyDescent="0.2">
      <c r="A851" s="5">
        <v>790</v>
      </c>
      <c r="B851" s="138">
        <f>'Expenditures 15-22'!E55</f>
        <v>2624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2624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4640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4640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20380</v>
      </c>
      <c r="D867" s="2" t="str">
        <f t="shared" si="12"/>
        <v>Error?</v>
      </c>
    </row>
    <row r="868" spans="1:4" x14ac:dyDescent="0.2">
      <c r="A868" s="10">
        <v>807</v>
      </c>
      <c r="D868" s="2" t="str">
        <f t="shared" si="12"/>
        <v>OK</v>
      </c>
    </row>
    <row r="869" spans="1:4" x14ac:dyDescent="0.2">
      <c r="A869" s="5">
        <v>808</v>
      </c>
      <c r="B869" s="138">
        <f>'Expenditures 15-22'!E72</f>
        <v>20380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143743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217604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92637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11129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128946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600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600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5465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5465</v>
      </c>
      <c r="C905" s="2" t="s">
        <v>594</v>
      </c>
      <c r="D905" s="2" t="str">
        <f t="shared" si="13"/>
        <v>Error?</v>
      </c>
    </row>
    <row r="906" spans="1:4" x14ac:dyDescent="0.2">
      <c r="A906" s="5">
        <v>845</v>
      </c>
      <c r="B906" s="138">
        <f>'Expenditures 15-22'!F49</f>
        <v>7677</v>
      </c>
      <c r="D906" s="2" t="str">
        <f t="shared" si="13"/>
        <v>Error?</v>
      </c>
    </row>
    <row r="907" spans="1:4" x14ac:dyDescent="0.2">
      <c r="A907" s="5">
        <v>846</v>
      </c>
      <c r="B907" s="138">
        <f>'Expenditures 15-22'!F50</f>
        <v>688</v>
      </c>
      <c r="D907" s="2" t="str">
        <f t="shared" si="13"/>
        <v>Error?</v>
      </c>
    </row>
    <row r="908" spans="1:4" x14ac:dyDescent="0.2">
      <c r="A908" s="5">
        <v>847</v>
      </c>
      <c r="B908" s="138">
        <f>'Expenditures 15-22'!F53</f>
        <v>8365</v>
      </c>
      <c r="C908" s="2" t="s">
        <v>594</v>
      </c>
      <c r="D908" s="2" t="str">
        <f t="shared" si="13"/>
        <v>Error?</v>
      </c>
    </row>
    <row r="909" spans="1:4" x14ac:dyDescent="0.2">
      <c r="A909" s="5">
        <v>848</v>
      </c>
      <c r="B909" s="138">
        <f>'Expenditures 15-22'!F55</f>
        <v>333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176536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176536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191299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320245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20115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20115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1593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5585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7178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5076</v>
      </c>
      <c r="D1022" s="2" t="str">
        <f t="shared" si="14"/>
        <v>Error?</v>
      </c>
    </row>
    <row r="1023" spans="1:4" x14ac:dyDescent="0.2">
      <c r="A1023" s="5">
        <v>962</v>
      </c>
      <c r="B1023" s="138">
        <f>'Expenditures 15-22'!H50</f>
        <v>1241</v>
      </c>
      <c r="D1023" s="2" t="str">
        <f t="shared" ref="D1023:D1086" si="15">IF(ISBLANK(B1023),"OK",IF(A1023-B1023=0,"OK","Error?"))</f>
        <v>Error?</v>
      </c>
    </row>
    <row r="1024" spans="1:4" x14ac:dyDescent="0.2">
      <c r="A1024" s="5">
        <v>963</v>
      </c>
      <c r="B1024" s="138">
        <f>'Expenditures 15-22'!H53</f>
        <v>6317</v>
      </c>
      <c r="C1024" s="2" t="s">
        <v>594</v>
      </c>
      <c r="D1024" s="2" t="str">
        <f t="shared" si="15"/>
        <v>Error?</v>
      </c>
    </row>
    <row r="1025" spans="1:4" x14ac:dyDescent="0.2">
      <c r="A1025" s="5">
        <v>964</v>
      </c>
      <c r="B1025" s="138">
        <f>'Expenditures 15-22'!H55</f>
        <v>614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614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6931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510875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524984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3484408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178707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4438493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79995</v>
      </c>
      <c r="C1110" s="2" t="s">
        <v>594</v>
      </c>
      <c r="D1110" s="2" t="str">
        <f t="shared" si="16"/>
        <v>Error?</v>
      </c>
    </row>
    <row r="1111" spans="1:4" x14ac:dyDescent="0.2">
      <c r="A1111" s="5">
        <v>1050</v>
      </c>
      <c r="B1111" s="138">
        <f>'Expenditures 15-22'!K38</f>
        <v>28706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68280</v>
      </c>
      <c r="C1114" s="2" t="s">
        <v>594</v>
      </c>
      <c r="D1114" s="2" t="str">
        <f t="shared" si="16"/>
        <v>Error?</v>
      </c>
    </row>
    <row r="1115" spans="1:4" x14ac:dyDescent="0.2">
      <c r="A1115" s="5">
        <v>1054</v>
      </c>
      <c r="B1115" s="138">
        <f>'Expenditures 15-22'!K42</f>
        <v>176981</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37506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37506</v>
      </c>
      <c r="C1119" s="2" t="s">
        <v>594</v>
      </c>
      <c r="D1119" s="2" t="str">
        <f t="shared" si="16"/>
        <v>Error?</v>
      </c>
    </row>
    <row r="1120" spans="1:4" x14ac:dyDescent="0.2">
      <c r="A1120" s="5">
        <v>1059</v>
      </c>
      <c r="B1120" s="138">
        <f>'Expenditures 15-22'!K49</f>
        <v>135331</v>
      </c>
      <c r="C1120" s="2" t="s">
        <v>594</v>
      </c>
      <c r="D1120" s="2" t="str">
        <f t="shared" si="16"/>
        <v>Error?</v>
      </c>
    </row>
    <row r="1121" spans="1:4" x14ac:dyDescent="0.2">
      <c r="A1121" s="5">
        <v>1060</v>
      </c>
      <c r="B1121" s="138">
        <f>'Expenditures 15-22'!K50</f>
        <v>138176</v>
      </c>
      <c r="C1121" s="2" t="s">
        <v>594</v>
      </c>
      <c r="D1121" s="2" t="str">
        <f t="shared" si="16"/>
        <v>Error?</v>
      </c>
    </row>
    <row r="1122" spans="1:4" x14ac:dyDescent="0.2">
      <c r="A1122" s="5">
        <v>1061</v>
      </c>
      <c r="B1122" s="138">
        <f>'Expenditures 15-22'!K53</f>
        <v>273507</v>
      </c>
      <c r="C1122" s="2" t="s">
        <v>594</v>
      </c>
      <c r="D1122" s="2" t="str">
        <f t="shared" si="16"/>
        <v>Error?</v>
      </c>
    </row>
    <row r="1123" spans="1:4" x14ac:dyDescent="0.2">
      <c r="A1123" s="5">
        <v>1062</v>
      </c>
      <c r="B1123" s="138">
        <f>'Expenditures 15-22'!K55</f>
        <v>636065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636065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70063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287183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357246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20380</v>
      </c>
      <c r="C1139" s="2" t="s">
        <v>594</v>
      </c>
      <c r="D1139" s="2" t="str">
        <f t="shared" si="16"/>
        <v>Error?</v>
      </c>
    </row>
    <row r="1140" spans="1:4" x14ac:dyDescent="0.2">
      <c r="A1140" s="10">
        <v>1079</v>
      </c>
      <c r="D1140" s="2" t="str">
        <f t="shared" si="16"/>
        <v>OK</v>
      </c>
    </row>
    <row r="1141" spans="1:4" x14ac:dyDescent="0.2">
      <c r="A1141" s="5">
        <v>1080</v>
      </c>
      <c r="B1141" s="138">
        <f>'Expenditures 15-22'!K72</f>
        <v>20380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1501685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510875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6451053</v>
      </c>
      <c r="C1152" s="2" t="s">
        <v>594</v>
      </c>
      <c r="D1152" s="2" t="str">
        <f t="shared" si="17"/>
        <v>Error?</v>
      </c>
    </row>
    <row r="1153" spans="1:4" x14ac:dyDescent="0.2">
      <c r="A1153" s="5">
        <v>1092</v>
      </c>
      <c r="B1153" s="138">
        <f>'Expenditures 15-22'!K115</f>
        <v>141691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314034</v>
      </c>
      <c r="D1221" s="2" t="str">
        <f t="shared" si="18"/>
        <v>Error?</v>
      </c>
    </row>
    <row r="1222" spans="1:4" x14ac:dyDescent="0.2">
      <c r="A1222" s="10">
        <v>1161</v>
      </c>
      <c r="D1222" s="2" t="str">
        <f t="shared" si="18"/>
        <v>OK</v>
      </c>
    </row>
    <row r="1223" spans="1:4" x14ac:dyDescent="0.2">
      <c r="A1223" s="5">
        <v>1162</v>
      </c>
      <c r="B1223" s="138">
        <f>'Expenditures 15-22'!C127</f>
        <v>314034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314034</v>
      </c>
      <c r="C1225" s="2" t="s">
        <v>594</v>
      </c>
      <c r="D1225" s="2" t="str">
        <f t="shared" si="18"/>
        <v>Error?</v>
      </c>
    </row>
    <row r="1226" spans="1:4" x14ac:dyDescent="0.2">
      <c r="A1226" s="5">
        <v>1165</v>
      </c>
      <c r="B1226" s="138">
        <f>'Expenditures 15-22'!C151</f>
        <v>314034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18751</v>
      </c>
      <c r="D1229" s="2" t="str">
        <f t="shared" si="18"/>
        <v>Error?</v>
      </c>
    </row>
    <row r="1230" spans="1:4" x14ac:dyDescent="0.2">
      <c r="A1230" s="10">
        <v>1169</v>
      </c>
      <c r="D1230" s="2" t="str">
        <f t="shared" si="18"/>
        <v>OK</v>
      </c>
    </row>
    <row r="1231" spans="1:4" x14ac:dyDescent="0.2">
      <c r="A1231" s="5">
        <v>1170</v>
      </c>
      <c r="B1231" s="138">
        <f>'Expenditures 15-22'!D127</f>
        <v>18751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18751</v>
      </c>
      <c r="C1233" s="2" t="s">
        <v>594</v>
      </c>
      <c r="D1233" s="2" t="str">
        <f t="shared" si="18"/>
        <v>Error?</v>
      </c>
    </row>
    <row r="1234" spans="1:4" x14ac:dyDescent="0.2">
      <c r="A1234" s="5">
        <v>1173</v>
      </c>
      <c r="B1234" s="138">
        <f>'Expenditures 15-22'!D151</f>
        <v>18751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109829</v>
      </c>
      <c r="D1237" s="2" t="str">
        <f t="shared" si="18"/>
        <v>Error?</v>
      </c>
    </row>
    <row r="1238" spans="1:4" x14ac:dyDescent="0.2">
      <c r="A1238" s="10">
        <v>1177</v>
      </c>
      <c r="D1238" s="2" t="str">
        <f t="shared" si="18"/>
        <v>OK</v>
      </c>
    </row>
    <row r="1239" spans="1:4" x14ac:dyDescent="0.2">
      <c r="A1239" s="5">
        <v>1178</v>
      </c>
      <c r="B1239" s="138">
        <f>'Expenditures 15-22'!E127</f>
        <v>109829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109829</v>
      </c>
      <c r="C1241" s="2" t="s">
        <v>594</v>
      </c>
      <c r="D1241" s="2" t="str">
        <f t="shared" si="18"/>
        <v>Error?</v>
      </c>
    </row>
    <row r="1242" spans="1:4" x14ac:dyDescent="0.2">
      <c r="A1242" s="5">
        <v>1181</v>
      </c>
      <c r="B1242" s="138">
        <f>'Expenditures 15-22'!E151</f>
        <v>109829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306555</v>
      </c>
      <c r="D1245" s="2" t="str">
        <f t="shared" si="18"/>
        <v>Error?</v>
      </c>
    </row>
    <row r="1246" spans="1:4" x14ac:dyDescent="0.2">
      <c r="A1246" s="10">
        <v>1185</v>
      </c>
      <c r="D1246" s="2" t="str">
        <f t="shared" si="18"/>
        <v>OK</v>
      </c>
    </row>
    <row r="1247" spans="1:4" x14ac:dyDescent="0.2">
      <c r="A1247" s="5">
        <v>1186</v>
      </c>
      <c r="B1247" s="138">
        <f>'Expenditures 15-22'!F127</f>
        <v>306555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306555</v>
      </c>
      <c r="C1249" s="2" t="s">
        <v>594</v>
      </c>
      <c r="D1249" s="2" t="str">
        <f t="shared" si="18"/>
        <v>Error?</v>
      </c>
    </row>
    <row r="1250" spans="1:4" x14ac:dyDescent="0.2">
      <c r="A1250" s="5">
        <v>1189</v>
      </c>
      <c r="B1250" s="138">
        <f>'Expenditures 15-22'!F151</f>
        <v>306555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98075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98075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98075</v>
      </c>
      <c r="C1258" s="2" t="s">
        <v>594</v>
      </c>
      <c r="D1258" s="2" t="str">
        <f t="shared" si="18"/>
        <v>Error?</v>
      </c>
    </row>
    <row r="1259" spans="1:4" x14ac:dyDescent="0.2">
      <c r="A1259" s="5">
        <v>1198</v>
      </c>
      <c r="B1259" s="138">
        <f>'Expenditures 15-22'!G151</f>
        <v>98075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5496</v>
      </c>
      <c r="D1262" s="2" t="str">
        <f t="shared" si="18"/>
        <v>Error?</v>
      </c>
    </row>
    <row r="1263" spans="1:4" x14ac:dyDescent="0.2">
      <c r="A1263" s="10">
        <v>1202</v>
      </c>
      <c r="D1263" s="2" t="str">
        <f t="shared" si="18"/>
        <v>OK</v>
      </c>
    </row>
    <row r="1264" spans="1:4" x14ac:dyDescent="0.2">
      <c r="A1264" s="5">
        <v>1203</v>
      </c>
      <c r="B1264" s="138">
        <f>'Expenditures 15-22'!H127</f>
        <v>5496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5496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5496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852740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852740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852740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852740</v>
      </c>
      <c r="C1288" s="2" t="s">
        <v>594</v>
      </c>
      <c r="D1288" s="2" t="str">
        <f t="shared" si="19"/>
        <v>Error?</v>
      </c>
    </row>
    <row r="1289" spans="1:4" x14ac:dyDescent="0.2">
      <c r="A1289" s="5">
        <v>1228</v>
      </c>
      <c r="B1289" s="138">
        <f>'Expenditures 15-22'!K152</f>
        <v>-66129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225768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7850000</v>
      </c>
      <c r="D1315" s="2" t="str">
        <f t="shared" si="19"/>
        <v>Error?</v>
      </c>
    </row>
    <row r="1316" spans="1:4" x14ac:dyDescent="0.2">
      <c r="A1316" s="5">
        <v>1255</v>
      </c>
      <c r="B1316" s="138">
        <f>'Expenditures 15-22'!H171</f>
        <v>122660</v>
      </c>
      <c r="D1316" s="2" t="str">
        <f t="shared" si="19"/>
        <v>Error?</v>
      </c>
    </row>
    <row r="1317" spans="1:4" x14ac:dyDescent="0.2">
      <c r="A1317" s="5">
        <v>1256</v>
      </c>
      <c r="B1317" s="138">
        <f>'Expenditures 15-22'!H172</f>
        <v>8198428</v>
      </c>
      <c r="C1317" s="2" t="s">
        <v>594</v>
      </c>
      <c r="D1317" s="2" t="str">
        <f t="shared" si="19"/>
        <v>Error?</v>
      </c>
    </row>
    <row r="1318" spans="1:4" x14ac:dyDescent="0.2">
      <c r="A1318" s="5">
        <v>1257</v>
      </c>
      <c r="B1318" s="138">
        <f>'Expenditures 15-22'!H174</f>
        <v>8198428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225768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7850000</v>
      </c>
      <c r="C1329" s="2" t="s">
        <v>594</v>
      </c>
      <c r="D1329" s="2" t="str">
        <f t="shared" si="19"/>
        <v>Error?</v>
      </c>
    </row>
    <row r="1330" spans="1:4" x14ac:dyDescent="0.2">
      <c r="A1330" s="5">
        <v>1269</v>
      </c>
      <c r="B1330" s="138">
        <f>'Expenditures 15-22'!K171</f>
        <v>122660</v>
      </c>
      <c r="C1330" s="2" t="s">
        <v>594</v>
      </c>
      <c r="D1330" s="2" t="str">
        <f t="shared" si="19"/>
        <v>Error?</v>
      </c>
    </row>
    <row r="1331" spans="1:4" x14ac:dyDescent="0.2">
      <c r="A1331" s="5">
        <v>1270</v>
      </c>
      <c r="B1331" s="138">
        <f>'Expenditures 15-22'!K172</f>
        <v>8198428</v>
      </c>
      <c r="C1331" s="2" t="s">
        <v>594</v>
      </c>
      <c r="D1331" s="2" t="str">
        <f t="shared" si="19"/>
        <v>Error?</v>
      </c>
    </row>
    <row r="1332" spans="1:4" x14ac:dyDescent="0.2">
      <c r="A1332" s="5">
        <v>1271</v>
      </c>
      <c r="B1332" s="138">
        <f>'Expenditures 15-22'!K174</f>
        <v>8198428</v>
      </c>
      <c r="C1332" s="2" t="s">
        <v>594</v>
      </c>
      <c r="D1332" s="2" t="str">
        <f t="shared" si="19"/>
        <v>Error?</v>
      </c>
    </row>
    <row r="1333" spans="1:4" x14ac:dyDescent="0.2">
      <c r="A1333" s="5">
        <v>1272</v>
      </c>
      <c r="B1333" s="138">
        <f>'Expenditures 15-22'!K175</f>
        <v>-6902403</v>
      </c>
      <c r="C1333" s="2" t="s">
        <v>594</v>
      </c>
      <c r="D1333" s="2" t="str">
        <f t="shared" si="19"/>
        <v>Error?</v>
      </c>
    </row>
    <row r="1334" spans="1:4" x14ac:dyDescent="0.2">
      <c r="A1334" s="10">
        <v>1273</v>
      </c>
      <c r="D1334" s="2" t="str">
        <f t="shared" si="19"/>
        <v>OK</v>
      </c>
    </row>
    <row r="1335" spans="1:4" x14ac:dyDescent="0.2">
      <c r="A1335" s="5">
        <v>1274</v>
      </c>
      <c r="B1335" s="138">
        <f>'Expenditures 15-22'!C182</f>
        <v>286053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286053</v>
      </c>
      <c r="C1339" s="2" t="s">
        <v>594</v>
      </c>
      <c r="D1339" s="2" t="str">
        <f t="shared" si="19"/>
        <v>Error?</v>
      </c>
    </row>
    <row r="1340" spans="1:4" x14ac:dyDescent="0.2">
      <c r="A1340" s="5">
        <v>1279</v>
      </c>
      <c r="B1340" s="138">
        <f>'Expenditures 15-22'!C210</f>
        <v>286053</v>
      </c>
      <c r="C1340" s="2" t="s">
        <v>594</v>
      </c>
      <c r="D1340" s="2" t="str">
        <f t="shared" si="19"/>
        <v>Error?</v>
      </c>
    </row>
    <row r="1341" spans="1:4" x14ac:dyDescent="0.2">
      <c r="A1341" s="5">
        <v>1280</v>
      </c>
      <c r="B1341" s="138">
        <f>'Expenditures 15-22'!D182</f>
        <v>131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131</v>
      </c>
      <c r="C1345" s="2" t="s">
        <v>594</v>
      </c>
      <c r="D1345" s="2" t="str">
        <f t="shared" si="20"/>
        <v>Error?</v>
      </c>
    </row>
    <row r="1346" spans="1:4" x14ac:dyDescent="0.2">
      <c r="A1346" s="5">
        <v>1285</v>
      </c>
      <c r="B1346" s="138">
        <f>'Expenditures 15-22'!D210</f>
        <v>131</v>
      </c>
      <c r="C1346" s="2" t="s">
        <v>594</v>
      </c>
      <c r="D1346" s="2" t="str">
        <f t="shared" si="20"/>
        <v>Error?</v>
      </c>
    </row>
    <row r="1347" spans="1:4" x14ac:dyDescent="0.2">
      <c r="A1347" s="5">
        <v>1286</v>
      </c>
      <c r="B1347" s="138">
        <f>'Expenditures 15-22'!E182</f>
        <v>68591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68591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68591</v>
      </c>
      <c r="C1353" s="2" t="s">
        <v>594</v>
      </c>
      <c r="D1353" s="2" t="str">
        <f t="shared" si="20"/>
        <v>Error?</v>
      </c>
    </row>
    <row r="1354" spans="1:4" x14ac:dyDescent="0.2">
      <c r="A1354" s="5">
        <v>1293</v>
      </c>
      <c r="B1354" s="138">
        <f>'Expenditures 15-22'!F182</f>
        <v>64779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64779</v>
      </c>
      <c r="C1358" s="2" t="s">
        <v>594</v>
      </c>
      <c r="D1358" s="2" t="str">
        <f t="shared" si="20"/>
        <v>Error?</v>
      </c>
    </row>
    <row r="1359" spans="1:4" x14ac:dyDescent="0.2">
      <c r="A1359" s="5">
        <v>1298</v>
      </c>
      <c r="B1359" s="138">
        <f>'Expenditures 15-22'!F210</f>
        <v>64779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636891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636891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636891</v>
      </c>
      <c r="C1388" s="2" t="s">
        <v>594</v>
      </c>
      <c r="D1388" s="2" t="str">
        <f t="shared" si="20"/>
        <v>Error?</v>
      </c>
    </row>
    <row r="1389" spans="1:4" x14ac:dyDescent="0.2">
      <c r="A1389" s="5">
        <v>1328</v>
      </c>
      <c r="B1389" s="138">
        <f>'Expenditures 15-22'!K211</f>
        <v>47202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5497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72911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895</v>
      </c>
      <c r="D1412" s="2" t="str">
        <f t="shared" si="21"/>
        <v>Error?</v>
      </c>
    </row>
    <row r="1413" spans="1:4" x14ac:dyDescent="0.2">
      <c r="A1413" s="5">
        <v>1352</v>
      </c>
      <c r="B1413" s="138">
        <f>'Expenditures 15-22'!D234</f>
        <v>4684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9200</v>
      </c>
      <c r="D1416" s="2" t="str">
        <f t="shared" si="21"/>
        <v>Error?</v>
      </c>
    </row>
    <row r="1417" spans="1:4" x14ac:dyDescent="0.2">
      <c r="A1417" s="5">
        <v>1356</v>
      </c>
      <c r="B1417" s="138">
        <f>'Expenditures 15-22'!D238</f>
        <v>14779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4339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4339</v>
      </c>
      <c r="C1421" s="2" t="s">
        <v>594</v>
      </c>
      <c r="D1421" s="2" t="str">
        <f t="shared" si="21"/>
        <v>Error?</v>
      </c>
    </row>
    <row r="1422" spans="1:4" x14ac:dyDescent="0.2">
      <c r="A1422" s="5">
        <v>1361</v>
      </c>
      <c r="B1422" s="138">
        <f>'Expenditures 15-22'!D245</f>
        <v>374</v>
      </c>
      <c r="D1422" s="2" t="str">
        <f t="shared" si="21"/>
        <v>Error?</v>
      </c>
    </row>
    <row r="1423" spans="1:4" x14ac:dyDescent="0.2">
      <c r="A1423" s="5">
        <v>1362</v>
      </c>
      <c r="B1423" s="138">
        <f>'Expenditures 15-22'!D246</f>
        <v>2080</v>
      </c>
      <c r="D1423" s="2" t="str">
        <f t="shared" si="21"/>
        <v>Error?</v>
      </c>
    </row>
    <row r="1424" spans="1:4" x14ac:dyDescent="0.2">
      <c r="A1424" s="5">
        <v>1363</v>
      </c>
      <c r="B1424" s="138">
        <f>'Expenditures 15-22'!D257</f>
        <v>2454</v>
      </c>
      <c r="C1424" s="2" t="s">
        <v>594</v>
      </c>
      <c r="D1424" s="2" t="str">
        <f t="shared" si="21"/>
        <v>Error?</v>
      </c>
    </row>
    <row r="1425" spans="1:4" x14ac:dyDescent="0.2">
      <c r="A1425" s="5">
        <v>1364</v>
      </c>
      <c r="B1425" s="138">
        <f>'Expenditures 15-22'!D259</f>
        <v>29444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29444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11036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47749</v>
      </c>
      <c r="D1431" s="2" t="str">
        <f t="shared" si="21"/>
        <v>Error?</v>
      </c>
    </row>
    <row r="1432" spans="1:4" x14ac:dyDescent="0.2">
      <c r="A1432" s="5">
        <v>1371</v>
      </c>
      <c r="B1432" s="138">
        <f>'Expenditures 15-22'!D267</f>
        <v>28564</v>
      </c>
      <c r="D1432" s="2" t="str">
        <f t="shared" si="21"/>
        <v>Error?</v>
      </c>
    </row>
    <row r="1433" spans="1:4" x14ac:dyDescent="0.2">
      <c r="A1433" s="5">
        <v>1372</v>
      </c>
      <c r="B1433" s="138">
        <f>'Expenditures 15-22'!D268</f>
        <v>13344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100693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151709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260459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5497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72911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895</v>
      </c>
      <c r="C1476" s="2" t="s">
        <v>594</v>
      </c>
      <c r="D1476" s="2" t="str">
        <f t="shared" si="22"/>
        <v>Error?</v>
      </c>
    </row>
    <row r="1477" spans="1:4" x14ac:dyDescent="0.2">
      <c r="A1477" s="5">
        <v>1416</v>
      </c>
      <c r="B1477" s="138">
        <f>'Expenditures 15-22'!K234</f>
        <v>4684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9200</v>
      </c>
      <c r="C1480" s="2" t="s">
        <v>594</v>
      </c>
      <c r="D1480" s="2" t="str">
        <f t="shared" si="22"/>
        <v>Error?</v>
      </c>
    </row>
    <row r="1481" spans="1:4" x14ac:dyDescent="0.2">
      <c r="A1481" s="5">
        <v>1420</v>
      </c>
      <c r="B1481" s="138">
        <f>'Expenditures 15-22'!K238</f>
        <v>14779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4339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4339</v>
      </c>
      <c r="C1485" s="2" t="s">
        <v>594</v>
      </c>
      <c r="D1485" s="2" t="str">
        <f t="shared" si="22"/>
        <v>Error?</v>
      </c>
    </row>
    <row r="1486" spans="1:4" x14ac:dyDescent="0.2">
      <c r="A1486" s="5">
        <v>1425</v>
      </c>
      <c r="B1486" s="138">
        <f>'Expenditures 15-22'!K245</f>
        <v>374</v>
      </c>
      <c r="C1486" s="2" t="s">
        <v>594</v>
      </c>
      <c r="D1486" s="2" t="str">
        <f t="shared" si="22"/>
        <v>Error?</v>
      </c>
    </row>
    <row r="1487" spans="1:4" x14ac:dyDescent="0.2">
      <c r="A1487" s="5">
        <v>1426</v>
      </c>
      <c r="B1487" s="138">
        <f>'Expenditures 15-22'!K246</f>
        <v>2080</v>
      </c>
      <c r="C1487" s="2" t="s">
        <v>594</v>
      </c>
      <c r="D1487" s="2" t="str">
        <f t="shared" si="22"/>
        <v>Error?</v>
      </c>
    </row>
    <row r="1488" spans="1:4" x14ac:dyDescent="0.2">
      <c r="A1488" s="5">
        <v>1427</v>
      </c>
      <c r="B1488" s="138">
        <f>'Expenditures 15-22'!K257</f>
        <v>2454</v>
      </c>
      <c r="C1488" s="2" t="s">
        <v>594</v>
      </c>
      <c r="D1488" s="2" t="str">
        <f t="shared" si="22"/>
        <v>Error?</v>
      </c>
    </row>
    <row r="1489" spans="1:4" x14ac:dyDescent="0.2">
      <c r="A1489" s="5">
        <v>1428</v>
      </c>
      <c r="B1489" s="138">
        <f>'Expenditures 15-22'!K259</f>
        <v>29444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29444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11036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47749</v>
      </c>
      <c r="C1495" s="2" t="s">
        <v>594</v>
      </c>
      <c r="D1495" s="2" t="str">
        <f t="shared" si="22"/>
        <v>Error?</v>
      </c>
    </row>
    <row r="1496" spans="1:4" x14ac:dyDescent="0.2">
      <c r="A1496" s="5">
        <v>1435</v>
      </c>
      <c r="B1496" s="138">
        <f>'Expenditures 15-22'!K267</f>
        <v>28564</v>
      </c>
      <c r="C1496" s="2" t="s">
        <v>594</v>
      </c>
      <c r="D1496" s="2" t="str">
        <f t="shared" si="22"/>
        <v>Error?</v>
      </c>
    </row>
    <row r="1497" spans="1:4" x14ac:dyDescent="0.2">
      <c r="A1497" s="5">
        <v>1436</v>
      </c>
      <c r="B1497" s="138">
        <f>'Expenditures 15-22'!K268</f>
        <v>13344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100693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151709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260459</v>
      </c>
      <c r="C1517" s="2" t="s">
        <v>594</v>
      </c>
      <c r="D1517" s="2" t="str">
        <f t="shared" si="22"/>
        <v>Error?</v>
      </c>
    </row>
    <row r="1518" spans="1:4" x14ac:dyDescent="0.2">
      <c r="A1518" s="5">
        <v>1457</v>
      </c>
      <c r="B1518" s="138">
        <f>'Expenditures 15-22'!K296</f>
        <v>64203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36565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36565</v>
      </c>
      <c r="C1535" s="2" t="s">
        <v>594</v>
      </c>
      <c r="D1535" s="2" t="str">
        <f t="shared" ref="D1535:D1598" si="23">IF(ISBLANK(B1535),"OK",IF(A1535-B1535=0,"OK","Error?"))</f>
        <v>Error?</v>
      </c>
    </row>
    <row r="1536" spans="1:4" x14ac:dyDescent="0.2">
      <c r="A1536" s="5">
        <v>1475</v>
      </c>
      <c r="B1536" s="138">
        <f>'Expenditures 15-22'!E312</f>
        <v>36565</v>
      </c>
      <c r="C1536" s="2" t="s">
        <v>594</v>
      </c>
      <c r="D1536" s="2" t="str">
        <f t="shared" si="23"/>
        <v>Error?</v>
      </c>
    </row>
    <row r="1537" spans="1:4" x14ac:dyDescent="0.2">
      <c r="A1537" s="5">
        <v>1476</v>
      </c>
      <c r="B1537" s="138">
        <f>'Expenditures 15-22'!F301</f>
        <v>1680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1680</v>
      </c>
      <c r="C1541" s="2" t="s">
        <v>594</v>
      </c>
      <c r="D1541" s="2" t="str">
        <f t="shared" si="23"/>
        <v>Error?</v>
      </c>
    </row>
    <row r="1542" spans="1:4" x14ac:dyDescent="0.2">
      <c r="A1542" s="5">
        <v>1481</v>
      </c>
      <c r="B1542" s="138">
        <f>'Expenditures 15-22'!F312</f>
        <v>1680</v>
      </c>
      <c r="C1542" s="2" t="s">
        <v>594</v>
      </c>
      <c r="D1542" s="2" t="str">
        <f t="shared" si="23"/>
        <v>Error?</v>
      </c>
    </row>
    <row r="1543" spans="1:4" x14ac:dyDescent="0.2">
      <c r="A1543" s="5">
        <v>1482</v>
      </c>
      <c r="B1543" s="138">
        <f>'Expenditures 15-22'!G301</f>
        <v>2281310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2281310</v>
      </c>
      <c r="C1547" s="2" t="s">
        <v>594</v>
      </c>
      <c r="D1547" s="2" t="str">
        <f t="shared" si="23"/>
        <v>Error?</v>
      </c>
    </row>
    <row r="1548" spans="1:4" x14ac:dyDescent="0.2">
      <c r="A1548" s="5">
        <v>1487</v>
      </c>
      <c r="B1548" s="138">
        <f>'Expenditures 15-22'!G312</f>
        <v>2281310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2319555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2319555</v>
      </c>
      <c r="C1559" s="2" t="s">
        <v>594</v>
      </c>
      <c r="D1559" s="2" t="str">
        <f t="shared" si="23"/>
        <v>Error?</v>
      </c>
    </row>
    <row r="1560" spans="1:4" x14ac:dyDescent="0.2">
      <c r="A1560" s="5">
        <v>1499</v>
      </c>
      <c r="B1560" s="138">
        <f>'Expenditures 15-22'!K312</f>
        <v>2319555</v>
      </c>
      <c r="C1560" s="2" t="s">
        <v>594</v>
      </c>
      <c r="D1560" s="2" t="str">
        <f t="shared" si="23"/>
        <v>Error?</v>
      </c>
    </row>
    <row r="1561" spans="1:4" x14ac:dyDescent="0.2">
      <c r="A1561" s="5">
        <v>1500</v>
      </c>
      <c r="B1561" s="138">
        <f>'Expenditures 15-22'!K313</f>
        <v>-2230134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1114699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1256585</v>
      </c>
      <c r="C1630" s="2" t="s">
        <v>594</v>
      </c>
      <c r="D1630" s="2" t="str">
        <f t="shared" si="24"/>
        <v>Error?</v>
      </c>
    </row>
    <row r="1631" spans="1:4" x14ac:dyDescent="0.2">
      <c r="A1631" s="5">
        <v>1570</v>
      </c>
      <c r="B1631" s="138">
        <f>'Acct Summary 7-8'!D79</f>
        <v>1111679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1045550</v>
      </c>
      <c r="C1644" s="2" t="s">
        <v>594</v>
      </c>
      <c r="D1644" s="2" t="str">
        <f t="shared" si="24"/>
        <v>Error?</v>
      </c>
    </row>
    <row r="1645" spans="1:4" x14ac:dyDescent="0.2">
      <c r="A1645" s="5">
        <v>1584</v>
      </c>
      <c r="B1645" s="138">
        <f>'Acct Summary 7-8'!E79</f>
        <v>600031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625440</v>
      </c>
      <c r="C1658" s="2" t="s">
        <v>594</v>
      </c>
      <c r="D1658" s="2" t="str">
        <f t="shared" si="24"/>
        <v>Error?</v>
      </c>
    </row>
    <row r="1659" spans="1:4" x14ac:dyDescent="0.2">
      <c r="A1659" s="5">
        <v>1598</v>
      </c>
      <c r="B1659" s="138">
        <f>'Acct Summary 7-8'!F79</f>
        <v>683988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731190</v>
      </c>
      <c r="C1672" s="2" t="s">
        <v>594</v>
      </c>
      <c r="D1672" s="2" t="str">
        <f t="shared" si="25"/>
        <v>Error?</v>
      </c>
    </row>
    <row r="1673" spans="1:4" x14ac:dyDescent="0.2">
      <c r="A1673" s="5">
        <v>1612</v>
      </c>
      <c r="B1673" s="138">
        <f>'Acct Summary 7-8'!G79</f>
        <v>160584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224787</v>
      </c>
      <c r="C1686" s="2" t="s">
        <v>594</v>
      </c>
      <c r="D1686" s="2" t="str">
        <f t="shared" si="25"/>
        <v>Error?</v>
      </c>
    </row>
    <row r="1687" spans="1:4" x14ac:dyDescent="0.2">
      <c r="A1687" s="5">
        <v>1626</v>
      </c>
      <c r="B1687" s="138">
        <f>'Acct Summary 7-8'!H79</f>
        <v>199234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3531065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3159879</v>
      </c>
      <c r="C1744" s="2" t="s">
        <v>594</v>
      </c>
      <c r="D1744" s="2" t="str">
        <f t="shared" si="26"/>
        <v>Error?</v>
      </c>
    </row>
    <row r="1745" spans="1:5" x14ac:dyDescent="0.2">
      <c r="A1745" s="5">
        <v>1684</v>
      </c>
      <c r="B1745" s="138">
        <f>'Tax Sched 23'!B5</f>
        <v>642251</v>
      </c>
      <c r="C1745" s="2" t="s">
        <v>594</v>
      </c>
      <c r="D1745" s="2" t="str">
        <f t="shared" si="26"/>
        <v>Error?</v>
      </c>
    </row>
    <row r="1746" spans="1:5" x14ac:dyDescent="0.2">
      <c r="A1746" s="5">
        <v>1685</v>
      </c>
      <c r="B1746" s="138">
        <f>'Tax Sched 23'!B6</f>
        <v>762563</v>
      </c>
      <c r="C1746" s="2" t="s">
        <v>594</v>
      </c>
      <c r="D1746" s="2" t="str">
        <f t="shared" si="26"/>
        <v>Error?</v>
      </c>
    </row>
    <row r="1747" spans="1:5" x14ac:dyDescent="0.2">
      <c r="A1747" s="5">
        <v>1686</v>
      </c>
      <c r="B1747" s="138">
        <f>'Tax Sched 23'!B7</f>
        <v>256901</v>
      </c>
      <c r="C1747" s="2" t="s">
        <v>594</v>
      </c>
      <c r="D1747" s="2" t="str">
        <f t="shared" si="26"/>
        <v>Error?</v>
      </c>
    </row>
    <row r="1748" spans="1:5" x14ac:dyDescent="0.2">
      <c r="A1748" s="5">
        <v>1687</v>
      </c>
      <c r="B1748" s="138">
        <f>'Tax Sched 23'!B8</f>
        <v>191391</v>
      </c>
      <c r="C1748" s="2" t="s">
        <v>594</v>
      </c>
      <c r="D1748" s="2" t="str">
        <f t="shared" si="26"/>
        <v>Error?</v>
      </c>
    </row>
    <row r="1749" spans="1:5" x14ac:dyDescent="0.2">
      <c r="A1749" s="5">
        <v>1688</v>
      </c>
      <c r="B1749" s="138">
        <f>'Tax Sched 23'!B10</f>
        <v>64224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279727</v>
      </c>
      <c r="C1752" s="2" t="s">
        <v>594</v>
      </c>
      <c r="D1752" s="2" t="str">
        <f t="shared" si="26"/>
        <v>Error?</v>
      </c>
    </row>
    <row r="1753" spans="1:5" x14ac:dyDescent="0.2">
      <c r="A1753" s="5">
        <v>1692</v>
      </c>
      <c r="B1753" s="138">
        <f>'Tax Sched 23'!B12</f>
        <v>64224</v>
      </c>
      <c r="C1753" s="2" t="s">
        <v>594</v>
      </c>
      <c r="D1753" s="2" t="str">
        <f t="shared" si="26"/>
        <v>Error?</v>
      </c>
    </row>
    <row r="1754" spans="1:5" x14ac:dyDescent="0.2">
      <c r="A1754" s="5">
        <v>1693</v>
      </c>
      <c r="B1754" s="138">
        <f>'Tax Sched 23'!B14</f>
        <v>51380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5652588</v>
      </c>
      <c r="C1759" s="2" t="s">
        <v>594</v>
      </c>
      <c r="D1759" s="2" t="str">
        <f t="shared" si="26"/>
        <v>Error?</v>
      </c>
    </row>
    <row r="1760" spans="1:5" x14ac:dyDescent="0.2">
      <c r="A1760" s="5">
        <v>1699</v>
      </c>
      <c r="B1760" s="138">
        <f>'Tax Sched 23'!D4</f>
        <v>3159879</v>
      </c>
      <c r="C1760" s="2" t="s">
        <v>594</v>
      </c>
      <c r="D1760" s="2" t="str">
        <f t="shared" si="26"/>
        <v>Error?</v>
      </c>
    </row>
    <row r="1761" spans="1:5" x14ac:dyDescent="0.2">
      <c r="A1761" s="5">
        <v>1700</v>
      </c>
      <c r="B1761" s="138">
        <f>'Tax Sched 23'!D5</f>
        <v>642251</v>
      </c>
      <c r="C1761" s="2" t="s">
        <v>594</v>
      </c>
      <c r="D1761" s="2" t="str">
        <f t="shared" si="26"/>
        <v>Error?</v>
      </c>
    </row>
    <row r="1762" spans="1:5" s="8" customFormat="1" x14ac:dyDescent="0.2">
      <c r="A1762" s="5">
        <v>1701</v>
      </c>
      <c r="B1762" s="138">
        <f>'Tax Sched 23'!D6</f>
        <v>762563</v>
      </c>
      <c r="C1762" s="2" t="s">
        <v>594</v>
      </c>
      <c r="D1762" s="2" t="str">
        <f t="shared" si="26"/>
        <v>Error?</v>
      </c>
      <c r="E1762" s="9"/>
    </row>
    <row r="1763" spans="1:5" x14ac:dyDescent="0.2">
      <c r="A1763" s="5">
        <v>1702</v>
      </c>
      <c r="B1763" s="138">
        <f>'Tax Sched 23'!D7</f>
        <v>256901</v>
      </c>
      <c r="C1763" s="2" t="s">
        <v>594</v>
      </c>
      <c r="D1763" s="2" t="str">
        <f t="shared" si="26"/>
        <v>Error?</v>
      </c>
    </row>
    <row r="1764" spans="1:5" x14ac:dyDescent="0.2">
      <c r="A1764" s="5">
        <v>1703</v>
      </c>
      <c r="B1764" s="138">
        <f>'Tax Sched 23'!D8</f>
        <v>191391</v>
      </c>
      <c r="C1764" s="2" t="s">
        <v>594</v>
      </c>
      <c r="D1764" s="2" t="str">
        <f t="shared" si="26"/>
        <v>Error?</v>
      </c>
    </row>
    <row r="1765" spans="1:5" x14ac:dyDescent="0.2">
      <c r="A1765" s="5">
        <v>1704</v>
      </c>
      <c r="B1765" s="138">
        <f>'Tax Sched 23'!D10</f>
        <v>64224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279727</v>
      </c>
      <c r="C1768" s="2" t="s">
        <v>594</v>
      </c>
      <c r="D1768" s="2" t="str">
        <f t="shared" si="26"/>
        <v>Error?</v>
      </c>
    </row>
    <row r="1769" spans="1:5" x14ac:dyDescent="0.2">
      <c r="A1769" s="5">
        <v>1708</v>
      </c>
      <c r="B1769" s="138">
        <f>'Tax Sched 23'!D12</f>
        <v>64224</v>
      </c>
      <c r="C1769" s="2" t="s">
        <v>594</v>
      </c>
      <c r="D1769" s="2" t="str">
        <f t="shared" si="26"/>
        <v>Error?</v>
      </c>
    </row>
    <row r="1770" spans="1:5" x14ac:dyDescent="0.2">
      <c r="A1770" s="5">
        <v>1709</v>
      </c>
      <c r="B1770" s="138">
        <f>'Tax Sched 23'!D14</f>
        <v>51380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5652588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3244757</v>
      </c>
      <c r="C1792" s="2" t="s">
        <v>594</v>
      </c>
      <c r="D1792" s="2" t="str">
        <f t="shared" si="27"/>
        <v>Error?</v>
      </c>
    </row>
    <row r="1793" spans="1:4" x14ac:dyDescent="0.2">
      <c r="A1793" s="5">
        <v>1732</v>
      </c>
      <c r="B1793" s="138">
        <f>'Tax Sched 23'!F5</f>
        <v>659504</v>
      </c>
      <c r="C1793" s="2" t="s">
        <v>594</v>
      </c>
      <c r="D1793" s="2" t="str">
        <f t="shared" si="27"/>
        <v>Error?</v>
      </c>
    </row>
    <row r="1794" spans="1:4" x14ac:dyDescent="0.2">
      <c r="A1794" s="5">
        <v>1733</v>
      </c>
      <c r="B1794" s="138">
        <f>'Tax Sched 23'!F6</f>
        <v>781703</v>
      </c>
      <c r="C1794" s="2" t="s">
        <v>594</v>
      </c>
      <c r="D1794" s="2" t="str">
        <f t="shared" si="27"/>
        <v>Error?</v>
      </c>
    </row>
    <row r="1795" spans="1:4" x14ac:dyDescent="0.2">
      <c r="A1795" s="5">
        <v>1734</v>
      </c>
      <c r="B1795" s="138">
        <f>'Tax Sched 23'!F7</f>
        <v>263801</v>
      </c>
      <c r="C1795" s="2" t="s">
        <v>594</v>
      </c>
      <c r="D1795" s="2" t="str">
        <f t="shared" si="27"/>
        <v>Error?</v>
      </c>
    </row>
    <row r="1796" spans="1:4" x14ac:dyDescent="0.2">
      <c r="A1796" s="5">
        <v>1735</v>
      </c>
      <c r="B1796" s="138">
        <f>'Tax Sched 23'!F8</f>
        <v>195002</v>
      </c>
      <c r="C1796" s="2" t="s">
        <v>594</v>
      </c>
      <c r="D1796" s="2" t="str">
        <f t="shared" si="27"/>
        <v>Error?</v>
      </c>
    </row>
    <row r="1797" spans="1:4" x14ac:dyDescent="0.2">
      <c r="A1797" s="5">
        <v>1736</v>
      </c>
      <c r="B1797" s="138">
        <f>'Tax Sched 23'!F10</f>
        <v>65950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285011</v>
      </c>
      <c r="C1800" s="2" t="s">
        <v>594</v>
      </c>
      <c r="D1800" s="2" t="str">
        <f t="shared" si="27"/>
        <v>Error?</v>
      </c>
    </row>
    <row r="1801" spans="1:4" x14ac:dyDescent="0.2">
      <c r="A1801" s="5">
        <v>1740</v>
      </c>
      <c r="B1801" s="138">
        <f>'Tax Sched 23'!F12</f>
        <v>65950</v>
      </c>
      <c r="C1801" s="2" t="s">
        <v>594</v>
      </c>
      <c r="D1801" s="2" t="str">
        <f t="shared" si="27"/>
        <v>Error?</v>
      </c>
    </row>
    <row r="1802" spans="1:4" x14ac:dyDescent="0.2">
      <c r="A1802" s="5">
        <v>1741</v>
      </c>
      <c r="B1802" s="138">
        <f>'Tax Sched 23'!F14</f>
        <v>52760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5798400</v>
      </c>
      <c r="C1807" s="2" t="s">
        <v>594</v>
      </c>
      <c r="D1807" s="2" t="str">
        <f t="shared" si="27"/>
        <v>Error?</v>
      </c>
    </row>
    <row r="1808" spans="1:4" x14ac:dyDescent="0.2">
      <c r="A1808" s="5">
        <v>1747</v>
      </c>
      <c r="B1808" s="138">
        <f>'Tax Sched 23'!E4</f>
        <v>3244757</v>
      </c>
      <c r="D1808" s="2" t="str">
        <f t="shared" si="27"/>
        <v>Error?</v>
      </c>
    </row>
    <row r="1809" spans="1:4" x14ac:dyDescent="0.2">
      <c r="A1809" s="5">
        <v>1748</v>
      </c>
      <c r="B1809" s="138">
        <f>'Tax Sched 23'!E5</f>
        <v>659504</v>
      </c>
      <c r="D1809" s="2" t="str">
        <f t="shared" si="27"/>
        <v>Error?</v>
      </c>
    </row>
    <row r="1810" spans="1:4" x14ac:dyDescent="0.2">
      <c r="A1810" s="5">
        <v>1749</v>
      </c>
      <c r="B1810" s="138">
        <f>'Tax Sched 23'!E6</f>
        <v>781703</v>
      </c>
      <c r="D1810" s="2" t="str">
        <f t="shared" si="27"/>
        <v>Error?</v>
      </c>
    </row>
    <row r="1811" spans="1:4" x14ac:dyDescent="0.2">
      <c r="A1811" s="5">
        <v>1750</v>
      </c>
      <c r="B1811" s="138">
        <f>'Tax Sched 23'!E7</f>
        <v>263801</v>
      </c>
      <c r="D1811" s="2" t="str">
        <f t="shared" si="27"/>
        <v>Error?</v>
      </c>
    </row>
    <row r="1812" spans="1:4" x14ac:dyDescent="0.2">
      <c r="A1812" s="5">
        <v>1751</v>
      </c>
      <c r="B1812" s="138">
        <f>'Tax Sched 23'!E8</f>
        <v>195002</v>
      </c>
      <c r="D1812" s="2" t="str">
        <f t="shared" si="27"/>
        <v>Error?</v>
      </c>
    </row>
    <row r="1813" spans="1:4" x14ac:dyDescent="0.2">
      <c r="A1813" s="5">
        <v>1752</v>
      </c>
      <c r="B1813" s="138">
        <f>'Tax Sched 23'!E10</f>
        <v>65950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285011</v>
      </c>
      <c r="D1816" s="2" t="str">
        <f t="shared" si="27"/>
        <v>Error?</v>
      </c>
    </row>
    <row r="1817" spans="1:4" x14ac:dyDescent="0.2">
      <c r="A1817" s="5">
        <v>1756</v>
      </c>
      <c r="B1817" s="138">
        <f>'Tax Sched 23'!E12</f>
        <v>65950</v>
      </c>
      <c r="D1817" s="2" t="str">
        <f t="shared" si="27"/>
        <v>Error?</v>
      </c>
    </row>
    <row r="1818" spans="1:4" x14ac:dyDescent="0.2">
      <c r="A1818" s="5">
        <v>1757</v>
      </c>
      <c r="B1818" s="138">
        <f>'Tax Sched 23'!E14</f>
        <v>52760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5798400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7315000</v>
      </c>
      <c r="C1939" s="2" t="s">
        <v>594</v>
      </c>
      <c r="D1939" s="2" t="str">
        <f t="shared" si="29"/>
        <v>Error?</v>
      </c>
    </row>
    <row r="1940" spans="1:5" x14ac:dyDescent="0.2">
      <c r="A1940" s="5">
        <v>1879</v>
      </c>
      <c r="B1940" s="138">
        <f>'Short-Term Long-Term Debt 24'!F49</f>
        <v>12360000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51380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51380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51380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67265</v>
      </c>
      <c r="D2008" s="2" t="str">
        <f t="shared" si="30"/>
        <v>Error?</v>
      </c>
    </row>
    <row r="2009" spans="1:4" x14ac:dyDescent="0.2">
      <c r="A2009" s="5">
        <v>1948</v>
      </c>
      <c r="B2009" s="138">
        <f>'Cap Outlay Deprec 26'!C8</f>
        <v>23358321</v>
      </c>
      <c r="D2009" s="2" t="str">
        <f t="shared" si="30"/>
        <v>Error?</v>
      </c>
    </row>
    <row r="2010" spans="1:4" x14ac:dyDescent="0.2">
      <c r="A2010" s="5">
        <v>1949</v>
      </c>
      <c r="B2010" s="138">
        <f>'Cap Outlay Deprec 26'!C10</f>
        <v>1036844</v>
      </c>
      <c r="D2010" s="2" t="str">
        <f t="shared" si="30"/>
        <v>Error?</v>
      </c>
    </row>
    <row r="2011" spans="1:4" x14ac:dyDescent="0.2">
      <c r="A2011" s="5">
        <v>1950</v>
      </c>
      <c r="B2011" s="138">
        <f>'Cap Outlay Deprec 26'!C12</f>
        <v>891500</v>
      </c>
      <c r="D2011" s="2" t="str">
        <f t="shared" si="30"/>
        <v>Error?</v>
      </c>
    </row>
    <row r="2012" spans="1:4" x14ac:dyDescent="0.2">
      <c r="A2012" s="5">
        <v>1951</v>
      </c>
      <c r="B2012" s="138">
        <f>'Cap Outlay Deprec 26'!C13</f>
        <v>152349</v>
      </c>
      <c r="D2012" s="2" t="str">
        <f t="shared" si="30"/>
        <v>Error?</v>
      </c>
    </row>
    <row r="2013" spans="1:4" x14ac:dyDescent="0.2">
      <c r="A2013" s="5">
        <v>1952</v>
      </c>
      <c r="B2013" s="138">
        <f>'Cap Outlay Deprec 26'!C16</f>
        <v>25506279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73873</v>
      </c>
      <c r="D2015" s="2" t="str">
        <f t="shared" si="30"/>
        <v>Error?</v>
      </c>
    </row>
    <row r="2016" spans="1:4" x14ac:dyDescent="0.2">
      <c r="A2016" s="5">
        <v>1955</v>
      </c>
      <c r="B2016" s="138">
        <f>'Cap Outlay Deprec 26'!D10</f>
        <v>2164859</v>
      </c>
      <c r="D2016" s="2" t="str">
        <f t="shared" si="30"/>
        <v>Error?</v>
      </c>
    </row>
    <row r="2017" spans="1:4" x14ac:dyDescent="0.2">
      <c r="A2017" s="5">
        <v>1956</v>
      </c>
      <c r="B2017" s="138">
        <f>'Cap Outlay Deprec 26'!D12</f>
        <v>160768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2399500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67265</v>
      </c>
      <c r="C2026" s="2" t="s">
        <v>594</v>
      </c>
      <c r="D2026" s="2" t="str">
        <f t="shared" si="30"/>
        <v>Error?</v>
      </c>
    </row>
    <row r="2027" spans="1:4" x14ac:dyDescent="0.2">
      <c r="A2027" s="5">
        <v>1966</v>
      </c>
      <c r="B2027" s="138">
        <f>'Cap Outlay Deprec 26'!F8</f>
        <v>23432194</v>
      </c>
      <c r="C2027" s="2" t="s">
        <v>594</v>
      </c>
      <c r="D2027" s="2" t="str">
        <f t="shared" si="30"/>
        <v>Error?</v>
      </c>
    </row>
    <row r="2028" spans="1:4" x14ac:dyDescent="0.2">
      <c r="A2028" s="5">
        <v>1967</v>
      </c>
      <c r="B2028" s="138">
        <f>'Cap Outlay Deprec 26'!F10</f>
        <v>3201703</v>
      </c>
      <c r="C2028" s="2" t="s">
        <v>594</v>
      </c>
      <c r="D2028" s="2" t="str">
        <f t="shared" si="30"/>
        <v>Error?</v>
      </c>
    </row>
    <row r="2029" spans="1:4" x14ac:dyDescent="0.2">
      <c r="A2029" s="5">
        <v>1968</v>
      </c>
      <c r="B2029" s="138">
        <f>'Cap Outlay Deprec 26'!F12</f>
        <v>1052268</v>
      </c>
      <c r="C2029" s="2" t="s">
        <v>594</v>
      </c>
      <c r="D2029" s="2" t="str">
        <f t="shared" si="30"/>
        <v>Error?</v>
      </c>
    </row>
    <row r="2030" spans="1:4" x14ac:dyDescent="0.2">
      <c r="A2030" s="5">
        <v>1969</v>
      </c>
      <c r="B2030" s="138">
        <f>'Cap Outlay Deprec 26'!F13</f>
        <v>152349</v>
      </c>
      <c r="C2030" s="2" t="s">
        <v>594</v>
      </c>
      <c r="D2030" s="2" t="str">
        <f t="shared" si="30"/>
        <v>Error?</v>
      </c>
    </row>
    <row r="2031" spans="1:4" x14ac:dyDescent="0.2">
      <c r="A2031" s="5">
        <v>1970</v>
      </c>
      <c r="B2031" s="138">
        <f>'Cap Outlay Deprec 26'!F16</f>
        <v>27905779</v>
      </c>
      <c r="C2031" s="2" t="s">
        <v>594</v>
      </c>
      <c r="D2031" s="2" t="str">
        <f t="shared" si="30"/>
        <v>Error?</v>
      </c>
    </row>
    <row r="2032" spans="1:4" x14ac:dyDescent="0.2">
      <c r="A2032" s="10">
        <v>1971</v>
      </c>
      <c r="D2032" s="2" t="str">
        <f t="shared" si="30"/>
        <v>OK</v>
      </c>
    </row>
    <row r="2033" spans="1:4" x14ac:dyDescent="0.2">
      <c r="A2033" s="5">
        <v>1972</v>
      </c>
      <c r="B2033" s="138">
        <f>'Cap Outlay Deprec 26'!H8</f>
        <v>7877361</v>
      </c>
      <c r="D2033" s="2" t="str">
        <f t="shared" si="30"/>
        <v>Error?</v>
      </c>
    </row>
    <row r="2034" spans="1:4" x14ac:dyDescent="0.2">
      <c r="A2034" s="5">
        <v>1973</v>
      </c>
      <c r="B2034" s="138">
        <f>'Cap Outlay Deprec 26'!H10</f>
        <v>455050</v>
      </c>
      <c r="D2034" s="2" t="str">
        <f t="shared" si="30"/>
        <v>Error?</v>
      </c>
    </row>
    <row r="2035" spans="1:4" x14ac:dyDescent="0.2">
      <c r="A2035" s="5">
        <v>1974</v>
      </c>
      <c r="B2035" s="138">
        <f>'Cap Outlay Deprec 26'!H12</f>
        <v>592302</v>
      </c>
      <c r="D2035" s="2" t="str">
        <f t="shared" si="30"/>
        <v>Error?</v>
      </c>
    </row>
    <row r="2036" spans="1:4" x14ac:dyDescent="0.2">
      <c r="A2036" s="5">
        <v>1975</v>
      </c>
      <c r="B2036" s="138">
        <f>'Cap Outlay Deprec 26'!H13</f>
        <v>86043</v>
      </c>
      <c r="D2036" s="2" t="str">
        <f t="shared" si="30"/>
        <v>Error?</v>
      </c>
    </row>
    <row r="2037" spans="1:4" x14ac:dyDescent="0.2">
      <c r="A2037" s="5">
        <v>1976</v>
      </c>
      <c r="B2037" s="138">
        <f>'Cap Outlay Deprec 26'!H16</f>
        <v>9010756</v>
      </c>
      <c r="C2037" s="2" t="s">
        <v>594</v>
      </c>
      <c r="D2037" s="2" t="str">
        <f t="shared" si="30"/>
        <v>Error?</v>
      </c>
    </row>
    <row r="2038" spans="1:4" x14ac:dyDescent="0.2">
      <c r="A2038" s="10">
        <v>1977</v>
      </c>
      <c r="D2038" s="2" t="str">
        <f t="shared" si="30"/>
        <v>OK</v>
      </c>
    </row>
    <row r="2039" spans="1:4" x14ac:dyDescent="0.2">
      <c r="A2039" s="5">
        <v>1978</v>
      </c>
      <c r="B2039" s="138">
        <f>'Cap Outlay Deprec 26'!I8</f>
        <v>467291</v>
      </c>
      <c r="D2039" s="2" t="str">
        <f t="shared" si="30"/>
        <v>Error?</v>
      </c>
    </row>
    <row r="2040" spans="1:4" x14ac:dyDescent="0.2">
      <c r="A2040" s="5">
        <v>1979</v>
      </c>
      <c r="B2040" s="138">
        <f>'Cap Outlay Deprec 26'!I10</f>
        <v>57902</v>
      </c>
      <c r="D2040" s="2" t="str">
        <f t="shared" si="30"/>
        <v>Error?</v>
      </c>
    </row>
    <row r="2041" spans="1:4" x14ac:dyDescent="0.2">
      <c r="A2041" s="5">
        <v>1980</v>
      </c>
      <c r="B2041" s="138">
        <f>'Cap Outlay Deprec 26'!I12</f>
        <v>53256</v>
      </c>
      <c r="D2041" s="2" t="str">
        <f t="shared" si="30"/>
        <v>Error?</v>
      </c>
    </row>
    <row r="2042" spans="1:4" x14ac:dyDescent="0.2">
      <c r="A2042" s="5">
        <v>1981</v>
      </c>
      <c r="B2042" s="138">
        <f>'Cap Outlay Deprec 26'!I13</f>
        <v>19331</v>
      </c>
      <c r="D2042" s="2" t="str">
        <f t="shared" si="30"/>
        <v>Error?</v>
      </c>
    </row>
    <row r="2043" spans="1:4" x14ac:dyDescent="0.2">
      <c r="A2043" s="5">
        <v>1982</v>
      </c>
      <c r="B2043" s="138">
        <f>'Cap Outlay Deprec 26'!I16</f>
        <v>597780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8344652</v>
      </c>
      <c r="C2051" s="2" t="s">
        <v>594</v>
      </c>
      <c r="D2051" s="2" t="str">
        <f t="shared" si="31"/>
        <v>Error?</v>
      </c>
    </row>
    <row r="2052" spans="1:4" x14ac:dyDescent="0.2">
      <c r="A2052" s="5">
        <v>1991</v>
      </c>
      <c r="B2052" s="138">
        <f>'Cap Outlay Deprec 26'!K10</f>
        <v>512952</v>
      </c>
      <c r="C2052" s="2" t="s">
        <v>594</v>
      </c>
      <c r="D2052" s="2" t="str">
        <f t="shared" si="31"/>
        <v>Error?</v>
      </c>
    </row>
    <row r="2053" spans="1:4" x14ac:dyDescent="0.2">
      <c r="A2053" s="5">
        <v>1992</v>
      </c>
      <c r="B2053" s="138">
        <f>'Cap Outlay Deprec 26'!K12</f>
        <v>645558</v>
      </c>
      <c r="C2053" s="2" t="s">
        <v>594</v>
      </c>
      <c r="D2053" s="2" t="str">
        <f t="shared" si="31"/>
        <v>Error?</v>
      </c>
    </row>
    <row r="2054" spans="1:4" x14ac:dyDescent="0.2">
      <c r="A2054" s="5">
        <v>1993</v>
      </c>
      <c r="B2054" s="138">
        <f>'Cap Outlay Deprec 26'!K13</f>
        <v>105374</v>
      </c>
      <c r="C2054" s="2" t="s">
        <v>594</v>
      </c>
      <c r="D2054" s="2" t="str">
        <f t="shared" si="31"/>
        <v>Error?</v>
      </c>
    </row>
    <row r="2055" spans="1:4" x14ac:dyDescent="0.2">
      <c r="A2055" s="5">
        <v>1994</v>
      </c>
      <c r="B2055" s="138">
        <f>'Cap Outlay Deprec 26'!K16</f>
        <v>9608536</v>
      </c>
      <c r="C2055" s="2" t="s">
        <v>594</v>
      </c>
      <c r="D2055" s="2" t="str">
        <f t="shared" si="31"/>
        <v>Error?</v>
      </c>
    </row>
    <row r="2056" spans="1:4" x14ac:dyDescent="0.2">
      <c r="A2056" s="5">
        <v>1995</v>
      </c>
      <c r="B2056" s="138">
        <f>'Cap Outlay Deprec 26'!L5</f>
        <v>67265</v>
      </c>
      <c r="C2056" s="2" t="s">
        <v>594</v>
      </c>
      <c r="D2056" s="2" t="str">
        <f t="shared" si="31"/>
        <v>Error?</v>
      </c>
    </row>
    <row r="2057" spans="1:4" x14ac:dyDescent="0.2">
      <c r="A2057" s="5">
        <v>1996</v>
      </c>
      <c r="B2057" s="138">
        <f>'Cap Outlay Deprec 26'!L8</f>
        <v>15087542</v>
      </c>
      <c r="C2057" s="2" t="s">
        <v>594</v>
      </c>
      <c r="D2057" s="2" t="str">
        <f t="shared" si="31"/>
        <v>Error?</v>
      </c>
    </row>
    <row r="2058" spans="1:4" x14ac:dyDescent="0.2">
      <c r="A2058" s="5">
        <v>1997</v>
      </c>
      <c r="B2058" s="138">
        <f>'Cap Outlay Deprec 26'!L10</f>
        <v>2688751</v>
      </c>
      <c r="C2058" s="2" t="s">
        <v>594</v>
      </c>
      <c r="D2058" s="2" t="str">
        <f t="shared" si="31"/>
        <v>Error?</v>
      </c>
    </row>
    <row r="2059" spans="1:4" x14ac:dyDescent="0.2">
      <c r="A2059" s="5">
        <v>1998</v>
      </c>
      <c r="B2059" s="138">
        <f>'Cap Outlay Deprec 26'!L12</f>
        <v>406710</v>
      </c>
      <c r="C2059" s="2" t="s">
        <v>594</v>
      </c>
      <c r="D2059" s="2" t="str">
        <f t="shared" si="31"/>
        <v>Error?</v>
      </c>
    </row>
    <row r="2060" spans="1:4" x14ac:dyDescent="0.2">
      <c r="A2060" s="5">
        <v>1999</v>
      </c>
      <c r="B2060" s="138">
        <f>'Cap Outlay Deprec 26'!L13</f>
        <v>46975</v>
      </c>
      <c r="C2060" s="2" t="s">
        <v>594</v>
      </c>
      <c r="D2060" s="2" t="str">
        <f t="shared" si="31"/>
        <v>Error?</v>
      </c>
    </row>
    <row r="2061" spans="1:4" x14ac:dyDescent="0.2">
      <c r="A2061" s="5">
        <v>2000</v>
      </c>
      <c r="B2061" s="138">
        <f>'Cap Outlay Deprec 26'!L16</f>
        <v>18297243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22048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22048</v>
      </c>
      <c r="C2088" s="2" t="s">
        <v>594</v>
      </c>
      <c r="D2088" s="2" t="str">
        <f t="shared" si="31"/>
        <v>Error?</v>
      </c>
    </row>
    <row r="2089" spans="1:4" x14ac:dyDescent="0.2">
      <c r="A2089" s="5">
        <v>2028</v>
      </c>
      <c r="B2089" s="138">
        <f>'Expenditures 15-22'!K92</f>
        <v>488827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137235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3503462</v>
      </c>
      <c r="C2551" s="2" t="s">
        <v>594</v>
      </c>
      <c r="D2551" s="2" t="str">
        <f t="shared" si="38"/>
        <v>Error?</v>
      </c>
    </row>
    <row r="2552" spans="1:4" x14ac:dyDescent="0.2">
      <c r="A2552" s="10">
        <v>2491</v>
      </c>
      <c r="D2552" s="2" t="str">
        <f t="shared" si="38"/>
        <v>OK</v>
      </c>
    </row>
    <row r="2553" spans="1:4" x14ac:dyDescent="0.2">
      <c r="A2553" s="5">
        <v>2492</v>
      </c>
      <c r="B2553" s="138">
        <f>'Acct Summary 7-8'!C6</f>
        <v>2586474</v>
      </c>
      <c r="C2553" s="2" t="s">
        <v>594</v>
      </c>
      <c r="D2553" s="2" t="str">
        <f t="shared" si="38"/>
        <v>Error?</v>
      </c>
    </row>
    <row r="2554" spans="1:4" x14ac:dyDescent="0.2">
      <c r="A2554" s="5">
        <v>2493</v>
      </c>
      <c r="B2554" s="138">
        <f>'Acct Summary 7-8'!C7</f>
        <v>502808</v>
      </c>
      <c r="C2554" s="2" t="s">
        <v>594</v>
      </c>
      <c r="D2554" s="2" t="str">
        <f t="shared" si="38"/>
        <v>Error?</v>
      </c>
    </row>
    <row r="2555" spans="1:4" x14ac:dyDescent="0.2">
      <c r="A2555" s="5">
        <v>2494</v>
      </c>
      <c r="B2555" s="138">
        <f>'Acct Summary 7-8'!C8</f>
        <v>6592744</v>
      </c>
      <c r="C2555" s="2" t="s">
        <v>594</v>
      </c>
      <c r="D2555" s="2" t="str">
        <f t="shared" si="38"/>
        <v>Error?</v>
      </c>
    </row>
    <row r="2556" spans="1:4" x14ac:dyDescent="0.2">
      <c r="A2556" s="5">
        <v>2495</v>
      </c>
      <c r="B2556" s="138">
        <f>'Acct Summary 7-8'!C12</f>
        <v>4438493</v>
      </c>
      <c r="C2556" s="2" t="s">
        <v>594</v>
      </c>
      <c r="D2556" s="2" t="str">
        <f t="shared" si="38"/>
        <v>Error?</v>
      </c>
    </row>
    <row r="2557" spans="1:4" x14ac:dyDescent="0.2">
      <c r="A2557" s="5">
        <v>2496</v>
      </c>
      <c r="B2557" s="138">
        <f>'Acct Summary 7-8'!C13</f>
        <v>1501685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510875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6451053</v>
      </c>
      <c r="C2561" s="2" t="s">
        <v>594</v>
      </c>
      <c r="D2561" s="2" t="str">
        <f t="shared" si="39"/>
        <v>Error?</v>
      </c>
    </row>
    <row r="2562" spans="1:4" x14ac:dyDescent="0.2">
      <c r="A2562" s="5">
        <v>2501</v>
      </c>
      <c r="B2562" s="138">
        <f>'Acct Summary 7-8'!C20</f>
        <v>141691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786611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786611</v>
      </c>
      <c r="C2568" s="2" t="s">
        <v>594</v>
      </c>
      <c r="D2568" s="2" t="str">
        <f t="shared" si="39"/>
        <v>Error?</v>
      </c>
    </row>
    <row r="2569" spans="1:4" x14ac:dyDescent="0.2">
      <c r="A2569" s="5">
        <v>2508</v>
      </c>
      <c r="B2569" s="138">
        <f>'Acct Summary 7-8'!D13</f>
        <v>852740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852740</v>
      </c>
      <c r="C2573" s="2" t="s">
        <v>594</v>
      </c>
      <c r="D2573" s="2" t="str">
        <f t="shared" si="39"/>
        <v>Error?</v>
      </c>
    </row>
    <row r="2574" spans="1:4" x14ac:dyDescent="0.2">
      <c r="A2574" s="5">
        <v>2513</v>
      </c>
      <c r="B2574" s="138">
        <f>'Acct Summary 7-8'!D20</f>
        <v>-66129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267532</v>
      </c>
      <c r="C2591" s="2" t="s">
        <v>594</v>
      </c>
      <c r="D2591" s="2" t="str">
        <f t="shared" si="39"/>
        <v>Error?</v>
      </c>
    </row>
    <row r="2592" spans="1:4" x14ac:dyDescent="0.2">
      <c r="A2592" s="10">
        <v>2531</v>
      </c>
      <c r="D2592" s="2" t="str">
        <f t="shared" si="39"/>
        <v>OK</v>
      </c>
    </row>
    <row r="2593" spans="1:4" x14ac:dyDescent="0.2">
      <c r="A2593" s="5">
        <v>2532</v>
      </c>
      <c r="B2593" s="138">
        <f>'Acct Summary 7-8'!F6</f>
        <v>416561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684093</v>
      </c>
      <c r="C2595" s="2" t="s">
        <v>594</v>
      </c>
      <c r="D2595" s="2" t="str">
        <f t="shared" si="39"/>
        <v>Error?</v>
      </c>
    </row>
    <row r="2596" spans="1:4" x14ac:dyDescent="0.2">
      <c r="A2596" s="5">
        <v>2535</v>
      </c>
      <c r="B2596" s="138">
        <f>'Acct Summary 7-8'!F13</f>
        <v>636891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636891</v>
      </c>
      <c r="C2600" s="2" t="s">
        <v>594</v>
      </c>
      <c r="D2600" s="2" t="str">
        <f t="shared" si="39"/>
        <v>Error?</v>
      </c>
    </row>
    <row r="2601" spans="1:4" x14ac:dyDescent="0.2">
      <c r="A2601" s="5">
        <v>2540</v>
      </c>
      <c r="B2601" s="138">
        <f>'Acct Summary 7-8'!F20</f>
        <v>47202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324662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324662</v>
      </c>
      <c r="C2606" s="2" t="s">
        <v>594</v>
      </c>
      <c r="D2606" s="2" t="str">
        <f t="shared" si="39"/>
        <v>Error?</v>
      </c>
    </row>
    <row r="2607" spans="1:4" x14ac:dyDescent="0.2">
      <c r="A2607" s="5">
        <v>2546</v>
      </c>
      <c r="B2607" s="138">
        <f>'Acct Summary 7-8'!G12</f>
        <v>72911</v>
      </c>
      <c r="C2607" s="2" t="s">
        <v>594</v>
      </c>
      <c r="D2607" s="2" t="str">
        <f t="shared" si="39"/>
        <v>Error?</v>
      </c>
    </row>
    <row r="2608" spans="1:4" x14ac:dyDescent="0.2">
      <c r="A2608" s="5">
        <v>2547</v>
      </c>
      <c r="B2608" s="138">
        <f>'Acct Summary 7-8'!G13</f>
        <v>151709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260459</v>
      </c>
      <c r="C2612" s="2" t="s">
        <v>594</v>
      </c>
      <c r="D2612" s="2" t="str">
        <f t="shared" si="39"/>
        <v>Error?</v>
      </c>
    </row>
    <row r="2613" spans="1:4" x14ac:dyDescent="0.2">
      <c r="A2613" s="5">
        <v>2552</v>
      </c>
      <c r="B2613" s="138">
        <f>'Acct Summary 7-8'!G20</f>
        <v>64203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1296025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1296025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8198428</v>
      </c>
      <c r="C2634" s="2" t="s">
        <v>594</v>
      </c>
      <c r="D2634" s="2" t="str">
        <f t="shared" si="40"/>
        <v>Error?</v>
      </c>
    </row>
    <row r="2635" spans="1:4" x14ac:dyDescent="0.2">
      <c r="A2635" s="5">
        <v>2574</v>
      </c>
      <c r="B2635" s="138">
        <f>'Acct Summary 7-8'!E17</f>
        <v>8198428</v>
      </c>
      <c r="C2635" s="2" t="s">
        <v>594</v>
      </c>
      <c r="D2635" s="2" t="str">
        <f t="shared" si="40"/>
        <v>Error?</v>
      </c>
    </row>
    <row r="2636" spans="1:4" x14ac:dyDescent="0.2">
      <c r="A2636" s="5">
        <v>2575</v>
      </c>
      <c r="B2636" s="138">
        <f>'Acct Summary 7-8'!E20</f>
        <v>-6902403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89421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89421</v>
      </c>
      <c r="C2658" s="2" t="s">
        <v>594</v>
      </c>
      <c r="D2658" s="2" t="str">
        <f t="shared" si="40"/>
        <v>Error?</v>
      </c>
    </row>
    <row r="2659" spans="1:4" x14ac:dyDescent="0.2">
      <c r="A2659" s="5">
        <v>2598</v>
      </c>
      <c r="B2659" s="138">
        <f>'Acct Summary 7-8'!H13</f>
        <v>2319555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2319555</v>
      </c>
      <c r="C2661" s="2" t="s">
        <v>594</v>
      </c>
      <c r="D2661" s="2" t="str">
        <f t="shared" si="40"/>
        <v>Error?</v>
      </c>
    </row>
    <row r="2662" spans="1:4" x14ac:dyDescent="0.2">
      <c r="A2662" s="5">
        <v>2601</v>
      </c>
      <c r="B2662" s="138">
        <f>'Acct Summary 7-8'!H20</f>
        <v>-2230134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195</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195</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2967245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2972233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227220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2972233</v>
      </c>
      <c r="D2912" s="2" t="str">
        <f t="shared" si="44"/>
        <v>Error?</v>
      </c>
    </row>
    <row r="2913" spans="1:4" x14ac:dyDescent="0.2">
      <c r="A2913" s="5">
        <v>2852</v>
      </c>
      <c r="B2913" s="138">
        <f>'Assets-Liab 5-6'!I41</f>
        <v>2972233</v>
      </c>
      <c r="C2913" s="2" t="s">
        <v>594</v>
      </c>
      <c r="D2913" s="2" t="str">
        <f t="shared" si="44"/>
        <v>Error?</v>
      </c>
    </row>
    <row r="2914" spans="1:4" x14ac:dyDescent="0.2">
      <c r="A2914" s="5">
        <v>2853</v>
      </c>
      <c r="B2914" s="138">
        <f>'Assets-Liab 5-6'!L33</f>
        <v>227220</v>
      </c>
      <c r="D2914" s="2" t="str">
        <f t="shared" si="44"/>
        <v>Error?</v>
      </c>
    </row>
    <row r="2915" spans="1:4" x14ac:dyDescent="0.2">
      <c r="A2915" s="10">
        <v>2854</v>
      </c>
      <c r="D2915" s="2" t="str">
        <f t="shared" si="44"/>
        <v>OK</v>
      </c>
    </row>
    <row r="2916" spans="1:4" x14ac:dyDescent="0.2">
      <c r="A2916" s="5">
        <v>2855</v>
      </c>
      <c r="B2916" s="138">
        <f>'Assets-Liab 5-6'!L34</f>
        <v>227220</v>
      </c>
      <c r="C2916" s="2" t="s">
        <v>594</v>
      </c>
      <c r="D2916" s="2" t="str">
        <f t="shared" si="44"/>
        <v>Error?</v>
      </c>
    </row>
    <row r="2917" spans="1:4" x14ac:dyDescent="0.2">
      <c r="A2917" s="5">
        <v>2856</v>
      </c>
      <c r="B2917" s="138">
        <f>'Assets-Liab 5-6'!L41</f>
        <v>227220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22048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22048</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79631</v>
      </c>
      <c r="D3055" s="2" t="str">
        <f t="shared" si="46"/>
        <v>Error?</v>
      </c>
    </row>
    <row r="3056" spans="1:4" x14ac:dyDescent="0.2">
      <c r="A3056" s="5">
        <v>2995</v>
      </c>
      <c r="B3056" s="138">
        <f>'Expenditures 15-22'!D10</f>
        <v>15527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4600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99758</v>
      </c>
      <c r="C3062" s="2" t="s">
        <v>594</v>
      </c>
      <c r="D3062" s="2" t="str">
        <f t="shared" si="46"/>
        <v>Error?</v>
      </c>
    </row>
    <row r="3063" spans="1:4" x14ac:dyDescent="0.2">
      <c r="A3063" s="10">
        <v>3002</v>
      </c>
      <c r="D3063" s="2" t="str">
        <f t="shared" si="46"/>
        <v>OK</v>
      </c>
    </row>
    <row r="3064" spans="1:4" x14ac:dyDescent="0.2">
      <c r="A3064" s="5">
        <v>3003</v>
      </c>
      <c r="B3064" s="138">
        <f>'Expenditures 15-22'!D219</f>
        <v>5045</v>
      </c>
      <c r="D3064" s="2" t="str">
        <f t="shared" si="46"/>
        <v>Error?</v>
      </c>
    </row>
    <row r="3065" spans="1:4" x14ac:dyDescent="0.2">
      <c r="A3065" s="5">
        <v>3004</v>
      </c>
      <c r="B3065" s="138">
        <f>'Expenditures 15-22'!K219</f>
        <v>5045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12360000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81108</v>
      </c>
      <c r="C3225" s="2" t="s">
        <v>594</v>
      </c>
      <c r="D3225" s="2" t="str">
        <f t="shared" si="49"/>
        <v>Error?</v>
      </c>
    </row>
    <row r="3226" spans="1:4" x14ac:dyDescent="0.2">
      <c r="A3226" s="5">
        <v>3165</v>
      </c>
      <c r="B3226" s="138">
        <f>'Acct Summary 7-8'!I8</f>
        <v>81108</v>
      </c>
      <c r="C3226" s="2" t="s">
        <v>594</v>
      </c>
      <c r="D3226" s="2" t="str">
        <f t="shared" si="49"/>
        <v>Error?</v>
      </c>
    </row>
    <row r="3227" spans="1:4" x14ac:dyDescent="0.2">
      <c r="A3227" s="5">
        <v>3166</v>
      </c>
      <c r="B3227" s="138">
        <f>'Acct Summary 7-8'!I20</f>
        <v>81108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195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195</v>
      </c>
      <c r="C3232" s="2" t="s">
        <v>594</v>
      </c>
      <c r="D3232" s="2" t="str">
        <f t="shared" si="49"/>
        <v>Error?</v>
      </c>
    </row>
    <row r="3233" spans="1:4" x14ac:dyDescent="0.2">
      <c r="A3233" s="5">
        <v>3172</v>
      </c>
      <c r="B3233" s="138">
        <f>'Acct Summary 7-8'!C78</f>
        <v>141886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-66129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47202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64203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12512977</v>
      </c>
      <c r="C3274" s="2" t="s">
        <v>594</v>
      </c>
      <c r="D3274" s="2" t="str">
        <f t="shared" si="50"/>
        <v>Error?</v>
      </c>
    </row>
    <row r="3275" spans="1:4" x14ac:dyDescent="0.2">
      <c r="A3275" s="5">
        <v>3214</v>
      </c>
      <c r="B3275" s="138">
        <f>'Acct Summary 7-8'!E75</f>
        <v>5584970</v>
      </c>
      <c r="D3275" s="2" t="str">
        <f t="shared" si="50"/>
        <v>Error?</v>
      </c>
    </row>
    <row r="3276" spans="1:4" x14ac:dyDescent="0.2">
      <c r="A3276" s="5">
        <v>3215</v>
      </c>
      <c r="B3276" s="138">
        <f>'Acct Summary 7-8'!E76</f>
        <v>5585165</v>
      </c>
      <c r="C3276" s="2" t="s">
        <v>594</v>
      </c>
      <c r="D3276" s="2" t="str">
        <f t="shared" si="50"/>
        <v>Error?</v>
      </c>
    </row>
    <row r="3277" spans="1:4" x14ac:dyDescent="0.2">
      <c r="A3277" s="5">
        <v>3216</v>
      </c>
      <c r="B3277" s="138">
        <f>'Acct Summary 7-8'!E77</f>
        <v>6927812</v>
      </c>
      <c r="C3277" s="2" t="s">
        <v>594</v>
      </c>
      <c r="D3277" s="2" t="str">
        <f t="shared" si="50"/>
        <v>Error?</v>
      </c>
    </row>
    <row r="3278" spans="1:4" x14ac:dyDescent="0.2">
      <c r="A3278" s="5">
        <v>3217</v>
      </c>
      <c r="B3278" s="138">
        <f>'Acct Summary 7-8'!E78</f>
        <v>25409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5561965</v>
      </c>
      <c r="D3295" s="2" t="str">
        <f t="shared" si="50"/>
        <v>Error?</v>
      </c>
    </row>
    <row r="3296" spans="1:4" x14ac:dyDescent="0.2">
      <c r="A3296" s="5">
        <v>3235</v>
      </c>
      <c r="B3296" s="138">
        <f>'Acct Summary 7-8'!H44</f>
        <v>5561965</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5561965</v>
      </c>
      <c r="C3299" s="2" t="s">
        <v>594</v>
      </c>
      <c r="D3299" s="2" t="str">
        <f t="shared" si="50"/>
        <v>Error?</v>
      </c>
    </row>
    <row r="3300" spans="1:4" x14ac:dyDescent="0.2">
      <c r="A3300" s="5">
        <v>3239</v>
      </c>
      <c r="B3300" s="138">
        <f>'Acct Summary 7-8'!H78</f>
        <v>3331831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81108</v>
      </c>
      <c r="C3320" s="2" t="s">
        <v>594</v>
      </c>
      <c r="D3320" s="2" t="str">
        <f t="shared" si="50"/>
        <v>Error?</v>
      </c>
    </row>
    <row r="3321" spans="1:4" x14ac:dyDescent="0.2">
      <c r="A3321" s="5">
        <v>3260</v>
      </c>
      <c r="B3321" s="138">
        <f>'Acct Summary 7-8'!I79</f>
        <v>2891125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2972233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345702</v>
      </c>
      <c r="D3366" s="2" t="str">
        <f t="shared" si="51"/>
        <v>Error?</v>
      </c>
    </row>
    <row r="3367" spans="1:4" x14ac:dyDescent="0.2">
      <c r="A3367" s="5">
        <v>3306</v>
      </c>
      <c r="B3367" s="138">
        <f>'Expenditures 15-22'!C19</f>
        <v>35812</v>
      </c>
      <c r="D3367" s="2" t="str">
        <f t="shared" si="51"/>
        <v>Error?</v>
      </c>
    </row>
    <row r="3368" spans="1:4" x14ac:dyDescent="0.2">
      <c r="A3368" s="5">
        <v>3307</v>
      </c>
      <c r="B3368" s="138">
        <f>'Expenditures 15-22'!D8</f>
        <v>38246</v>
      </c>
      <c r="D3368" s="2" t="str">
        <f t="shared" si="51"/>
        <v>Error?</v>
      </c>
    </row>
    <row r="3369" spans="1:4" x14ac:dyDescent="0.2">
      <c r="A3369" s="5">
        <v>3308</v>
      </c>
      <c r="B3369" s="138">
        <f>'Expenditures 15-22'!D19</f>
        <v>4119</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8026</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13000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383948</v>
      </c>
      <c r="C3380" s="2" t="s">
        <v>594</v>
      </c>
      <c r="D3380" s="2" t="str">
        <f t="shared" si="51"/>
        <v>Error?</v>
      </c>
    </row>
    <row r="3381" spans="1:4" x14ac:dyDescent="0.2">
      <c r="A3381" s="5">
        <v>3320</v>
      </c>
      <c r="B3381" s="138">
        <f>'Expenditures 15-22'!K19</f>
        <v>60957</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46101</v>
      </c>
      <c r="D3387" s="2" t="str">
        <f t="shared" si="51"/>
        <v>Error?</v>
      </c>
    </row>
    <row r="3388" spans="1:4" x14ac:dyDescent="0.2">
      <c r="A3388" s="5">
        <v>3327</v>
      </c>
      <c r="B3388" s="138">
        <f>'Expenditures 15-22'!D217</f>
        <v>6508</v>
      </c>
      <c r="D3388" s="2" t="str">
        <f t="shared" si="51"/>
        <v>Error?</v>
      </c>
    </row>
    <row r="3389" spans="1:4" x14ac:dyDescent="0.2">
      <c r="A3389" s="5">
        <v>3328</v>
      </c>
      <c r="B3389" s="138">
        <f>'Expenditures 15-22'!D228</f>
        <v>519</v>
      </c>
      <c r="D3389" s="2" t="str">
        <f t="shared" si="51"/>
        <v>Error?</v>
      </c>
    </row>
    <row r="3390" spans="1:4" x14ac:dyDescent="0.2">
      <c r="A3390" s="5">
        <v>3329</v>
      </c>
      <c r="B3390" s="138">
        <f>'Expenditures 15-22'!K215</f>
        <v>46101</v>
      </c>
      <c r="C3390" s="2" t="s">
        <v>594</v>
      </c>
      <c r="D3390" s="2" t="str">
        <f t="shared" si="51"/>
        <v>Error?</v>
      </c>
    </row>
    <row r="3391" spans="1:4" x14ac:dyDescent="0.2">
      <c r="A3391" s="5">
        <v>3330</v>
      </c>
      <c r="B3391" s="138">
        <f>'Expenditures 15-22'!K217</f>
        <v>6508</v>
      </c>
      <c r="C3391" s="2" t="s">
        <v>594</v>
      </c>
      <c r="D3391" s="2" t="str">
        <f t="shared" ref="D3391:D3454" si="52">IF(ISBLANK(B3391),"OK",IF(A3391-B3391=0,"OK","Error?"))</f>
        <v>Error?</v>
      </c>
    </row>
    <row r="3392" spans="1:4" x14ac:dyDescent="0.2">
      <c r="A3392" s="5">
        <v>3331</v>
      </c>
      <c r="B3392" s="138">
        <f>'Expenditures 15-22'!K228</f>
        <v>519</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198674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251034</v>
      </c>
      <c r="D3417" s="2" t="str">
        <f t="shared" si="52"/>
        <v>Error?</v>
      </c>
    </row>
    <row r="3418" spans="1:4" x14ac:dyDescent="0.2">
      <c r="A3418" s="10">
        <v>3357</v>
      </c>
      <c r="D3418" s="2" t="str">
        <f t="shared" si="52"/>
        <v>OK</v>
      </c>
    </row>
    <row r="3419" spans="1:4" x14ac:dyDescent="0.2">
      <c r="A3419" s="5">
        <v>3358</v>
      </c>
      <c r="B3419" s="138">
        <f>'Assets-Liab 5-6'!F4</f>
        <v>234131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16712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81657</v>
      </c>
      <c r="D3425" s="2" t="str">
        <f t="shared" si="52"/>
        <v>Error?</v>
      </c>
    </row>
    <row r="3426" spans="1:4" x14ac:dyDescent="0.2">
      <c r="A3426" s="10">
        <v>3365</v>
      </c>
      <c r="D3426" s="2" t="str">
        <f t="shared" si="52"/>
        <v>OK</v>
      </c>
    </row>
    <row r="3427" spans="1:4" x14ac:dyDescent="0.2">
      <c r="A3427" s="5">
        <v>3366</v>
      </c>
      <c r="B3427" s="138">
        <f>'Assets-Liab 5-6'!I4</f>
        <v>4988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227220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115823</v>
      </c>
      <c r="C3446" s="2" t="s">
        <v>594</v>
      </c>
      <c r="D3446" s="2" t="str">
        <f t="shared" si="52"/>
        <v>Error?</v>
      </c>
    </row>
    <row r="3447" spans="1:4" x14ac:dyDescent="0.2">
      <c r="A3447" s="5">
        <v>3386</v>
      </c>
      <c r="B3447" s="138">
        <f>'Tax Sched 23'!D16</f>
        <v>115823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118012</v>
      </c>
      <c r="C3449" s="2" t="s">
        <v>594</v>
      </c>
      <c r="D3449" s="2" t="str">
        <f t="shared" si="52"/>
        <v>Error?</v>
      </c>
    </row>
    <row r="3450" spans="1:4" x14ac:dyDescent="0.2">
      <c r="A3450" s="5">
        <v>3389</v>
      </c>
      <c r="B3450" s="138">
        <f>'Tax Sched 23'!E16</f>
        <v>118012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805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129817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130622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130622</v>
      </c>
      <c r="D3567" s="2" t="str">
        <f t="shared" si="54"/>
        <v>Error?</v>
      </c>
    </row>
    <row r="3568" spans="1:4" x14ac:dyDescent="0.2">
      <c r="A3568" s="5">
        <v>3507</v>
      </c>
      <c r="B3568" s="138">
        <f>'Assets-Liab 5-6'!K41</f>
        <v>130622</v>
      </c>
      <c r="C3568" s="2" t="s">
        <v>594</v>
      </c>
      <c r="D3568" s="2" t="str">
        <f t="shared" si="54"/>
        <v>Error?</v>
      </c>
    </row>
    <row r="3569" spans="1:4" x14ac:dyDescent="0.2">
      <c r="A3569" s="5">
        <v>3508</v>
      </c>
      <c r="B3569" s="138">
        <f>'Acct Summary 7-8'!K4</f>
        <v>65444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65444</v>
      </c>
      <c r="C3571" s="2" t="s">
        <v>594</v>
      </c>
      <c r="D3571" s="2" t="str">
        <f t="shared" si="54"/>
        <v>Error?</v>
      </c>
    </row>
    <row r="3572" spans="1:4" x14ac:dyDescent="0.2">
      <c r="A3572" s="5">
        <v>3511</v>
      </c>
      <c r="B3572" s="138">
        <f>'Acct Summary 7-8'!K13</f>
        <v>29771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29771</v>
      </c>
      <c r="C3575" s="2" t="s">
        <v>594</v>
      </c>
      <c r="D3575" s="2" t="str">
        <f t="shared" si="54"/>
        <v>Error?</v>
      </c>
    </row>
    <row r="3576" spans="1:4" x14ac:dyDescent="0.2">
      <c r="A3576" s="5">
        <v>3515</v>
      </c>
      <c r="B3576" s="138">
        <f>'Acct Summary 7-8'!K20</f>
        <v>35673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35673</v>
      </c>
      <c r="C3588" s="2" t="s">
        <v>594</v>
      </c>
      <c r="D3588" s="2" t="str">
        <f t="shared" si="55"/>
        <v>Error?</v>
      </c>
    </row>
    <row r="3589" spans="1:4" x14ac:dyDescent="0.2">
      <c r="A3589" s="5">
        <v>3528</v>
      </c>
      <c r="B3589" s="138">
        <f>'Acct Summary 7-8'!K79</f>
        <v>94949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130622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29084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29084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29084</v>
      </c>
      <c r="C3635" s="2" t="s">
        <v>594</v>
      </c>
      <c r="D3635" s="2" t="str">
        <f t="shared" si="55"/>
        <v>Error?</v>
      </c>
    </row>
    <row r="3636" spans="1:4" x14ac:dyDescent="0.2">
      <c r="A3636" s="5">
        <v>3575</v>
      </c>
      <c r="B3636" s="138">
        <f>'Expenditures 15-22'!E367</f>
        <v>29084</v>
      </c>
      <c r="C3636" s="2" t="s">
        <v>594</v>
      </c>
      <c r="D3636" s="2" t="str">
        <f t="shared" si="55"/>
        <v>Error?</v>
      </c>
    </row>
    <row r="3637" spans="1:4" x14ac:dyDescent="0.2">
      <c r="A3637" s="10">
        <v>3576</v>
      </c>
      <c r="D3637" s="2" t="str">
        <f t="shared" si="55"/>
        <v>OK</v>
      </c>
    </row>
    <row r="3638" spans="1:4" x14ac:dyDescent="0.2">
      <c r="A3638" s="5">
        <v>3577</v>
      </c>
      <c r="B3638" s="138">
        <f>'Expenditures 15-22'!F348</f>
        <v>687</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687</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687</v>
      </c>
      <c r="C3642" s="2" t="s">
        <v>594</v>
      </c>
      <c r="D3642" s="2" t="str">
        <f t="shared" si="55"/>
        <v>Error?</v>
      </c>
    </row>
    <row r="3643" spans="1:4" x14ac:dyDescent="0.2">
      <c r="A3643" s="5">
        <v>3582</v>
      </c>
      <c r="B3643" s="138">
        <f>'Expenditures 15-22'!F367</f>
        <v>687</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29771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29771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29771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29771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35673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35839</v>
      </c>
      <c r="D3721" s="2" t="str">
        <f t="shared" si="57"/>
        <v>Error?</v>
      </c>
    </row>
    <row r="3722" spans="1:4" x14ac:dyDescent="0.2">
      <c r="A3722" s="5">
        <v>3661</v>
      </c>
      <c r="B3722" s="138">
        <f>'Expenditures 15-22'!D285</f>
        <v>35839</v>
      </c>
      <c r="C3722" s="2" t="s">
        <v>594</v>
      </c>
      <c r="D3722" s="2" t="str">
        <f t="shared" si="57"/>
        <v>Error?</v>
      </c>
    </row>
    <row r="3723" spans="1:4" x14ac:dyDescent="0.2">
      <c r="A3723" s="5">
        <v>3662</v>
      </c>
      <c r="B3723" s="138">
        <f>'Expenditures 15-22'!K283</f>
        <v>35839</v>
      </c>
      <c r="C3723" s="2" t="s">
        <v>594</v>
      </c>
      <c r="D3723" s="2" t="str">
        <f t="shared" si="57"/>
        <v>Error?</v>
      </c>
    </row>
    <row r="3724" spans="1:4" x14ac:dyDescent="0.2">
      <c r="A3724" s="5">
        <v>3663</v>
      </c>
      <c r="B3724" s="138">
        <f>'Expenditures 15-22'!K285</f>
        <v>35839</v>
      </c>
      <c r="C3724" s="2" t="s">
        <v>594</v>
      </c>
      <c r="D3724" s="2" t="str">
        <f t="shared" si="57"/>
        <v>Error?</v>
      </c>
    </row>
    <row r="3725" spans="1:4" x14ac:dyDescent="0.2">
      <c r="A3725" s="5">
        <v>3664</v>
      </c>
      <c r="B3725" s="138">
        <f>'Tax Sched 23'!B13</f>
        <v>64225</v>
      </c>
      <c r="C3725" s="2" t="s">
        <v>594</v>
      </c>
      <c r="D3725" s="2" t="str">
        <f t="shared" si="57"/>
        <v>Error?</v>
      </c>
    </row>
    <row r="3726" spans="1:4" x14ac:dyDescent="0.2">
      <c r="A3726" s="5">
        <v>3665</v>
      </c>
      <c r="B3726" s="138">
        <f>'Tax Sched 23'!D13</f>
        <v>64225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65950</v>
      </c>
      <c r="C3728" s="2" t="s">
        <v>594</v>
      </c>
      <c r="D3728" s="2" t="str">
        <f t="shared" si="57"/>
        <v>Error?</v>
      </c>
    </row>
    <row r="3729" spans="1:4" x14ac:dyDescent="0.2">
      <c r="A3729" s="5">
        <v>3668</v>
      </c>
      <c r="B3729" s="138">
        <f>'Tax Sched 23'!E13</f>
        <v>65950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3109704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9702448</v>
      </c>
      <c r="C4122" s="2" t="s">
        <v>594</v>
      </c>
      <c r="D4122" s="2" t="str">
        <f t="shared" si="63"/>
        <v>Error?</v>
      </c>
    </row>
    <row r="4123" spans="1:4" x14ac:dyDescent="0.2">
      <c r="A4123" s="5">
        <v>4062</v>
      </c>
      <c r="B4123" s="138">
        <f>'Acct Summary 7-8'!D10</f>
        <v>786611</v>
      </c>
      <c r="C4123" s="2" t="s">
        <v>594</v>
      </c>
      <c r="D4123" s="2" t="str">
        <f t="shared" si="63"/>
        <v>Error?</v>
      </c>
    </row>
    <row r="4124" spans="1:4" x14ac:dyDescent="0.2">
      <c r="A4124" s="5">
        <v>4063</v>
      </c>
      <c r="B4124" s="138">
        <f>'Acct Summary 7-8'!E10</f>
        <v>1296025</v>
      </c>
      <c r="C4124" s="2" t="s">
        <v>594</v>
      </c>
      <c r="D4124" s="2" t="str">
        <f t="shared" si="63"/>
        <v>Error?</v>
      </c>
    </row>
    <row r="4125" spans="1:4" x14ac:dyDescent="0.2">
      <c r="A4125" s="5">
        <v>4064</v>
      </c>
      <c r="B4125" s="138">
        <f>'Acct Summary 7-8'!F10</f>
        <v>684093</v>
      </c>
      <c r="C4125" s="2" t="s">
        <v>594</v>
      </c>
      <c r="D4125" s="2" t="str">
        <f t="shared" si="63"/>
        <v>Error?</v>
      </c>
    </row>
    <row r="4126" spans="1:4" x14ac:dyDescent="0.2">
      <c r="A4126" s="5">
        <v>4065</v>
      </c>
      <c r="B4126" s="138">
        <f>'Acct Summary 7-8'!G10</f>
        <v>324662</v>
      </c>
      <c r="C4126" s="2" t="s">
        <v>594</v>
      </c>
      <c r="D4126" s="2" t="str">
        <f t="shared" si="63"/>
        <v>Error?</v>
      </c>
    </row>
    <row r="4127" spans="1:4" x14ac:dyDescent="0.2">
      <c r="A4127" s="5">
        <v>4066</v>
      </c>
      <c r="B4127" s="138">
        <f>'Acct Summary 7-8'!H10</f>
        <v>89421</v>
      </c>
      <c r="C4127" s="2" t="s">
        <v>594</v>
      </c>
      <c r="D4127" s="2" t="str">
        <f t="shared" si="63"/>
        <v>Error?</v>
      </c>
    </row>
    <row r="4128" spans="1:4" x14ac:dyDescent="0.2">
      <c r="A4128" s="5">
        <v>4067</v>
      </c>
      <c r="B4128" s="138">
        <f>'Acct Summary 7-8'!I10</f>
        <v>81108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65444</v>
      </c>
      <c r="C4130" s="2" t="s">
        <v>594</v>
      </c>
      <c r="D4130" s="2" t="str">
        <f t="shared" si="63"/>
        <v>Error?</v>
      </c>
    </row>
    <row r="4131" spans="1:4" x14ac:dyDescent="0.2">
      <c r="A4131" s="5">
        <v>4070</v>
      </c>
      <c r="B4131" s="138">
        <f>'Acct Summary 7-8'!C18</f>
        <v>3109704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9560757</v>
      </c>
      <c r="C4136" s="2" t="s">
        <v>594</v>
      </c>
      <c r="D4136" s="2" t="str">
        <f t="shared" si="63"/>
        <v>Error?</v>
      </c>
    </row>
    <row r="4137" spans="1:4" x14ac:dyDescent="0.2">
      <c r="A4137" s="5">
        <v>4076</v>
      </c>
      <c r="B4137" s="138">
        <f>'Acct Summary 7-8'!D19</f>
        <v>852740</v>
      </c>
      <c r="C4137" s="2" t="s">
        <v>594</v>
      </c>
      <c r="D4137" s="2" t="str">
        <f t="shared" si="63"/>
        <v>Error?</v>
      </c>
    </row>
    <row r="4138" spans="1:4" x14ac:dyDescent="0.2">
      <c r="A4138" s="5">
        <v>4077</v>
      </c>
      <c r="B4138" s="138">
        <f>'Acct Summary 7-8'!E19</f>
        <v>8198428</v>
      </c>
      <c r="C4138" s="2" t="s">
        <v>594</v>
      </c>
      <c r="D4138" s="2" t="str">
        <f t="shared" si="63"/>
        <v>Error?</v>
      </c>
    </row>
    <row r="4139" spans="1:4" x14ac:dyDescent="0.2">
      <c r="A4139" s="5">
        <v>4078</v>
      </c>
      <c r="B4139" s="138">
        <f>'Acct Summary 7-8'!F19</f>
        <v>636891</v>
      </c>
      <c r="C4139" s="2" t="s">
        <v>594</v>
      </c>
      <c r="D4139" s="2" t="str">
        <f t="shared" si="63"/>
        <v>Error?</v>
      </c>
    </row>
    <row r="4140" spans="1:4" x14ac:dyDescent="0.2">
      <c r="A4140" s="5">
        <v>4079</v>
      </c>
      <c r="B4140" s="138">
        <f>'Acct Summary 7-8'!G19</f>
        <v>260459</v>
      </c>
      <c r="C4140" s="2" t="s">
        <v>594</v>
      </c>
      <c r="D4140" s="2" t="str">
        <f t="shared" si="63"/>
        <v>Error?</v>
      </c>
    </row>
    <row r="4141" spans="1:4" x14ac:dyDescent="0.2">
      <c r="A4141" s="5">
        <v>4080</v>
      </c>
      <c r="B4141" s="138">
        <f>'Acct Summary 7-8'!H19</f>
        <v>2319555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29771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11825000</v>
      </c>
      <c r="C4171" s="2" t="s">
        <v>594</v>
      </c>
      <c r="D4171" s="2" t="str">
        <f t="shared" si="64"/>
        <v>Error?</v>
      </c>
    </row>
    <row r="4172" spans="1:4" x14ac:dyDescent="0.2">
      <c r="A4172" s="5">
        <v>4111</v>
      </c>
      <c r="B4172" s="138">
        <f>'Short-Term Long-Term Debt 24'!J49</f>
        <v>11199560</v>
      </c>
      <c r="C4172" s="2" t="s">
        <v>594</v>
      </c>
      <c r="D4172" s="2" t="str">
        <f t="shared" si="64"/>
        <v>Error?</v>
      </c>
    </row>
    <row r="4173" spans="1:4" x14ac:dyDescent="0.2">
      <c r="A4173" s="5">
        <v>4112</v>
      </c>
      <c r="B4173" s="138">
        <f>'Short-Term Long-Term Debt 24'!H49</f>
        <v>7850000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2460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3160.0000000000005</v>
      </c>
      <c r="C4268" s="2" t="s">
        <v>594</v>
      </c>
      <c r="D4268" s="2" t="str">
        <f t="shared" si="65"/>
        <v>Error?</v>
      </c>
    </row>
    <row r="4269" spans="1:5" x14ac:dyDescent="0.2">
      <c r="A4269" s="12">
        <v>4208</v>
      </c>
      <c r="B4269" s="138">
        <f>'FP Info 3'!J16</f>
        <v>6005558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8204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19629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16988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131900695</v>
      </c>
      <c r="D4995" s="2" t="str">
        <f t="shared" si="77"/>
        <v>Error?</v>
      </c>
    </row>
    <row r="4996" spans="1:4" x14ac:dyDescent="0.2">
      <c r="A4996" s="12">
        <v>4935</v>
      </c>
      <c r="B4996" s="138">
        <f>'FP Info 3'!H31</f>
        <v>18202295.91</v>
      </c>
      <c r="D4996" s="2" t="str">
        <f t="shared" si="77"/>
        <v>Error?</v>
      </c>
    </row>
    <row r="4997" spans="1:4" x14ac:dyDescent="0.2">
      <c r="A4997" s="12">
        <v>4936</v>
      </c>
      <c r="B4997" s="138">
        <f>'FP Info 3'!H37</f>
        <v>11825000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64225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3159879</v>
      </c>
      <c r="D5061" s="2" t="str">
        <f t="shared" si="78"/>
        <v>Error?</v>
      </c>
    </row>
    <row r="5062" spans="1:4" x14ac:dyDescent="0.2">
      <c r="A5062" s="10">
        <v>5001</v>
      </c>
      <c r="D5062" s="2" t="str">
        <f t="shared" si="78"/>
        <v>OK</v>
      </c>
    </row>
    <row r="5063" spans="1:4" x14ac:dyDescent="0.2">
      <c r="A5063" s="5">
        <v>5002</v>
      </c>
      <c r="B5063" s="138">
        <f>'Revenues 9-14'!C7</f>
        <v>51380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3275484</v>
      </c>
      <c r="C5066" s="2" t="s">
        <v>594</v>
      </c>
      <c r="D5066" s="2" t="str">
        <f t="shared" si="78"/>
        <v>Error?</v>
      </c>
    </row>
    <row r="5067" spans="1:4" x14ac:dyDescent="0.2">
      <c r="A5067" s="5">
        <v>5006</v>
      </c>
      <c r="B5067" s="138">
        <f>'Revenues 9-14'!C14</f>
        <v>5346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5346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15522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15522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7653</v>
      </c>
      <c r="D5095" s="2" t="str">
        <f t="shared" si="78"/>
        <v>Error?</v>
      </c>
    </row>
    <row r="5096" spans="1:4" x14ac:dyDescent="0.2">
      <c r="A5096" s="5">
        <v>5035</v>
      </c>
      <c r="B5096" s="138">
        <f>'Revenues 9-14'!C75</f>
        <v>90405</v>
      </c>
      <c r="C5096" s="2" t="s">
        <v>594</v>
      </c>
      <c r="D5096" s="2" t="str">
        <f t="shared" si="78"/>
        <v>Error?</v>
      </c>
    </row>
    <row r="5097" spans="1:4" x14ac:dyDescent="0.2">
      <c r="A5097" s="5">
        <v>5036</v>
      </c>
      <c r="B5097" s="138">
        <f>'Revenues 9-14'!C77</f>
        <v>27109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56465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2421</v>
      </c>
      <c r="D5101" s="2" t="str">
        <f t="shared" si="78"/>
        <v>Error?</v>
      </c>
    </row>
    <row r="5102" spans="1:4" x14ac:dyDescent="0.2">
      <c r="A5102" s="5">
        <v>5041</v>
      </c>
      <c r="B5102" s="138">
        <f>'Revenues 9-14'!C82</f>
        <v>85995</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22506</v>
      </c>
      <c r="D5119" s="2" t="str">
        <f t="shared" ref="D5119:D5182" si="79">IF(ISBLANK(B5119),"OK",IF(A5119-B5119=0,"OK","Error?"))</f>
        <v>Error?</v>
      </c>
    </row>
    <row r="5120" spans="1:4" x14ac:dyDescent="0.2">
      <c r="A5120" s="5">
        <v>5059</v>
      </c>
      <c r="B5120" s="138">
        <f>'Revenues 9-14'!C108</f>
        <v>30710</v>
      </c>
      <c r="C5120" s="2" t="s">
        <v>594</v>
      </c>
      <c r="D5120" s="2" t="str">
        <f t="shared" si="79"/>
        <v>Error?</v>
      </c>
    </row>
    <row r="5121" spans="1:4" x14ac:dyDescent="0.2">
      <c r="A5121" s="5">
        <v>5060</v>
      </c>
      <c r="B5121" s="138">
        <f>'Revenues 9-14'!C109</f>
        <v>3503462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2178229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2178229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57753</v>
      </c>
      <c r="D5134" s="2" t="str">
        <f t="shared" si="79"/>
        <v>Error?</v>
      </c>
    </row>
    <row r="5135" spans="1:4" x14ac:dyDescent="0.2">
      <c r="A5135" s="5">
        <v>5074</v>
      </c>
      <c r="B5135" s="138">
        <f>'Revenues 9-14'!C126</f>
        <v>16733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74486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3363</v>
      </c>
      <c r="D5167" s="2" t="str">
        <f t="shared" si="79"/>
        <v>Error?</v>
      </c>
    </row>
    <row r="5168" spans="1:4" x14ac:dyDescent="0.2">
      <c r="A5168" s="5">
        <v>5107</v>
      </c>
      <c r="B5168" s="138">
        <f>'Revenues 9-14'!C147</f>
        <v>13455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299953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408245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2586474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172199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61574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233773</v>
      </c>
      <c r="C5246" s="2" t="s">
        <v>594</v>
      </c>
      <c r="D5246" s="2" t="str">
        <f t="shared" si="80"/>
        <v>Error?</v>
      </c>
    </row>
    <row r="5247" spans="1:4" x14ac:dyDescent="0.2">
      <c r="A5247" s="5">
        <v>5186</v>
      </c>
      <c r="B5247" s="138">
        <f>'Revenues 9-14'!C203</f>
        <v>90855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90855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150347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150347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502808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502808</v>
      </c>
      <c r="C5326" s="2" t="s">
        <v>594</v>
      </c>
      <c r="D5326" s="2" t="str">
        <f t="shared" si="82"/>
        <v>Error?</v>
      </c>
    </row>
    <row r="5327" spans="1:4" x14ac:dyDescent="0.2">
      <c r="A5327" s="5">
        <v>5266</v>
      </c>
      <c r="B5327" s="138">
        <f>'Revenues 9-14'!C275</f>
        <v>6592744</v>
      </c>
      <c r="C5327" s="2" t="s">
        <v>594</v>
      </c>
      <c r="D5327" s="2" t="str">
        <f t="shared" si="82"/>
        <v>Error?</v>
      </c>
    </row>
    <row r="5328" spans="1:4" x14ac:dyDescent="0.2">
      <c r="A5328" s="5">
        <v>5267</v>
      </c>
      <c r="B5328" s="138">
        <f>'Revenues 9-14'!D5</f>
        <v>642251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642251</v>
      </c>
      <c r="C5334" s="2" t="s">
        <v>594</v>
      </c>
      <c r="D5334" s="2" t="str">
        <f t="shared" si="82"/>
        <v>Error?</v>
      </c>
    </row>
    <row r="5335" spans="1:4" x14ac:dyDescent="0.2">
      <c r="A5335" s="5">
        <v>5274</v>
      </c>
      <c r="B5335" s="138">
        <f>'Revenues 9-14'!D14</f>
        <v>1048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114049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115097</v>
      </c>
      <c r="C5339" s="2" t="s">
        <v>594</v>
      </c>
      <c r="D5339" s="2" t="str">
        <f t="shared" si="82"/>
        <v>Error?</v>
      </c>
    </row>
    <row r="5340" spans="1:4" x14ac:dyDescent="0.2">
      <c r="A5340" s="5">
        <v>5279</v>
      </c>
      <c r="B5340" s="138">
        <f>'Revenues 9-14'!D65</f>
        <v>7913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7913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21350</v>
      </c>
      <c r="D5354" s="2" t="str">
        <f t="shared" si="82"/>
        <v>Error?</v>
      </c>
    </row>
    <row r="5355" spans="1:4" x14ac:dyDescent="0.2">
      <c r="A5355" s="5">
        <v>5294</v>
      </c>
      <c r="B5355" s="138">
        <f>'Revenues 9-14'!D108</f>
        <v>21350</v>
      </c>
      <c r="C5355" s="2" t="s">
        <v>594</v>
      </c>
      <c r="D5355" s="2" t="str">
        <f t="shared" si="82"/>
        <v>Error?</v>
      </c>
    </row>
    <row r="5356" spans="1:4" x14ac:dyDescent="0.2">
      <c r="A5356" s="5">
        <v>5295</v>
      </c>
      <c r="B5356" s="138">
        <f>'Revenues 9-14'!D109</f>
        <v>786611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786611</v>
      </c>
      <c r="C5508" s="2" t="s">
        <v>594</v>
      </c>
      <c r="D5508" s="2" t="str">
        <f t="shared" si="85"/>
        <v>Error?</v>
      </c>
    </row>
    <row r="5509" spans="1:4" x14ac:dyDescent="0.2">
      <c r="A5509" s="5">
        <v>5448</v>
      </c>
      <c r="B5509" s="138">
        <f>'Revenues 9-14'!E5</f>
        <v>762563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762563</v>
      </c>
      <c r="C5513" s="2" t="s">
        <v>594</v>
      </c>
      <c r="D5513" s="2" t="str">
        <f t="shared" si="85"/>
        <v>Error?</v>
      </c>
    </row>
    <row r="5514" spans="1:4" x14ac:dyDescent="0.2">
      <c r="A5514" s="5">
        <v>5453</v>
      </c>
      <c r="B5514" s="138">
        <f>'Revenues 9-14'!E14</f>
        <v>1245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1245</v>
      </c>
      <c r="C5518" s="2" t="s">
        <v>594</v>
      </c>
      <c r="D5518" s="2" t="str">
        <f t="shared" si="85"/>
        <v>Error?</v>
      </c>
    </row>
    <row r="5519" spans="1:4" x14ac:dyDescent="0.2">
      <c r="A5519" s="5">
        <v>5458</v>
      </c>
      <c r="B5519" s="138">
        <f>'Revenues 9-14'!E65</f>
        <v>6100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6100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526117</v>
      </c>
      <c r="C5526" s="2" t="s">
        <v>594</v>
      </c>
      <c r="D5526" s="2" t="str">
        <f t="shared" si="85"/>
        <v>Error?</v>
      </c>
    </row>
    <row r="5527" spans="1:4" x14ac:dyDescent="0.2">
      <c r="A5527" s="5">
        <v>5466</v>
      </c>
      <c r="B5527" s="138">
        <f>'Revenues 9-14'!E109</f>
        <v>1296025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1296025</v>
      </c>
      <c r="C5552" s="2" t="s">
        <v>594</v>
      </c>
      <c r="D5552" s="2" t="str">
        <f t="shared" si="85"/>
        <v>Error?</v>
      </c>
    </row>
    <row r="5553" spans="1:4" x14ac:dyDescent="0.2">
      <c r="A5553" s="5">
        <v>5492</v>
      </c>
      <c r="B5553" s="138">
        <f>'Revenues 9-14'!F5</f>
        <v>256901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256901</v>
      </c>
      <c r="C5557" s="2" t="s">
        <v>594</v>
      </c>
      <c r="D5557" s="2" t="str">
        <f t="shared" si="85"/>
        <v>Error?</v>
      </c>
    </row>
    <row r="5558" spans="1:4" x14ac:dyDescent="0.2">
      <c r="A5558" s="5">
        <v>5497</v>
      </c>
      <c r="B5558" s="138">
        <f>'Revenues 9-14'!F14</f>
        <v>419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419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6333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6333</v>
      </c>
      <c r="C5579" s="2" t="s">
        <v>594</v>
      </c>
      <c r="D5579" s="2" t="str">
        <f t="shared" si="86"/>
        <v>Error?</v>
      </c>
    </row>
    <row r="5580" spans="1:4" x14ac:dyDescent="0.2">
      <c r="A5580" s="5">
        <v>5519</v>
      </c>
      <c r="B5580" s="138">
        <f>'Revenues 9-14'!F65</f>
        <v>3879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3879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267532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310360</v>
      </c>
      <c r="D5615" s="2" t="str">
        <f t="shared" si="86"/>
        <v>Error?</v>
      </c>
    </row>
    <row r="5616" spans="1:4" x14ac:dyDescent="0.2">
      <c r="A5616" s="10">
        <v>5555</v>
      </c>
      <c r="D5616" s="2" t="str">
        <f t="shared" si="86"/>
        <v>OK</v>
      </c>
    </row>
    <row r="5617" spans="1:4" x14ac:dyDescent="0.2">
      <c r="A5617" s="5">
        <v>5556</v>
      </c>
      <c r="B5617" s="138">
        <f>'Revenues 9-14'!F152</f>
        <v>106201</v>
      </c>
      <c r="D5617" s="2" t="str">
        <f t="shared" si="86"/>
        <v>Error?</v>
      </c>
    </row>
    <row r="5618" spans="1:4" x14ac:dyDescent="0.2">
      <c r="A5618" s="5">
        <v>5557</v>
      </c>
      <c r="B5618" s="138">
        <f>'Revenues 9-14'!F154</f>
        <v>416561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416561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416561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684093</v>
      </c>
      <c r="C5720" s="2" t="s">
        <v>594</v>
      </c>
      <c r="D5720" s="2" t="str">
        <f t="shared" si="88"/>
        <v>Error?</v>
      </c>
    </row>
    <row r="5721" spans="1:4" x14ac:dyDescent="0.2">
      <c r="A5721" s="5">
        <v>5660</v>
      </c>
      <c r="B5721" s="138">
        <f>'Revenues 9-14'!G5</f>
        <v>191391</v>
      </c>
      <c r="D5721" s="2" t="str">
        <f t="shared" si="88"/>
        <v>Error?</v>
      </c>
    </row>
    <row r="5722" spans="1:4" x14ac:dyDescent="0.2">
      <c r="A5722" s="5">
        <v>5661</v>
      </c>
      <c r="B5722" s="138">
        <f>'Revenues 9-14'!G7</f>
        <v>0</v>
      </c>
      <c r="D5722" s="2" t="str">
        <f t="shared" si="88"/>
        <v>Error?</v>
      </c>
    </row>
    <row r="5723" spans="1:4" x14ac:dyDescent="0.2">
      <c r="A5723" s="5">
        <v>5662</v>
      </c>
      <c r="B5723" s="138">
        <f>'Revenues 9-14'!G8</f>
        <v>115823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307214</v>
      </c>
      <c r="C5725" s="2" t="s">
        <v>594</v>
      </c>
      <c r="D5725" s="2" t="str">
        <f t="shared" si="88"/>
        <v>Error?</v>
      </c>
    </row>
    <row r="5726" spans="1:4" x14ac:dyDescent="0.2">
      <c r="A5726" s="5">
        <v>5665</v>
      </c>
      <c r="B5726" s="138">
        <f>'Revenues 9-14'!G14</f>
        <v>501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14740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15241</v>
      </c>
      <c r="C5730" s="2" t="s">
        <v>594</v>
      </c>
      <c r="D5730" s="2" t="str">
        <f t="shared" si="88"/>
        <v>Error?</v>
      </c>
    </row>
    <row r="5731" spans="1:4" x14ac:dyDescent="0.2">
      <c r="A5731" s="5">
        <v>5670</v>
      </c>
      <c r="B5731" s="138">
        <f>'Revenues 9-14'!G65</f>
        <v>2207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2207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324662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15514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15514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73907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89421</v>
      </c>
      <c r="C5915" s="2" t="s">
        <v>594</v>
      </c>
      <c r="D5915" s="2" t="str">
        <f t="shared" si="91"/>
        <v>Error?</v>
      </c>
    </row>
    <row r="5916" spans="1:4" x14ac:dyDescent="0.2">
      <c r="A5916" s="5">
        <v>5855</v>
      </c>
      <c r="B5916" s="138">
        <f>'Revenues 9-14'!I5</f>
        <v>64224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64224</v>
      </c>
      <c r="C5918" s="2" t="s">
        <v>594</v>
      </c>
      <c r="D5918" s="2" t="str">
        <f t="shared" si="91"/>
        <v>Error?</v>
      </c>
    </row>
    <row r="5919" spans="1:4" x14ac:dyDescent="0.2">
      <c r="A5919" s="5">
        <v>5858</v>
      </c>
      <c r="B5919" s="138">
        <f>'Revenues 9-14'!I14</f>
        <v>105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105</v>
      </c>
      <c r="C5923" s="2" t="s">
        <v>594</v>
      </c>
      <c r="D5923" s="2" t="str">
        <f t="shared" si="91"/>
        <v>Error?</v>
      </c>
    </row>
    <row r="5924" spans="1:4" x14ac:dyDescent="0.2">
      <c r="A5924" s="5">
        <v>5863</v>
      </c>
      <c r="B5924" s="138">
        <f>'Revenues 9-14'!I65</f>
        <v>16779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16779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81108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64224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64224</v>
      </c>
      <c r="C5987" s="2" t="s">
        <v>594</v>
      </c>
      <c r="D5987" s="2" t="str">
        <f t="shared" si="92"/>
        <v>Error?</v>
      </c>
    </row>
    <row r="5988" spans="1:4" x14ac:dyDescent="0.2">
      <c r="A5988" s="5">
        <v>5927</v>
      </c>
      <c r="B5988" s="138">
        <f>'Revenues 9-14'!K14</f>
        <v>105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105</v>
      </c>
      <c r="C5992" s="2" t="s">
        <v>594</v>
      </c>
      <c r="D5992" s="2" t="str">
        <f t="shared" si="92"/>
        <v>Error?</v>
      </c>
    </row>
    <row r="5993" spans="1:4" x14ac:dyDescent="0.2">
      <c r="A5993" s="5">
        <v>5932</v>
      </c>
      <c r="B5993" s="138">
        <f>'Revenues 9-14'!K65</f>
        <v>1115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1115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65444</v>
      </c>
      <c r="C6023" s="2" t="s">
        <v>594</v>
      </c>
      <c r="D6023" s="2" t="str">
        <f t="shared" si="93"/>
        <v>Error?</v>
      </c>
    </row>
    <row r="6024" spans="1:5" x14ac:dyDescent="0.2">
      <c r="A6024" s="5">
        <v>5963</v>
      </c>
      <c r="B6024" s="138">
        <f>'Revenues 9-14'!G109</f>
        <v>324662</v>
      </c>
      <c r="C6024" s="2" t="s">
        <v>594</v>
      </c>
      <c r="D6024" s="2" t="str">
        <f t="shared" si="93"/>
        <v>Error?</v>
      </c>
    </row>
    <row r="6025" spans="1:5" x14ac:dyDescent="0.2">
      <c r="A6025" s="5">
        <v>5964</v>
      </c>
      <c r="B6025" s="138">
        <f>'Revenues 9-14'!H109</f>
        <v>89421</v>
      </c>
      <c r="C6025" s="2" t="s">
        <v>594</v>
      </c>
      <c r="D6025" s="2" t="str">
        <f t="shared" si="93"/>
        <v>Error?</v>
      </c>
    </row>
    <row r="6026" spans="1:5" x14ac:dyDescent="0.2">
      <c r="A6026" s="5">
        <v>5965</v>
      </c>
      <c r="B6026" s="138">
        <f>'Revenues 9-14'!I109</f>
        <v>81108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65444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82752</v>
      </c>
      <c r="D6031" s="2" t="str">
        <f t="shared" si="93"/>
        <v>Error?</v>
      </c>
    </row>
    <row r="6032" spans="1:5" x14ac:dyDescent="0.2">
      <c r="A6032" s="5">
        <v>5971</v>
      </c>
      <c r="B6032" s="138">
        <f>'Acct Summary 7-8'!G15</f>
        <v>35839</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29393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837.28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23893</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177528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23893</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15795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7301</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31194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146334</v>
      </c>
      <c r="D6215" s="2" t="str">
        <f t="shared" si="96"/>
        <v>Error?</v>
      </c>
      <c r="E6215" s="2" t="s">
        <v>199</v>
      </c>
    </row>
    <row r="6216" spans="1:5" x14ac:dyDescent="0.2">
      <c r="A6216">
        <v>6155</v>
      </c>
      <c r="B6216" s="138">
        <f>'Assets-Liab 5-6'!J41</f>
        <v>177528</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177528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281760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281760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281760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219653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219653</v>
      </c>
      <c r="D6229" s="2" t="str">
        <f t="shared" si="96"/>
        <v>Error?</v>
      </c>
      <c r="E6229" s="2" t="s">
        <v>199</v>
      </c>
    </row>
    <row r="6230" spans="1:5" x14ac:dyDescent="0.2">
      <c r="A6230">
        <v>6169</v>
      </c>
      <c r="B6230" s="138">
        <f>'Acct Summary 7-8'!J20</f>
        <v>62107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62107</v>
      </c>
      <c r="D6263" s="2" t="str">
        <f t="shared" si="96"/>
        <v>Error?</v>
      </c>
      <c r="E6263" s="2" t="s">
        <v>199</v>
      </c>
    </row>
    <row r="6264" spans="1:5" x14ac:dyDescent="0.2">
      <c r="A6264">
        <v>6203</v>
      </c>
      <c r="B6264" s="138">
        <f>'Acct Summary 7-8'!J79</f>
        <v>84227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146334</v>
      </c>
      <c r="D6266" s="2" t="str">
        <f t="shared" si="96"/>
        <v>Error?</v>
      </c>
      <c r="E6266" s="2" t="s">
        <v>199</v>
      </c>
    </row>
    <row r="6267" spans="1:5" x14ac:dyDescent="0.2">
      <c r="A6267">
        <v>6206</v>
      </c>
      <c r="B6267" s="138">
        <f>'Acct Summary 7-8'!C82</f>
        <v>141886</v>
      </c>
      <c r="D6267" s="2" t="str">
        <f t="shared" si="96"/>
        <v>Error?</v>
      </c>
      <c r="E6267" s="2" t="s">
        <v>199</v>
      </c>
    </row>
    <row r="6268" spans="1:5" x14ac:dyDescent="0.2">
      <c r="A6268">
        <v>6207</v>
      </c>
      <c r="B6268" s="138">
        <f>'Acct Summary 7-8'!D82</f>
        <v>-66129</v>
      </c>
      <c r="D6268" s="2" t="str">
        <f t="shared" si="96"/>
        <v>Error?</v>
      </c>
      <c r="E6268" s="2" t="s">
        <v>199</v>
      </c>
    </row>
    <row r="6269" spans="1:5" x14ac:dyDescent="0.2">
      <c r="A6269">
        <v>6208</v>
      </c>
      <c r="B6269" s="138">
        <f>'Acct Summary 7-8'!E82</f>
        <v>25409</v>
      </c>
      <c r="D6269" s="2" t="str">
        <f t="shared" si="96"/>
        <v>Error?</v>
      </c>
      <c r="E6269" s="2" t="s">
        <v>199</v>
      </c>
    </row>
    <row r="6270" spans="1:5" x14ac:dyDescent="0.2">
      <c r="A6270">
        <v>6209</v>
      </c>
      <c r="B6270" s="138">
        <f>'Acct Summary 7-8'!F82</f>
        <v>47202</v>
      </c>
      <c r="D6270" s="2" t="str">
        <f t="shared" si="96"/>
        <v>Error?</v>
      </c>
      <c r="E6270" s="2" t="s">
        <v>199</v>
      </c>
    </row>
    <row r="6271" spans="1:5" x14ac:dyDescent="0.2">
      <c r="A6271">
        <v>6210</v>
      </c>
      <c r="B6271" s="138">
        <f>'Acct Summary 7-8'!G82</f>
        <v>64203</v>
      </c>
      <c r="D6271" s="2" t="str">
        <f t="shared" ref="D6271:D6334" si="97">IF(ISBLANK(B6271),"OK",IF(A6271-B6271=0,"OK","Error?"))</f>
        <v>Error?</v>
      </c>
      <c r="E6271" s="2" t="s">
        <v>199</v>
      </c>
    </row>
    <row r="6272" spans="1:5" x14ac:dyDescent="0.2">
      <c r="A6272">
        <v>6211</v>
      </c>
      <c r="B6272" s="138">
        <f>'Acct Summary 7-8'!H82</f>
        <v>3331831</v>
      </c>
      <c r="D6272" s="2" t="str">
        <f t="shared" si="97"/>
        <v>Error?</v>
      </c>
      <c r="E6272" s="2" t="s">
        <v>199</v>
      </c>
    </row>
    <row r="6273" spans="1:5" x14ac:dyDescent="0.2">
      <c r="A6273">
        <v>6212</v>
      </c>
      <c r="B6273" s="138">
        <f>'Acct Summary 7-8'!I82</f>
        <v>81108</v>
      </c>
      <c r="D6273" s="2" t="str">
        <f t="shared" si="97"/>
        <v>Error?</v>
      </c>
      <c r="E6273" s="2" t="s">
        <v>199</v>
      </c>
    </row>
    <row r="6274" spans="1:5" x14ac:dyDescent="0.2">
      <c r="A6274">
        <v>6213</v>
      </c>
      <c r="B6274" s="138">
        <f>'Acct Summary 7-8'!J82</f>
        <v>62107</v>
      </c>
      <c r="D6274" s="2" t="str">
        <f t="shared" si="97"/>
        <v>Error?</v>
      </c>
      <c r="E6274" s="2" t="s">
        <v>199</v>
      </c>
    </row>
    <row r="6275" spans="1:5" x14ac:dyDescent="0.2">
      <c r="A6275">
        <v>6214</v>
      </c>
      <c r="B6275" s="138">
        <f>'Acct Summary 7-8'!K82</f>
        <v>35673</v>
      </c>
      <c r="D6275" s="2" t="str">
        <f t="shared" si="97"/>
        <v>Error?</v>
      </c>
      <c r="E6275" s="2" t="s">
        <v>199</v>
      </c>
    </row>
    <row r="6276" spans="1:5" x14ac:dyDescent="0.2">
      <c r="A6276">
        <v>6215</v>
      </c>
      <c r="B6276" s="138">
        <f>'Acct Summary 7-8'!C83</f>
        <v>0.11291396921020067</v>
      </c>
      <c r="D6276" s="2" t="str">
        <f t="shared" si="97"/>
        <v>Error?</v>
      </c>
      <c r="E6276" s="2" t="s">
        <v>199</v>
      </c>
    </row>
    <row r="6277" spans="1:5" x14ac:dyDescent="0.2">
      <c r="A6277">
        <v>6216</v>
      </c>
      <c r="B6277" s="138">
        <f>'Acct Summary 7-8'!D83</f>
        <v>-6.3248051264884517E-2</v>
      </c>
      <c r="D6277" s="2" t="str">
        <f t="shared" si="97"/>
        <v>Error?</v>
      </c>
      <c r="E6277" s="2" t="s">
        <v>199</v>
      </c>
    </row>
    <row r="6278" spans="1:5" x14ac:dyDescent="0.2">
      <c r="A6278">
        <v>6217</v>
      </c>
      <c r="B6278" s="138">
        <f>'Acct Summary 7-8'!E83</f>
        <v>4.0625799437196214E-2</v>
      </c>
      <c r="D6278" s="2" t="str">
        <f t="shared" si="97"/>
        <v>Error?</v>
      </c>
      <c r="E6278" s="2" t="s">
        <v>199</v>
      </c>
    </row>
    <row r="6279" spans="1:5" x14ac:dyDescent="0.2">
      <c r="A6279">
        <v>6218</v>
      </c>
      <c r="B6279" s="138">
        <f>'Acct Summary 7-8'!F83</f>
        <v>6.4555040413572393E-2</v>
      </c>
      <c r="D6279" s="2" t="str">
        <f t="shared" si="97"/>
        <v>Error?</v>
      </c>
      <c r="E6279" s="2" t="s">
        <v>199</v>
      </c>
    </row>
    <row r="6280" spans="1:5" x14ac:dyDescent="0.2">
      <c r="A6280">
        <v>6219</v>
      </c>
      <c r="B6280" s="138">
        <f>'Acct Summary 7-8'!G83</f>
        <v>0.28561705080809835</v>
      </c>
      <c r="D6280" s="2" t="str">
        <f t="shared" si="97"/>
        <v>Error?</v>
      </c>
      <c r="E6280" s="2" t="s">
        <v>199</v>
      </c>
    </row>
    <row r="6281" spans="1:5" x14ac:dyDescent="0.2">
      <c r="A6281">
        <v>6220</v>
      </c>
      <c r="B6281" s="138">
        <f>'Acct Summary 7-8'!H83</f>
        <v>0.94357679623569657</v>
      </c>
      <c r="D6281" s="2" t="str">
        <f t="shared" si="97"/>
        <v>Error?</v>
      </c>
      <c r="E6281" s="2" t="s">
        <v>199</v>
      </c>
    </row>
    <row r="6282" spans="1:5" x14ac:dyDescent="0.2">
      <c r="A6282">
        <v>6221</v>
      </c>
      <c r="B6282" s="138">
        <f>'Acct Summary 7-8'!I83</f>
        <v>2.728857394423654E-2</v>
      </c>
      <c r="D6282" s="2" t="str">
        <f t="shared" si="97"/>
        <v>Error?</v>
      </c>
      <c r="E6282" s="2" t="s">
        <v>199</v>
      </c>
    </row>
    <row r="6283" spans="1:5" x14ac:dyDescent="0.2">
      <c r="A6283">
        <v>6222</v>
      </c>
      <c r="B6283" s="138">
        <f>'Acct Summary 7-8'!J83</f>
        <v>0.4244194787267484</v>
      </c>
      <c r="D6283" s="2" t="str">
        <f t="shared" si="97"/>
        <v>Error?</v>
      </c>
      <c r="E6283" s="2" t="s">
        <v>199</v>
      </c>
    </row>
    <row r="6284" spans="1:5" x14ac:dyDescent="0.2">
      <c r="A6284">
        <v>6223</v>
      </c>
      <c r="B6284" s="138">
        <f>'Acct Summary 7-8'!K83</f>
        <v>0.27310100901838896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279727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279727</v>
      </c>
      <c r="D6301" s="2" t="str">
        <f t="shared" si="97"/>
        <v>Error?</v>
      </c>
      <c r="E6301" s="2" t="s">
        <v>199</v>
      </c>
    </row>
    <row r="6302" spans="1:5" x14ac:dyDescent="0.2">
      <c r="A6302">
        <v>6241</v>
      </c>
      <c r="B6302" s="138">
        <f>'Revenues 9-14'!J14</f>
        <v>456</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456</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1577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1577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8204</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281760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168984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31937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230715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31937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30841</v>
      </c>
      <c r="D6981" s="2" t="str">
        <f t="shared" si="108"/>
        <v>Error?</v>
      </c>
    </row>
    <row r="6982" spans="1:4" x14ac:dyDescent="0.2">
      <c r="A6982">
        <v>6921</v>
      </c>
      <c r="B6982" s="138">
        <f>'Expenditures 15-22'!K85</f>
        <v>30841</v>
      </c>
      <c r="D6982" s="2" t="str">
        <f t="shared" si="108"/>
        <v>Error?</v>
      </c>
    </row>
    <row r="6983" spans="1:4" x14ac:dyDescent="0.2">
      <c r="A6983">
        <v>6922</v>
      </c>
      <c r="B6983" s="138">
        <f>'Expenditures 15-22'!H86</f>
        <v>413886</v>
      </c>
      <c r="D6983" s="2" t="str">
        <f t="shared" si="108"/>
        <v>Error?</v>
      </c>
    </row>
    <row r="6984" spans="1:4" x14ac:dyDescent="0.2">
      <c r="A6984">
        <v>6923</v>
      </c>
      <c r="B6984" s="138">
        <f>'Expenditures 15-22'!K86</f>
        <v>413886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44100</v>
      </c>
      <c r="D6987" s="2" t="str">
        <f t="shared" si="108"/>
        <v>Error?</v>
      </c>
    </row>
    <row r="6988" spans="1:4" x14ac:dyDescent="0.2">
      <c r="A6988">
        <v>6927</v>
      </c>
      <c r="B6988" s="138">
        <f>'Expenditures 15-22'!K88</f>
        <v>44100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488827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31937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219653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281760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217337</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217337</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217337</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9241</v>
      </c>
      <c r="D7073" s="2" t="str">
        <f t="shared" si="109"/>
        <v>Error?</v>
      </c>
    </row>
    <row r="7074" spans="1:4" x14ac:dyDescent="0.2">
      <c r="A7074">
        <v>7013</v>
      </c>
      <c r="B7074" s="138">
        <f>'Expenditures 15-22'!K216</f>
        <v>9241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1050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1050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162258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162258</v>
      </c>
      <c r="D7153" s="2" t="str">
        <f t="shared" si="110"/>
        <v>Error?</v>
      </c>
    </row>
    <row r="7154" spans="1:4" x14ac:dyDescent="0.2">
      <c r="A7154">
        <v>7093</v>
      </c>
      <c r="B7154" s="138">
        <f>'Expenditures 15-22'!C323</f>
        <v>33711</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6875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40586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10813</v>
      </c>
      <c r="D7174" s="2" t="str">
        <f t="shared" si="111"/>
        <v>Error?</v>
      </c>
    </row>
    <row r="7175" spans="1:4" x14ac:dyDescent="0.2">
      <c r="A7175">
        <v>7114</v>
      </c>
      <c r="B7175" s="138">
        <f>'Expenditures 15-22'!F325</f>
        <v>2710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13523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2236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2236</v>
      </c>
      <c r="D7198" s="2" t="str">
        <f t="shared" si="111"/>
        <v>Error?</v>
      </c>
    </row>
    <row r="7199" spans="1:4" x14ac:dyDescent="0.2">
      <c r="A7199">
        <v>7138</v>
      </c>
      <c r="B7199" s="138">
        <f>'Expenditures 15-22'!C330</f>
        <v>33711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183232</v>
      </c>
      <c r="D7201" s="2" t="str">
        <f t="shared" si="111"/>
        <v>Error?</v>
      </c>
    </row>
    <row r="7202" spans="1:4" x14ac:dyDescent="0.2">
      <c r="A7202">
        <v>7141</v>
      </c>
      <c r="B7202" s="138">
        <f>'Expenditures 15-22'!F330</f>
        <v>2710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219653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33711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183232</v>
      </c>
      <c r="D7218" s="2" t="str">
        <f t="shared" si="111"/>
        <v>Error?</v>
      </c>
    </row>
    <row r="7219" spans="1:4" x14ac:dyDescent="0.2">
      <c r="A7219">
        <v>7158</v>
      </c>
      <c r="B7219" s="138">
        <f>'Expenditures 15-22'!F342</f>
        <v>2710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219653</v>
      </c>
      <c r="D7224" s="2" t="str">
        <f t="shared" si="111"/>
        <v>Error?</v>
      </c>
    </row>
    <row r="7225" spans="1:4" x14ac:dyDescent="0.2">
      <c r="A7225">
        <v>7164</v>
      </c>
      <c r="B7225" s="138">
        <f>'Expenditures 15-22'!K343</f>
        <v>62107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27166</v>
      </c>
      <c r="D7246" s="2" t="str">
        <f t="shared" si="112"/>
        <v>Error?</v>
      </c>
    </row>
    <row r="7247" spans="1:4" x14ac:dyDescent="0.2">
      <c r="A7247">
        <f t="shared" si="113"/>
        <v>7186</v>
      </c>
      <c r="B7247" s="138">
        <f>'Expenditures 15-22'!E7</f>
        <v>6870</v>
      </c>
      <c r="D7247" s="2" t="str">
        <f t="shared" si="112"/>
        <v>Error?</v>
      </c>
    </row>
    <row r="7248" spans="1:4" x14ac:dyDescent="0.2">
      <c r="A7248">
        <f t="shared" si="113"/>
        <v>7187</v>
      </c>
      <c r="B7248" s="138">
        <f>'Expenditures 15-22'!F7</f>
        <v>20580</v>
      </c>
      <c r="D7248" s="2" t="str">
        <f t="shared" si="112"/>
        <v>Error?</v>
      </c>
    </row>
    <row r="7249" spans="1:4" x14ac:dyDescent="0.2">
      <c r="A7249">
        <f t="shared" si="113"/>
        <v>7188</v>
      </c>
      <c r="B7249" s="138">
        <f>'Expenditures 15-22'!G7</f>
        <v>7115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249274</v>
      </c>
      <c r="D7624" s="2" t="str">
        <f t="shared" si="124"/>
        <v>Error?</v>
      </c>
      <c r="E7624" s="2" t="s">
        <v>19</v>
      </c>
    </row>
    <row r="7625" spans="1:5" x14ac:dyDescent="0.2">
      <c r="A7625">
        <f t="shared" si="123"/>
        <v>7564</v>
      </c>
      <c r="B7625" s="138">
        <f>'Cap Outlay Deprec 26'!I17</f>
        <v>24927.4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622707.4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446793</v>
      </c>
      <c r="D7708" s="2" t="str">
        <f t="shared" si="126"/>
        <v>Error?</v>
      </c>
      <c r="E7708" s="2" t="s">
        <v>881</v>
      </c>
    </row>
    <row r="7709" spans="1:5" x14ac:dyDescent="0.2">
      <c r="A7709">
        <v>7648</v>
      </c>
      <c r="B7709" s="138">
        <f>'Rest Tax Levies-Tort Im 25'!K3</f>
        <v>11505</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8204</v>
      </c>
      <c r="D7712" s="2" t="str">
        <f t="shared" si="126"/>
        <v>Error?</v>
      </c>
      <c r="E7712" s="2" t="s">
        <v>881</v>
      </c>
    </row>
    <row r="7713" spans="1:6" x14ac:dyDescent="0.2">
      <c r="A7713">
        <v>7652</v>
      </c>
      <c r="B7713" s="138">
        <f>'Rest Tax Levies-Tort Im 25'!J8</f>
        <v>600024</v>
      </c>
      <c r="D7713" s="2" t="str">
        <f t="shared" si="126"/>
        <v>Error?</v>
      </c>
      <c r="E7713" s="2" t="s">
        <v>881</v>
      </c>
    </row>
    <row r="7714" spans="1:6" x14ac:dyDescent="0.2">
      <c r="A7714">
        <v>7653</v>
      </c>
      <c r="B7714" s="138">
        <f>'Rest Tax Levies-Tort Im 25'!K9</f>
        <v>13455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5600000</v>
      </c>
      <c r="D7717" s="2" t="str">
        <f t="shared" si="126"/>
        <v>Error?</v>
      </c>
      <c r="E7717" s="2" t="s">
        <v>881</v>
      </c>
    </row>
    <row r="7718" spans="1:6" x14ac:dyDescent="0.2">
      <c r="A7718">
        <v>7657</v>
      </c>
      <c r="B7718" s="138">
        <f>'Rest Tax Levies-Tort Im 25'!J12</f>
        <v>6200024</v>
      </c>
      <c r="D7718" s="2" t="str">
        <f t="shared" si="126"/>
        <v>Error?</v>
      </c>
      <c r="E7718" s="2" t="s">
        <v>881</v>
      </c>
    </row>
    <row r="7719" spans="1:6" x14ac:dyDescent="0.2">
      <c r="A7719">
        <v>7658</v>
      </c>
      <c r="B7719" s="138">
        <f>'Rest Tax Levies-Tort Im 25'!K12</f>
        <v>21659</v>
      </c>
      <c r="D7719" s="2" t="str">
        <f t="shared" si="126"/>
        <v>Error?</v>
      </c>
      <c r="E7719" s="2" t="s">
        <v>881</v>
      </c>
    </row>
    <row r="7720" spans="1:6" x14ac:dyDescent="0.2">
      <c r="A7720">
        <v>7659</v>
      </c>
      <c r="B7720" s="138">
        <f>'Rest Tax Levies-Tort Im 25'!H14</f>
        <v>51380</v>
      </c>
      <c r="D7720" s="2" t="str">
        <f t="shared" si="126"/>
        <v>Error?</v>
      </c>
      <c r="E7720" s="2" t="s">
        <v>881</v>
      </c>
    </row>
    <row r="7721" spans="1:6" x14ac:dyDescent="0.2">
      <c r="A7721">
        <v>7660</v>
      </c>
      <c r="B7721" s="138">
        <f>'Rest Tax Levies-Tort Im 25'!K14</f>
        <v>20173</v>
      </c>
      <c r="D7721" s="2" t="str">
        <f t="shared" si="126"/>
        <v>Error?</v>
      </c>
      <c r="E7721" s="2" t="s">
        <v>881</v>
      </c>
    </row>
    <row r="7722" spans="1:6" x14ac:dyDescent="0.2">
      <c r="A7722">
        <v>7661</v>
      </c>
      <c r="B7722" s="138">
        <f>'Rest Tax Levies-Tort Im 25'!J15</f>
        <v>2319555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526117</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526117</v>
      </c>
      <c r="D7727" s="2" t="str">
        <f t="shared" si="126"/>
        <v>Error?</v>
      </c>
      <c r="E7727" s="2" t="s">
        <v>881</v>
      </c>
    </row>
    <row r="7728" spans="1:6" x14ac:dyDescent="0.2">
      <c r="A7728">
        <v>7667</v>
      </c>
      <c r="B7728" s="138">
        <f>'Revenues 9-14'!E103</f>
        <v>526117</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2845672</v>
      </c>
      <c r="D7730" s="2" t="str">
        <f t="shared" si="126"/>
        <v>Error?</v>
      </c>
      <c r="E7730" s="2" t="s">
        <v>881</v>
      </c>
    </row>
    <row r="7731" spans="1:6" x14ac:dyDescent="0.2">
      <c r="A7731">
        <v>7670</v>
      </c>
      <c r="B7731" s="138">
        <f>'Revenues 9-14'!H103</f>
        <v>73907</v>
      </c>
      <c r="D7731" s="2" t="str">
        <f t="shared" si="126"/>
        <v>Error?</v>
      </c>
      <c r="E7731" s="2" t="s">
        <v>881</v>
      </c>
    </row>
    <row r="7732" spans="1:6" x14ac:dyDescent="0.2">
      <c r="A7732">
        <v>7671</v>
      </c>
      <c r="B7732" s="138">
        <f>'Rest Tax Levies-Tort Im 25'!J24</f>
        <v>3801145</v>
      </c>
      <c r="D7732" s="2" t="str">
        <f t="shared" si="126"/>
        <v>Error?</v>
      </c>
      <c r="E7732" s="2" t="s">
        <v>881</v>
      </c>
    </row>
    <row r="7733" spans="1:6" x14ac:dyDescent="0.2">
      <c r="A7733">
        <v>7672</v>
      </c>
      <c r="B7733" s="138">
        <f>'Rest Tax Levies-Tort Im 25'!K24</f>
        <v>12991</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3801145</v>
      </c>
      <c r="D7742" s="2" t="str">
        <f t="shared" si="126"/>
        <v>Error?</v>
      </c>
      <c r="E7742" s="2" t="s">
        <v>881</v>
      </c>
    </row>
    <row r="7743" spans="1:6" x14ac:dyDescent="0.2">
      <c r="A7743">
        <v>7682</v>
      </c>
      <c r="B7743" s="138">
        <f>'Rest Tax Levies-Tort Im 25'!K26</f>
        <v>12991</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22763</v>
      </c>
      <c r="D7797" s="2" t="str">
        <f t="shared" si="127"/>
        <v>Error?</v>
      </c>
      <c r="E7797" s="4" t="s">
        <v>2020</v>
      </c>
    </row>
    <row r="7798" spans="1:5" x14ac:dyDescent="0.2">
      <c r="A7798">
        <v>7737</v>
      </c>
      <c r="B7798" s="138">
        <f>'Contracts Paid in CY 29'!F141</f>
        <v>580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T25" sqref="T25:AA25"/>
    </sheetView>
  </sheetViews>
  <sheetFormatPr defaultColWidth="9.28515625" defaultRowHeight="12.75" x14ac:dyDescent="0.2"/>
  <cols>
    <col min="1" max="1" width="7.7109375" style="1181" customWidth="1"/>
    <col min="2" max="2" width="2.28515625" style="1177" customWidth="1"/>
    <col min="3" max="3" width="9.28515625" style="1181"/>
    <col min="4" max="4" width="13" style="1181" customWidth="1"/>
    <col min="5" max="5" width="16" style="1181" customWidth="1"/>
    <col min="6" max="6" width="4.28515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7109375" style="1181" customWidth="1"/>
    <col min="13" max="13" width="2.7109375" style="1181" customWidth="1"/>
    <col min="14" max="14" width="13.28515625" style="1181" customWidth="1"/>
    <col min="15" max="15" width="7.28515625" style="1181" customWidth="1"/>
    <col min="16" max="16" width="7" style="1181" customWidth="1"/>
    <col min="17" max="19" width="9.7109375" style="1181" customWidth="1"/>
    <col min="20" max="16384" width="9.28515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1799</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4" t="str">
        <f>COVER!A17</f>
        <v>Argenta Oreana CUSD 1</v>
      </c>
      <c r="B7" s="2405"/>
      <c r="C7" s="2405"/>
      <c r="D7" s="2442"/>
      <c r="E7" s="2443" t="str">
        <f>COVER!A13</f>
        <v>39-055-0010-26</v>
      </c>
      <c r="F7" s="2444"/>
      <c r="G7" s="2411">
        <f>COVER!T23</f>
        <v>66.004384999999999</v>
      </c>
      <c r="H7" s="2412"/>
      <c r="I7" s="2412"/>
      <c r="J7" s="2412"/>
      <c r="K7" s="2412"/>
      <c r="L7" s="241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4"/>
      <c r="B9" s="2415"/>
      <c r="C9" s="2415"/>
      <c r="D9" s="2415"/>
      <c r="E9" s="2415"/>
      <c r="F9" s="2416"/>
      <c r="G9" s="2417" t="str">
        <f>COVER!T13</f>
        <v>FLOYD &amp; ASSOCIATES, CPAs</v>
      </c>
      <c r="H9" s="2418"/>
      <c r="I9" s="2418"/>
      <c r="J9" s="2418"/>
      <c r="K9" s="2418"/>
      <c r="L9" s="2419"/>
    </row>
    <row r="10" spans="1:29" ht="13.5" customHeight="1" x14ac:dyDescent="0.2">
      <c r="A10" s="2401" t="str">
        <f>COVER!A38</f>
        <v>MR. DAMIAN JONES</v>
      </c>
      <c r="B10" s="2402"/>
      <c r="C10" s="2402"/>
      <c r="D10" s="2402"/>
      <c r="E10" s="2402"/>
      <c r="F10" s="2403"/>
      <c r="G10" s="2417" t="str">
        <f>COVER!T17</f>
        <v>910 STATE HIGHWAY 54 EAST</v>
      </c>
      <c r="H10" s="2430"/>
      <c r="I10" s="2430"/>
      <c r="J10" s="2430"/>
      <c r="K10" s="2430"/>
      <c r="L10" s="2431"/>
    </row>
    <row r="11" spans="1:29" ht="13.5" customHeight="1" x14ac:dyDescent="0.2">
      <c r="A11" s="1185" t="s">
        <v>1599</v>
      </c>
      <c r="B11" s="1186"/>
      <c r="C11" s="1187"/>
      <c r="D11" s="1192"/>
      <c r="E11" s="1187"/>
      <c r="F11" s="1191"/>
      <c r="G11" s="2417" t="str">
        <f>COVER!T19</f>
        <v>CLINTON</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julie.floyd@frontier.com</v>
      </c>
      <c r="J13" s="2439"/>
      <c r="K13" s="2439"/>
      <c r="L13" s="2440"/>
    </row>
    <row r="14" spans="1:29" ht="13.5" customHeight="1" x14ac:dyDescent="0.2">
      <c r="A14" s="2417" t="str">
        <f>COVER!A19</f>
        <v>500 NORTH MAIN STREET, P.O. BOX 440</v>
      </c>
      <c r="B14" s="2430"/>
      <c r="C14" s="2430"/>
      <c r="D14" s="2430"/>
      <c r="E14" s="2430"/>
      <c r="F14" s="2431"/>
      <c r="G14" s="1196" t="s">
        <v>1247</v>
      </c>
      <c r="H14" s="1194"/>
      <c r="I14" s="1194"/>
      <c r="J14" s="1194"/>
      <c r="K14" s="1194"/>
      <c r="L14" s="1195"/>
    </row>
    <row r="15" spans="1:29" ht="13.5" customHeight="1" x14ac:dyDescent="0.2">
      <c r="A15" s="2417" t="str">
        <f>COVER!A21</f>
        <v xml:space="preserve">ARGENTA </v>
      </c>
      <c r="B15" s="2430"/>
      <c r="C15" s="2430"/>
      <c r="D15" s="2430"/>
      <c r="E15" s="2430"/>
      <c r="F15" s="2431"/>
      <c r="G15" s="2427" t="str">
        <f>COVER!T15</f>
        <v>JULIE M. FLOYD, CPA</v>
      </c>
      <c r="H15" s="2428"/>
      <c r="I15" s="2428"/>
      <c r="J15" s="2428"/>
      <c r="K15" s="2428"/>
      <c r="L15" s="2429"/>
    </row>
    <row r="16" spans="1:29" ht="12.4" customHeight="1" x14ac:dyDescent="0.2">
      <c r="A16" s="2407">
        <f>COVER!A25</f>
        <v>62501</v>
      </c>
      <c r="B16" s="2408"/>
      <c r="C16" s="2408"/>
      <c r="D16" s="2408"/>
      <c r="E16" s="2408"/>
      <c r="F16" s="2409"/>
      <c r="G16" s="2420"/>
      <c r="H16" s="2421"/>
      <c r="I16" s="2421"/>
      <c r="J16" s="2421"/>
      <c r="K16" s="2421"/>
      <c r="L16" s="2422"/>
    </row>
    <row r="17" spans="1:13" ht="12.4" customHeight="1" x14ac:dyDescent="0.2">
      <c r="A17" s="2423"/>
      <c r="B17" s="2408"/>
      <c r="C17" s="2408"/>
      <c r="D17" s="2408"/>
      <c r="E17" s="2408"/>
      <c r="F17" s="2409"/>
      <c r="G17" s="1196" t="s">
        <v>1246</v>
      </c>
      <c r="H17" s="1194"/>
      <c r="I17" s="1194"/>
      <c r="J17" s="1194"/>
      <c r="K17" s="1198" t="s">
        <v>1245</v>
      </c>
      <c r="L17" s="1191"/>
      <c r="M17" s="1184"/>
    </row>
    <row r="18" spans="1:13" ht="12.4" customHeight="1" x14ac:dyDescent="0.2">
      <c r="A18" s="2401"/>
      <c r="B18" s="2402"/>
      <c r="C18" s="2402"/>
      <c r="D18" s="2402"/>
      <c r="E18" s="2402"/>
      <c r="F18" s="2403"/>
      <c r="G18" s="2404" t="str">
        <f>COVER!T21</f>
        <v>217-935-8871</v>
      </c>
      <c r="H18" s="2405"/>
      <c r="I18" s="2405"/>
      <c r="J18" s="2405"/>
      <c r="K18" s="2404" t="str">
        <f>COVER!X21</f>
        <v>217-935-5711</v>
      </c>
      <c r="L18" s="2406"/>
    </row>
    <row r="19" spans="1:13" ht="12.4" customHeight="1" x14ac:dyDescent="0.2">
      <c r="A19" s="1199"/>
      <c r="C19" s="1199"/>
      <c r="D19" s="1199"/>
      <c r="E19" s="1199"/>
      <c r="F19" s="1199"/>
      <c r="G19" s="1199"/>
      <c r="H19" s="1199"/>
      <c r="I19" s="1199"/>
      <c r="J19" s="1199"/>
      <c r="K19" s="1199"/>
      <c r="L19" s="1199"/>
    </row>
    <row r="20" spans="1:13" ht="12.4" customHeight="1" x14ac:dyDescent="0.2">
      <c r="A20" s="1199"/>
      <c r="C20" s="1199"/>
      <c r="D20" s="1199"/>
      <c r="E20" s="1199"/>
      <c r="F20" s="1199"/>
      <c r="G20" s="1199"/>
      <c r="H20" s="1199"/>
      <c r="I20" s="1199"/>
      <c r="J20" s="1199" t="s">
        <v>1231</v>
      </c>
      <c r="K20" s="1177" t="s">
        <v>1231</v>
      </c>
    </row>
    <row r="21" spans="1:13" ht="12.4" customHeight="1" x14ac:dyDescent="0.2">
      <c r="A21" s="1200" t="s">
        <v>1800</v>
      </c>
    </row>
    <row r="22" spans="1:13" ht="12.4" customHeight="1" x14ac:dyDescent="0.2">
      <c r="A22" s="1201"/>
    </row>
    <row r="23" spans="1:13" ht="12.4"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4" customHeight="1" x14ac:dyDescent="0.2">
      <c r="B26" s="1202"/>
      <c r="C26" s="1203" t="s">
        <v>1801</v>
      </c>
    </row>
    <row r="27" spans="1:13" s="1199" customFormat="1" ht="9" customHeight="1" x14ac:dyDescent="0.2">
      <c r="B27" s="1204"/>
      <c r="C27" s="1203"/>
    </row>
    <row r="28" spans="1:13" s="1199" customFormat="1" ht="12.4" customHeight="1" x14ac:dyDescent="0.2">
      <c r="A28" s="1206"/>
      <c r="B28" s="1202"/>
      <c r="C28" s="1203" t="s">
        <v>1802</v>
      </c>
    </row>
    <row r="29" spans="1:13" s="1199" customFormat="1" ht="9" customHeight="1" x14ac:dyDescent="0.2">
      <c r="A29" s="1206"/>
      <c r="B29" s="1204"/>
      <c r="C29" s="1203"/>
    </row>
    <row r="30" spans="1:13" s="1199" customFormat="1" ht="12.4" customHeight="1" x14ac:dyDescent="0.2">
      <c r="B30" s="1202"/>
      <c r="C30" s="1203" t="s">
        <v>1643</v>
      </c>
      <c r="D30" s="1197"/>
      <c r="E30" s="1197"/>
    </row>
    <row r="31" spans="1:13" s="1199" customFormat="1" ht="9" customHeight="1" x14ac:dyDescent="0.2">
      <c r="B31" s="1204"/>
      <c r="C31" s="1203"/>
      <c r="D31" s="1197"/>
      <c r="E31" s="1197"/>
    </row>
    <row r="32" spans="1:13" s="1199" customFormat="1" ht="12.4"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4"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3.1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4" customHeight="1" x14ac:dyDescent="0.2">
      <c r="B46" s="1202"/>
      <c r="C46" s="1210" t="s">
        <v>1649</v>
      </c>
      <c r="D46" s="1197"/>
      <c r="E46" s="1197"/>
      <c r="F46" s="1197"/>
      <c r="G46" s="1197"/>
      <c r="H46" s="1197"/>
    </row>
    <row r="47" spans="1:8" ht="9" customHeight="1" x14ac:dyDescent="0.2"/>
    <row r="48" spans="1:8" ht="12.4" customHeight="1" x14ac:dyDescent="0.2">
      <c r="B48" s="1211"/>
      <c r="C48" s="1212" t="s">
        <v>1650</v>
      </c>
    </row>
    <row r="49" spans="1:12" ht="9" customHeight="1" x14ac:dyDescent="0.2"/>
    <row r="50" spans="1:12" ht="6" customHeight="1" x14ac:dyDescent="0.2">
      <c r="C50" s="1212"/>
    </row>
    <row r="51" spans="1:12" ht="12.4" customHeight="1" x14ac:dyDescent="0.2">
      <c r="A51" s="1214" t="s">
        <v>1804</v>
      </c>
    </row>
    <row r="52" spans="1:12" ht="12.4" customHeight="1" x14ac:dyDescent="0.2">
      <c r="A52" s="1209"/>
    </row>
    <row r="53" spans="1:12" ht="12.4" customHeight="1" x14ac:dyDescent="0.2"/>
    <row r="54" spans="1:12" ht="12.4" customHeight="1" x14ac:dyDescent="0.2"/>
    <row r="55" spans="1:12" ht="12.4" customHeight="1" x14ac:dyDescent="0.2"/>
    <row r="56" spans="1:12" ht="12.4"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T25" sqref="T25:AA2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28515625" style="1222" customWidth="1"/>
    <col min="6" max="16384" width="10.7109375" style="1222"/>
  </cols>
  <sheetData>
    <row r="1" spans="1:11" s="1215" customFormat="1" ht="12.75" x14ac:dyDescent="0.2">
      <c r="A1" s="2445" t="str">
        <f>'Single Audit Cover'!A7</f>
        <v>Argenta Oreana CUSD 1</v>
      </c>
      <c r="B1" s="2441"/>
      <c r="C1" s="2441"/>
      <c r="D1" s="2441"/>
    </row>
    <row r="2" spans="1:11" s="1215" customFormat="1" ht="12.75" x14ac:dyDescent="0.2">
      <c r="A2" s="2446" t="str">
        <f>'Single Audit Cover'!E7</f>
        <v>39-055-0010-26</v>
      </c>
      <c r="B2" s="2447"/>
      <c r="C2" s="2447"/>
      <c r="D2" s="2447"/>
    </row>
    <row r="3" spans="1:11" s="1215" customFormat="1" ht="12.75" x14ac:dyDescent="0.2">
      <c r="A3" s="2445"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J34" sqref="J34"/>
    </sheetView>
  </sheetViews>
  <sheetFormatPr defaultColWidth="15.7109375" defaultRowHeight="12.75" x14ac:dyDescent="0.2"/>
  <cols>
    <col min="1" max="1" width="31.71093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Argenta Oreana CUSD 1</v>
      </c>
      <c r="B1" s="2449"/>
      <c r="C1" s="2449"/>
      <c r="D1" s="2449"/>
      <c r="E1" s="2449"/>
    </row>
    <row r="2" spans="1:5" x14ac:dyDescent="0.2">
      <c r="A2" s="2450" t="str">
        <f>'Single Audit Cover'!E7</f>
        <v>39-055-0010-26</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502808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29393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532201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532201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532201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T25" sqref="T25:AA2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Argenta Oreana CUSD 1</v>
      </c>
      <c r="B1" s="2454"/>
      <c r="C1" s="2454"/>
      <c r="D1" s="2454"/>
      <c r="E1" s="2454"/>
      <c r="F1" s="2454"/>
    </row>
    <row r="2" spans="1:7" ht="13.5" customHeight="1" x14ac:dyDescent="0.2">
      <c r="A2" s="2455" t="str">
        <f>'Single Audit Cover'!E7</f>
        <v>39-055-0010-26</v>
      </c>
      <c r="B2" s="2455"/>
      <c r="C2" s="2455"/>
      <c r="D2" s="2455"/>
      <c r="E2" s="2455"/>
      <c r="F2" s="2455"/>
      <c r="G2" s="1275"/>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1831</v>
      </c>
      <c r="C6" s="317"/>
      <c r="D6" s="317"/>
    </row>
    <row r="7" spans="1:7" ht="61.15" customHeight="1" x14ac:dyDescent="0.2">
      <c r="A7" s="2453" t="s">
        <v>1832</v>
      </c>
      <c r="B7" s="2453"/>
      <c r="C7" s="2453"/>
      <c r="D7" s="2453"/>
      <c r="E7" s="2453"/>
      <c r="F7" s="245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3" t="s">
        <v>1834</v>
      </c>
      <c r="B13" s="2453"/>
      <c r="C13" s="2453"/>
      <c r="D13" s="2453"/>
      <c r="E13" s="2453"/>
      <c r="F13" s="2453"/>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6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2" t="s">
        <v>1835</v>
      </c>
      <c r="B32" s="2462"/>
      <c r="C32" s="2462"/>
      <c r="D32" s="2462"/>
      <c r="E32" s="2462"/>
      <c r="F32" s="2462"/>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3">
        <f>+C33+C34</f>
        <v>0</v>
      </c>
      <c r="F34" s="246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70"/>
      <c r="C50" s="1870"/>
      <c r="D50" s="1870"/>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T25" sqref="T25:AA25"/>
    </sheetView>
  </sheetViews>
  <sheetFormatPr defaultColWidth="33.5703125" defaultRowHeight="12.75" x14ac:dyDescent="0.2"/>
  <cols>
    <col min="1" max="1" width="0.28515625" style="317" customWidth="1"/>
    <col min="2" max="2" width="32.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Argenta Oreana CUSD 1</v>
      </c>
      <c r="C1" s="2466"/>
      <c r="D1" s="2466"/>
      <c r="E1" s="2466"/>
      <c r="F1" s="2466"/>
      <c r="G1" s="2466"/>
      <c r="H1" s="2466"/>
      <c r="I1" s="2466"/>
      <c r="J1" s="2466"/>
      <c r="K1" s="2466"/>
      <c r="L1" s="2466"/>
      <c r="M1" s="2466"/>
    </row>
    <row r="2" spans="2:14" ht="15" x14ac:dyDescent="0.2">
      <c r="B2" s="2455" t="str">
        <f>'Single Audit Cover'!E7</f>
        <v>39-055-0010-26</v>
      </c>
      <c r="C2" s="2455"/>
      <c r="D2" s="2455"/>
      <c r="E2" s="2455"/>
      <c r="F2" s="2455"/>
      <c r="G2" s="2455"/>
      <c r="H2" s="2455"/>
      <c r="I2" s="2455"/>
      <c r="J2" s="2455"/>
      <c r="K2" s="2455"/>
      <c r="L2" s="2455"/>
      <c r="M2" s="2455"/>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4.1500000000000004"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4.1500000000000004"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4.1500000000000004"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6" colorId="8" zoomScale="110" zoomScaleNormal="110" workbookViewId="0">
      <selection activeCell="T25" sqref="T25:AA25"/>
    </sheetView>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4"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2094</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T25" sqref="T25:AA25"/>
    </sheetView>
  </sheetViews>
  <sheetFormatPr defaultColWidth="9.28515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473" t="str">
        <f>'Single Audit Cover'!A7</f>
        <v>Argenta Oreana CUSD 1</v>
      </c>
      <c r="C1" s="2474"/>
      <c r="D1" s="2474"/>
      <c r="E1" s="2474"/>
      <c r="F1" s="2474"/>
      <c r="G1" s="2474"/>
      <c r="H1" s="2474"/>
      <c r="I1" s="2474"/>
      <c r="J1" s="1422"/>
    </row>
    <row r="2" spans="2:10" s="317" customFormat="1" ht="12.75" customHeight="1" x14ac:dyDescent="0.2">
      <c r="B2" s="2475" t="str">
        <f>'Single Audit Cover'!E7</f>
        <v>39-055-0010-26</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4" customHeight="1" x14ac:dyDescent="0.2">
      <c r="B5" s="1424" t="s">
        <v>1231</v>
      </c>
      <c r="C5" s="1294"/>
      <c r="D5" s="1294"/>
      <c r="E5" s="1383"/>
      <c r="F5" s="322"/>
      <c r="G5" s="322"/>
      <c r="H5" s="322"/>
      <c r="I5" s="322"/>
    </row>
    <row r="6" spans="2:10" s="317" customFormat="1" ht="6.4"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4"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c r="D11" s="2479"/>
      <c r="E11" s="1432"/>
      <c r="F11" s="1432"/>
      <c r="G11" s="1432"/>
    </row>
    <row r="12" spans="2:10" s="317" customFormat="1" ht="11.6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65"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65"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65"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c r="E29" s="2480"/>
      <c r="F29" s="2480"/>
      <c r="G29" s="2480"/>
      <c r="H29" s="2480"/>
      <c r="I29" s="2480"/>
    </row>
    <row r="30" spans="2:9" s="317" customFormat="1" x14ac:dyDescent="0.2">
      <c r="B30" s="1368"/>
      <c r="C30" s="322"/>
      <c r="D30" s="1433" t="s">
        <v>1851</v>
      </c>
      <c r="E30" s="1434"/>
      <c r="F30" s="1434"/>
      <c r="G30" s="1434"/>
      <c r="H30" s="1434"/>
      <c r="I30" s="1434"/>
    </row>
    <row r="31" spans="2:9" s="317" customFormat="1" ht="10.15"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1" t="s">
        <v>1854</v>
      </c>
      <c r="D37" s="2482"/>
      <c r="E37" s="2482"/>
      <c r="F37" s="2483"/>
      <c r="G37" s="2481" t="s">
        <v>1674</v>
      </c>
      <c r="H37" s="2482"/>
      <c r="I37" s="2483"/>
    </row>
    <row r="38" spans="2:9" ht="16.5" customHeight="1" x14ac:dyDescent="0.2">
      <c r="B38" s="1444"/>
      <c r="C38" s="2469"/>
      <c r="D38" s="2470"/>
      <c r="E38" s="2470"/>
      <c r="F38" s="2471"/>
      <c r="G38" s="2484"/>
      <c r="H38" s="2485"/>
      <c r="I38" s="2486"/>
    </row>
    <row r="39" spans="2:9" ht="16.5" customHeight="1" x14ac:dyDescent="0.2">
      <c r="B39" s="1444"/>
      <c r="C39" s="2469"/>
      <c r="D39" s="2470"/>
      <c r="E39" s="2470"/>
      <c r="F39" s="2471"/>
      <c r="G39" s="2472"/>
      <c r="H39" s="2472"/>
      <c r="I39" s="2472"/>
    </row>
    <row r="40" spans="2:9" ht="16.5" customHeight="1" x14ac:dyDescent="0.2">
      <c r="B40" s="1444"/>
      <c r="C40" s="2469"/>
      <c r="D40" s="2470"/>
      <c r="E40" s="2470"/>
      <c r="F40" s="2471"/>
      <c r="G40" s="2472"/>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87" t="s">
        <v>1675</v>
      </c>
      <c r="D43" s="2488"/>
      <c r="E43" s="2488"/>
      <c r="F43" s="2489"/>
      <c r="G43" s="2490">
        <f>SUM(G38:I42)</f>
        <v>0</v>
      </c>
      <c r="H43" s="2490"/>
      <c r="I43" s="2490"/>
    </row>
    <row r="44" spans="2:9" ht="12.75" customHeight="1" x14ac:dyDescent="0.2"/>
    <row r="45" spans="2:9" ht="12.75" customHeight="1" x14ac:dyDescent="0.2">
      <c r="B45" s="1435" t="s">
        <v>1952</v>
      </c>
      <c r="D45" s="2491">
        <v>0</v>
      </c>
      <c r="E45" s="249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10.15" customHeight="1" x14ac:dyDescent="0.2"/>
    <row r="49" spans="1:9" x14ac:dyDescent="0.2">
      <c r="B49" s="1368" t="s">
        <v>1335</v>
      </c>
      <c r="C49" s="1282"/>
      <c r="D49" s="1282"/>
      <c r="E49" s="2493"/>
      <c r="F49" s="2493"/>
      <c r="G49" s="249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4.1500000000000004" customHeight="1" x14ac:dyDescent="0.2">
      <c r="A57" s="1458"/>
      <c r="B57" s="1462"/>
      <c r="C57" s="1458"/>
      <c r="D57" s="1458"/>
    </row>
    <row r="58" spans="1:9" s="1461" customFormat="1" ht="13.5" customHeight="1" x14ac:dyDescent="0.2">
      <c r="A58" s="1458"/>
      <c r="B58" s="1463" t="s">
        <v>1856</v>
      </c>
      <c r="C58" s="1464"/>
      <c r="D58" s="1464"/>
    </row>
    <row r="59" spans="1:9" s="1461" customFormat="1" ht="4.1500000000000004" customHeight="1" x14ac:dyDescent="0.2">
      <c r="A59" s="1458"/>
      <c r="B59" s="1463"/>
      <c r="C59" s="1464"/>
      <c r="D59" s="1464"/>
    </row>
    <row r="60" spans="1:9" s="1461" customFormat="1" ht="13.5" customHeight="1" x14ac:dyDescent="0.2">
      <c r="A60" s="1458"/>
      <c r="B60" s="1463" t="s">
        <v>1857</v>
      </c>
      <c r="C60" s="1464"/>
      <c r="D60" s="1464"/>
    </row>
    <row r="61" spans="1:9" s="1461" customFormat="1" ht="4.1500000000000004"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T25" sqref="T25:AA25"/>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73" t="str">
        <f>'Single Audit Cover'!A7</f>
        <v>Argenta Oreana CUSD 1</v>
      </c>
      <c r="C1" s="2473"/>
      <c r="D1" s="2473"/>
      <c r="E1" s="2473"/>
      <c r="F1" s="2473"/>
      <c r="G1" s="2473"/>
      <c r="H1" s="2473"/>
      <c r="I1" s="2473"/>
      <c r="J1" s="2473"/>
      <c r="K1" s="2473"/>
      <c r="L1" s="1374"/>
      <c r="M1" s="1374"/>
    </row>
    <row r="2" spans="1:13" ht="12" customHeight="1" x14ac:dyDescent="0.2">
      <c r="B2" s="2475" t="str">
        <f>'Single Audit Cover'!E7</f>
        <v>39-055-0010-26</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T25" sqref="T25:AA25"/>
    </sheetView>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500" t="str">
        <f>'Single Audit Cover'!A7</f>
        <v>Argenta Oreana CUSD 1</v>
      </c>
      <c r="C1" s="2500"/>
      <c r="D1" s="2500"/>
      <c r="E1" s="2500"/>
      <c r="F1" s="2500"/>
      <c r="G1" s="2500"/>
      <c r="H1" s="2500"/>
      <c r="I1" s="2500"/>
      <c r="J1" s="2500"/>
      <c r="K1" s="2500"/>
      <c r="L1" s="1465"/>
    </row>
    <row r="2" spans="1:12" ht="12.75" customHeight="1" x14ac:dyDescent="0.2">
      <c r="B2" s="2501" t="str">
        <f>'Single Audit Cover'!E7</f>
        <v>39-055-0010-26</v>
      </c>
      <c r="C2" s="2501"/>
      <c r="D2" s="2501"/>
      <c r="E2" s="2501"/>
      <c r="F2" s="2501"/>
      <c r="G2" s="2501"/>
      <c r="H2" s="2501"/>
      <c r="I2" s="2501"/>
      <c r="J2" s="2501"/>
      <c r="K2" s="2501"/>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T25" sqref="T25:AA25"/>
    </sheetView>
  </sheetViews>
  <sheetFormatPr defaultColWidth="9.28515625" defaultRowHeight="12.75" x14ac:dyDescent="0.2"/>
  <cols>
    <col min="1" max="1" width="1.5703125" style="317" customWidth="1"/>
    <col min="2" max="2" width="14.7109375" style="317" customWidth="1"/>
    <col min="3" max="3" width="40.7109375" style="317" customWidth="1"/>
    <col min="4" max="4" width="42.28515625" style="317" customWidth="1"/>
    <col min="5" max="5" width="8.28515625" style="317" customWidth="1"/>
    <col min="6" max="9" width="9.28515625" style="317"/>
    <col min="10" max="10" width="6.7109375" style="317" customWidth="1"/>
    <col min="11" max="16384" width="9.28515625" style="317"/>
  </cols>
  <sheetData>
    <row r="1" spans="2:5" s="1282" customFormat="1" ht="12.75" customHeight="1" x14ac:dyDescent="0.2">
      <c r="B1" s="2473" t="str">
        <f>'Single Audit Cover'!A7</f>
        <v>Argenta Oreana CUSD 1</v>
      </c>
      <c r="C1" s="2473"/>
      <c r="D1" s="2473"/>
      <c r="E1" s="1491"/>
    </row>
    <row r="2" spans="2:5" s="1282" customFormat="1" ht="12.75" customHeight="1" x14ac:dyDescent="0.2">
      <c r="B2" s="2475" t="str">
        <f>'Single Audit Cover'!E7</f>
        <v>39-055-0010-26</v>
      </c>
      <c r="C2" s="2475"/>
      <c r="D2" s="2475"/>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4" customHeight="1" x14ac:dyDescent="0.2">
      <c r="B44" s="1257" t="s">
        <v>1380</v>
      </c>
      <c r="C44" s="322"/>
    </row>
    <row r="45" spans="2:5" ht="12.4" customHeight="1" x14ac:dyDescent="0.2">
      <c r="B45" s="1505" t="s">
        <v>1872</v>
      </c>
    </row>
    <row r="46" spans="2:5" ht="12.4" customHeight="1" x14ac:dyDescent="0.2">
      <c r="B46" s="1505" t="s">
        <v>1873</v>
      </c>
    </row>
    <row r="47" spans="2:5" ht="12.4" customHeight="1" x14ac:dyDescent="0.2">
      <c r="B47" s="1506" t="s">
        <v>1379</v>
      </c>
    </row>
    <row r="48" spans="2:5" ht="12.4" customHeight="1" x14ac:dyDescent="0.2">
      <c r="B48" s="1506" t="s">
        <v>1378</v>
      </c>
    </row>
    <row r="49" spans="2:5" ht="12.4" customHeight="1" x14ac:dyDescent="0.2">
      <c r="B49" s="1506" t="s">
        <v>1377</v>
      </c>
    </row>
    <row r="50" spans="2:5" ht="12.4"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T25" sqref="T25:AA25"/>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131900695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2.46E-2</v>
      </c>
      <c r="E10" s="356" t="s">
        <v>1062</v>
      </c>
      <c r="F10" s="355">
        <v>5.0000000000000001E-3</v>
      </c>
      <c r="G10" s="356" t="s">
        <v>1062</v>
      </c>
      <c r="H10" s="355">
        <v>2E-3</v>
      </c>
      <c r="I10" s="356" t="s">
        <v>1063</v>
      </c>
      <c r="J10" s="1754">
        <f>ROUND(D10+F10+H10,5)</f>
        <v>3.1600000000000003E-2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8144556</v>
      </c>
      <c r="E16" s="356"/>
      <c r="F16" s="1755">
        <f>SUM('Acct Summary 7-8'!C17,'Acct Summary 7-8'!D17,'Acct Summary 7-8'!F17)</f>
        <v>7940684</v>
      </c>
      <c r="G16" s="356"/>
      <c r="H16" s="1755">
        <f>SUM(D16-F16)</f>
        <v>203872</v>
      </c>
      <c r="I16" s="222"/>
      <c r="J16" s="1755">
        <f>SUM('Acct Summary 7-8'!C81,'Acct Summary 7-8'!D81,'Acct Summary 7-8'!F81,'Acct Summary 7-8'!I81)</f>
        <v>6005558</v>
      </c>
      <c r="K16" s="222"/>
      <c r="L16" s="222"/>
      <c r="M16" s="222"/>
    </row>
    <row r="17" spans="1:13" ht="12.4" customHeight="1" x14ac:dyDescent="0.2">
      <c r="A17" s="349"/>
      <c r="B17" s="260" t="s">
        <v>8</v>
      </c>
      <c r="C17" s="237" t="s">
        <v>1463</v>
      </c>
      <c r="D17" s="222"/>
      <c r="E17" s="222"/>
      <c r="F17" s="222"/>
      <c r="G17" s="222"/>
      <c r="H17" s="222"/>
      <c r="I17" s="222"/>
      <c r="J17" s="222"/>
      <c r="K17" s="222"/>
      <c r="L17" s="222"/>
      <c r="M17" s="222"/>
    </row>
    <row r="18" spans="1:13" ht="12.4"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4"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18202295.91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11825000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4"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T25" sqref="T25:AA25"/>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Argenta Oreana CUSD 1</v>
      </c>
      <c r="E7" s="391"/>
      <c r="G7" s="252"/>
      <c r="H7" s="387"/>
      <c r="I7" s="387"/>
      <c r="J7" s="387"/>
      <c r="K7" s="387"/>
      <c r="L7" s="329"/>
      <c r="M7" s="329"/>
      <c r="N7" s="329"/>
      <c r="O7" s="329"/>
      <c r="P7" s="329"/>
    </row>
    <row r="8" spans="1:18" ht="12.75" x14ac:dyDescent="0.2">
      <c r="A8" s="329"/>
      <c r="B8" s="329"/>
      <c r="C8" s="389" t="s">
        <v>1187</v>
      </c>
      <c r="D8" s="392" t="str">
        <f>COVER!A13</f>
        <v>39-055-0010-26</v>
      </c>
      <c r="E8" s="393"/>
      <c r="G8" s="329"/>
      <c r="H8" s="329"/>
      <c r="I8" s="329"/>
      <c r="J8" s="329"/>
      <c r="K8" s="329"/>
      <c r="L8" s="329"/>
      <c r="M8" s="329"/>
      <c r="N8" s="329"/>
      <c r="O8" s="329"/>
      <c r="P8" s="329"/>
    </row>
    <row r="9" spans="1:18" ht="12.75" x14ac:dyDescent="0.2">
      <c r="A9" s="329"/>
      <c r="B9" s="329"/>
      <c r="C9" s="389" t="s">
        <v>737</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6005558</v>
      </c>
      <c r="I12" s="404"/>
      <c r="J12" s="404"/>
      <c r="K12" s="405">
        <f>TRUNC((H12/H13*100000),5)/100000</f>
        <v>0.73737082779999996</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8144556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7940684</v>
      </c>
      <c r="I17" s="404"/>
      <c r="J17" s="416"/>
      <c r="K17" s="405">
        <f>TRUNC((H17/H18*100000),5)/100000</f>
        <v>0.97496831009999996</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8144556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65" customHeight="1" x14ac:dyDescent="0.2">
      <c r="A21" s="216"/>
      <c r="B21" s="396"/>
      <c r="C21" s="218" t="s">
        <v>496</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5997460</v>
      </c>
      <c r="I24" s="422"/>
      <c r="J24" s="422"/>
      <c r="K24" s="423">
        <f>TRUNC(((H24/H25*100000)/100000),2)</f>
        <v>271.89999999999998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22057.455559999999</v>
      </c>
      <c r="I25" s="425"/>
      <c r="J25" s="425"/>
      <c r="K25" s="410"/>
      <c r="L25" s="218"/>
      <c r="M25" s="360" t="s">
        <v>1207</v>
      </c>
      <c r="N25" s="360"/>
      <c r="O25" s="411">
        <f>O23*O24</f>
        <v>0.4</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3542852.6677000001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11825000</v>
      </c>
      <c r="I32" s="420"/>
      <c r="J32" s="420"/>
      <c r="K32" s="423">
        <f>TRUNC(100-((((H32/H33*100))*100)/100),2)</f>
        <v>35.03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18202295.91</v>
      </c>
      <c r="I33" s="420"/>
      <c r="J33" s="420"/>
      <c r="K33" s="403"/>
      <c r="L33" s="218"/>
      <c r="M33" s="435" t="s">
        <v>1207</v>
      </c>
      <c r="N33" s="435"/>
      <c r="O33" s="434">
        <f>(O31*O32)</f>
        <v>0.2</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1" activePane="bottomLeft" state="frozen"/>
      <selection activeCell="T25" sqref="T25:AA25"/>
      <selection pane="bottomLeft" activeCell="D27" sqref="D27"/>
    </sheetView>
  </sheetViews>
  <sheetFormatPr defaultColWidth="9.28515625" defaultRowHeight="12.75" x14ac:dyDescent="0.2"/>
  <cols>
    <col min="1" max="1" width="47.28515625" style="501" customWidth="1"/>
    <col min="2" max="2" width="4.5703125" style="502" customWidth="1"/>
    <col min="3" max="14" width="13.7109375" style="457" customWidth="1"/>
    <col min="15" max="16384" width="9.28515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198674</v>
      </c>
      <c r="D4" s="466"/>
      <c r="E4" s="466">
        <v>251034</v>
      </c>
      <c r="F4" s="466">
        <v>234131</v>
      </c>
      <c r="G4" s="466">
        <v>16712</v>
      </c>
      <c r="H4" s="466">
        <v>81657</v>
      </c>
      <c r="I4" s="466">
        <v>4988</v>
      </c>
      <c r="J4" s="467"/>
      <c r="K4" s="466">
        <v>805</v>
      </c>
      <c r="L4" s="466">
        <v>227220</v>
      </c>
      <c r="M4" s="468"/>
      <c r="N4" s="469"/>
    </row>
    <row r="5" spans="1:14" x14ac:dyDescent="0.2">
      <c r="A5" s="463" t="s">
        <v>1049</v>
      </c>
      <c r="B5" s="470">
        <v>120</v>
      </c>
      <c r="C5" s="465">
        <v>1034018</v>
      </c>
      <c r="D5" s="466">
        <v>1061345</v>
      </c>
      <c r="E5" s="466">
        <v>374406</v>
      </c>
      <c r="F5" s="466">
        <v>497059</v>
      </c>
      <c r="G5" s="466">
        <v>208075</v>
      </c>
      <c r="H5" s="466">
        <v>3449408</v>
      </c>
      <c r="I5" s="466">
        <v>2967245</v>
      </c>
      <c r="J5" s="467">
        <v>177528</v>
      </c>
      <c r="K5" s="471">
        <v>129817</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23893</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1256585</v>
      </c>
      <c r="D13" s="1759">
        <f t="shared" ref="D13:L13" si="0">SUM(D4:D12)</f>
        <v>1061345</v>
      </c>
      <c r="E13" s="1759">
        <f t="shared" si="0"/>
        <v>625440</v>
      </c>
      <c r="F13" s="1759">
        <f t="shared" si="0"/>
        <v>731190</v>
      </c>
      <c r="G13" s="1759">
        <f t="shared" si="0"/>
        <v>224787</v>
      </c>
      <c r="H13" s="1759">
        <f t="shared" si="0"/>
        <v>3531065</v>
      </c>
      <c r="I13" s="1759">
        <f t="shared" si="0"/>
        <v>2972233</v>
      </c>
      <c r="J13" s="1759">
        <f t="shared" si="0"/>
        <v>177528</v>
      </c>
      <c r="K13" s="1759">
        <f t="shared" si="0"/>
        <v>130622</v>
      </c>
      <c r="L13" s="1759">
        <f t="shared" si="0"/>
        <v>227220</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67265</v>
      </c>
      <c r="N16" s="484"/>
    </row>
    <row r="17" spans="1:14" s="485" customFormat="1" ht="12.75" customHeight="1" x14ac:dyDescent="0.2">
      <c r="A17" s="482" t="s">
        <v>1470</v>
      </c>
      <c r="B17" s="483">
        <v>230</v>
      </c>
      <c r="C17" s="477"/>
      <c r="D17" s="477"/>
      <c r="E17" s="477"/>
      <c r="F17" s="477"/>
      <c r="G17" s="477"/>
      <c r="H17" s="477"/>
      <c r="I17" s="477"/>
      <c r="J17" s="477"/>
      <c r="K17" s="477"/>
      <c r="L17" s="477"/>
      <c r="M17" s="467">
        <v>26633897</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1204617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625440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11199560</v>
      </c>
    </row>
    <row r="23" spans="1:14" ht="13.5" customHeight="1" thickBot="1" x14ac:dyDescent="0.25">
      <c r="A23" s="1758" t="s">
        <v>664</v>
      </c>
      <c r="B23" s="1763"/>
      <c r="C23" s="468"/>
      <c r="D23" s="468"/>
      <c r="E23" s="468"/>
      <c r="F23" s="468"/>
      <c r="G23" s="468"/>
      <c r="H23" s="468"/>
      <c r="I23" s="468"/>
      <c r="J23" s="468"/>
      <c r="K23" s="468"/>
      <c r="L23" s="468"/>
      <c r="M23" s="1710">
        <f>SUM(M15:M22)</f>
        <v>27905779</v>
      </c>
      <c r="N23" s="1710">
        <f>SUM(N21:N22)</f>
        <v>11825000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v>23893</v>
      </c>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v>15795</v>
      </c>
      <c r="E27" s="467"/>
      <c r="F27" s="467"/>
      <c r="G27" s="467"/>
      <c r="H27" s="467"/>
      <c r="I27" s="467"/>
      <c r="J27" s="467">
        <v>7301</v>
      </c>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227220</v>
      </c>
      <c r="M33" s="468"/>
      <c r="N33" s="469"/>
    </row>
    <row r="34" spans="1:14" ht="13.5" customHeight="1" thickBot="1" x14ac:dyDescent="0.25">
      <c r="A34" s="1760" t="s">
        <v>675</v>
      </c>
      <c r="B34" s="1761"/>
      <c r="C34" s="1762">
        <f>SUM(C25:C33)</f>
        <v>0</v>
      </c>
      <c r="D34" s="1762">
        <f t="shared" ref="D34:K34" si="1">SUM(D25:D33)</f>
        <v>15795</v>
      </c>
      <c r="E34" s="1762">
        <f t="shared" si="1"/>
        <v>0</v>
      </c>
      <c r="F34" s="1762">
        <f t="shared" si="1"/>
        <v>0</v>
      </c>
      <c r="G34" s="1762">
        <f t="shared" si="1"/>
        <v>0</v>
      </c>
      <c r="H34" s="1762">
        <f t="shared" si="1"/>
        <v>0</v>
      </c>
      <c r="I34" s="1762">
        <f t="shared" si="1"/>
        <v>0</v>
      </c>
      <c r="J34" s="1762">
        <f t="shared" si="1"/>
        <v>31194</v>
      </c>
      <c r="K34" s="1762">
        <f t="shared" si="1"/>
        <v>0</v>
      </c>
      <c r="L34" s="1743">
        <f>SUM(L33)</f>
        <v>227220</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11825000</v>
      </c>
    </row>
    <row r="37" spans="1:14" ht="13.5" thickBot="1" x14ac:dyDescent="0.25">
      <c r="A37" s="1758" t="s">
        <v>674</v>
      </c>
      <c r="B37" s="1763"/>
      <c r="C37" s="477"/>
      <c r="D37" s="477"/>
      <c r="E37" s="477"/>
      <c r="F37" s="477"/>
      <c r="G37" s="477"/>
      <c r="H37" s="477"/>
      <c r="I37" s="477"/>
      <c r="J37" s="477"/>
      <c r="K37" s="477"/>
      <c r="L37" s="480"/>
      <c r="M37" s="468"/>
      <c r="N37" s="1710">
        <f>SUM(N36:N36)</f>
        <v>11825000</v>
      </c>
    </row>
    <row r="38" spans="1:14" s="329" customFormat="1" ht="13.5" customHeight="1" thickTop="1" x14ac:dyDescent="0.2">
      <c r="A38" s="496" t="s">
        <v>440</v>
      </c>
      <c r="B38" s="483">
        <v>714</v>
      </c>
      <c r="C38" s="466">
        <v>137235</v>
      </c>
      <c r="D38" s="466"/>
      <c r="E38" s="466"/>
      <c r="F38" s="466"/>
      <c r="G38" s="466"/>
      <c r="H38" s="466"/>
      <c r="I38" s="466"/>
      <c r="J38" s="467"/>
      <c r="K38" s="466"/>
      <c r="L38" s="481"/>
      <c r="M38" s="497"/>
      <c r="N38" s="497"/>
    </row>
    <row r="39" spans="1:14" s="329" customFormat="1" ht="13.5" customHeight="1" x14ac:dyDescent="0.2">
      <c r="A39" s="496" t="s">
        <v>360</v>
      </c>
      <c r="B39" s="483">
        <v>730</v>
      </c>
      <c r="C39" s="466">
        <v>1119350</v>
      </c>
      <c r="D39" s="466">
        <v>1045550</v>
      </c>
      <c r="E39" s="466">
        <v>625440</v>
      </c>
      <c r="F39" s="466">
        <v>731190</v>
      </c>
      <c r="G39" s="466">
        <v>224787</v>
      </c>
      <c r="H39" s="466">
        <v>3531065</v>
      </c>
      <c r="I39" s="466">
        <v>2972233</v>
      </c>
      <c r="J39" s="467">
        <v>146334</v>
      </c>
      <c r="K39" s="466">
        <v>130622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27905779</v>
      </c>
      <c r="N40" s="497"/>
    </row>
    <row r="41" spans="1:14" ht="13.5" customHeight="1" thickBot="1" x14ac:dyDescent="0.25">
      <c r="A41" s="1758" t="s">
        <v>676</v>
      </c>
      <c r="B41" s="1728"/>
      <c r="C41" s="1710">
        <f>(SUM(C34,C37,C38,C39))</f>
        <v>1256585</v>
      </c>
      <c r="D41" s="1710">
        <f t="shared" ref="D41:L41" si="2">SUM(D34,D37,D38:D39)</f>
        <v>1061345</v>
      </c>
      <c r="E41" s="1710">
        <f t="shared" si="2"/>
        <v>625440</v>
      </c>
      <c r="F41" s="1710">
        <f t="shared" si="2"/>
        <v>731190</v>
      </c>
      <c r="G41" s="1710">
        <f t="shared" si="2"/>
        <v>224787</v>
      </c>
      <c r="H41" s="1710">
        <f t="shared" si="2"/>
        <v>3531065</v>
      </c>
      <c r="I41" s="1710">
        <f t="shared" si="2"/>
        <v>2972233</v>
      </c>
      <c r="J41" s="1710">
        <f t="shared" si="2"/>
        <v>177528</v>
      </c>
      <c r="K41" s="1710">
        <f t="shared" si="2"/>
        <v>130622</v>
      </c>
      <c r="L41" s="1710">
        <f t="shared" si="2"/>
        <v>227220</v>
      </c>
      <c r="M41" s="1710">
        <f>SUM(M40)</f>
        <v>27905779</v>
      </c>
      <c r="N41" s="1710">
        <f>SUM(N37)</f>
        <v>11825000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T25" sqref="T25:AA25"/>
      <selection pane="bottomLeft" activeCell="T25" sqref="T25:AA25"/>
    </sheetView>
  </sheetViews>
  <sheetFormatPr defaultColWidth="9.28515625" defaultRowHeight="12.75" x14ac:dyDescent="0.2"/>
  <cols>
    <col min="1" max="1" width="55.7109375" style="501" customWidth="1"/>
    <col min="2" max="2" width="4.7109375" style="502" customWidth="1"/>
    <col min="3" max="11" width="13.7109375" style="457" customWidth="1"/>
    <col min="12" max="12" width="2" style="457" customWidth="1"/>
    <col min="13" max="16384" width="9.28515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899999999999999"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3503462</v>
      </c>
      <c r="D4" s="1764">
        <f>'Revenues 9-14'!D109</f>
        <v>786611</v>
      </c>
      <c r="E4" s="1764">
        <f>'Revenues 9-14'!E109</f>
        <v>1296025</v>
      </c>
      <c r="F4" s="1764">
        <f>'Revenues 9-14'!F109</f>
        <v>267532</v>
      </c>
      <c r="G4" s="1764">
        <f>'Revenues 9-14'!G109</f>
        <v>324662</v>
      </c>
      <c r="H4" s="1764">
        <f>'Revenues 9-14'!H109</f>
        <v>89421</v>
      </c>
      <c r="I4" s="1764">
        <f>'Revenues 9-14'!I109</f>
        <v>81108</v>
      </c>
      <c r="J4" s="1764">
        <f>'Revenues 9-14'!J109</f>
        <v>281760</v>
      </c>
      <c r="K4" s="1764">
        <f>'Revenues 9-14'!K109</f>
        <v>65444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2586474</v>
      </c>
      <c r="D6" s="1765">
        <f>'Revenues 9-14'!D173</f>
        <v>0</v>
      </c>
      <c r="E6" s="1765">
        <f>'Revenues 9-14'!E173</f>
        <v>0</v>
      </c>
      <c r="F6" s="1765">
        <f>'Revenues 9-14'!F173</f>
        <v>416561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502808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6592744</v>
      </c>
      <c r="D8" s="1710">
        <f t="shared" ref="D8:K8" si="0">SUM(D4:D7)</f>
        <v>786611</v>
      </c>
      <c r="E8" s="1710">
        <f t="shared" si="0"/>
        <v>1296025</v>
      </c>
      <c r="F8" s="1710">
        <f t="shared" si="0"/>
        <v>684093</v>
      </c>
      <c r="G8" s="1710">
        <f t="shared" si="0"/>
        <v>324662</v>
      </c>
      <c r="H8" s="1710">
        <f t="shared" si="0"/>
        <v>89421</v>
      </c>
      <c r="I8" s="1710">
        <f t="shared" si="0"/>
        <v>81108</v>
      </c>
      <c r="J8" s="1710">
        <f t="shared" si="0"/>
        <v>281760</v>
      </c>
      <c r="K8" s="1710">
        <f t="shared" si="0"/>
        <v>65444</v>
      </c>
      <c r="L8" s="347"/>
    </row>
    <row r="9" spans="1:13" ht="15.75" thickTop="1" x14ac:dyDescent="0.2">
      <c r="A9" s="514" t="s">
        <v>1752</v>
      </c>
      <c r="B9" s="515">
        <v>3998</v>
      </c>
      <c r="C9" s="481">
        <v>3109704</v>
      </c>
      <c r="D9" s="516"/>
      <c r="E9" s="481"/>
      <c r="F9" s="481"/>
      <c r="G9" s="517"/>
      <c r="H9" s="481"/>
      <c r="I9" s="509" t="s">
        <v>1231</v>
      </c>
      <c r="J9" s="478"/>
      <c r="K9" s="481"/>
      <c r="L9" s="347"/>
    </row>
    <row r="10" spans="1:13" s="519" customFormat="1" ht="13.5" thickBot="1" x14ac:dyDescent="0.25">
      <c r="A10" s="1758" t="s">
        <v>1235</v>
      </c>
      <c r="B10" s="1731"/>
      <c r="C10" s="1710">
        <f>SUM(C8:C9)</f>
        <v>9702448</v>
      </c>
      <c r="D10" s="1710">
        <f t="shared" ref="D10:K10" si="1">SUM(D8:D9)</f>
        <v>786611</v>
      </c>
      <c r="E10" s="1710">
        <f t="shared" si="1"/>
        <v>1296025</v>
      </c>
      <c r="F10" s="1710">
        <f t="shared" si="1"/>
        <v>684093</v>
      </c>
      <c r="G10" s="1710">
        <f t="shared" si="1"/>
        <v>324662</v>
      </c>
      <c r="H10" s="1710">
        <f t="shared" si="1"/>
        <v>89421</v>
      </c>
      <c r="I10" s="1710">
        <f t="shared" si="1"/>
        <v>81108</v>
      </c>
      <c r="J10" s="1710">
        <f t="shared" si="1"/>
        <v>281760</v>
      </c>
      <c r="K10" s="1710">
        <f t="shared" si="1"/>
        <v>65444</v>
      </c>
      <c r="L10" s="518"/>
    </row>
    <row r="11" spans="1:13" s="519" customFormat="1" ht="16.899999999999999"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4438493</v>
      </c>
      <c r="D12" s="520" t="s">
        <v>1231</v>
      </c>
      <c r="E12" s="468" t="s">
        <v>1231</v>
      </c>
      <c r="F12" s="468" t="s">
        <v>1231</v>
      </c>
      <c r="G12" s="1764">
        <f>'Expenditures 15-22'!K229</f>
        <v>72911</v>
      </c>
      <c r="H12" s="521"/>
      <c r="I12" s="468" t="s">
        <v>1231</v>
      </c>
      <c r="J12" s="468" t="s">
        <v>1231</v>
      </c>
      <c r="K12" s="521" t="s">
        <v>1231</v>
      </c>
      <c r="L12" s="347"/>
    </row>
    <row r="13" spans="1:13" ht="15.75" customHeight="1" x14ac:dyDescent="0.2">
      <c r="A13" s="1598" t="s">
        <v>477</v>
      </c>
      <c r="B13" s="1600">
        <v>2000</v>
      </c>
      <c r="C13" s="1765">
        <f>'Expenditures 15-22'!K74</f>
        <v>1501685</v>
      </c>
      <c r="D13" s="1765">
        <f>'Expenditures 15-22'!K129</f>
        <v>852740</v>
      </c>
      <c r="E13" s="469" t="s">
        <v>1231</v>
      </c>
      <c r="F13" s="1765">
        <f>'Expenditures 15-22'!K184</f>
        <v>636891</v>
      </c>
      <c r="G13" s="1765">
        <f>'Expenditures 15-22'!K279</f>
        <v>151709</v>
      </c>
      <c r="H13" s="1765">
        <f>'Expenditures 15-22'!K303</f>
        <v>2319555</v>
      </c>
      <c r="I13" s="468" t="s">
        <v>1231</v>
      </c>
      <c r="J13" s="1765">
        <f>'Expenditures 15-22'!K330</f>
        <v>219653</v>
      </c>
      <c r="K13" s="1769">
        <f>'Expenditures 15-22'!K352</f>
        <v>29771</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510875</v>
      </c>
      <c r="D15" s="1765">
        <f>'Expenditures 15-22'!K139</f>
        <v>0</v>
      </c>
      <c r="E15" s="1765">
        <f>'Expenditures 15-22'!K160</f>
        <v>0</v>
      </c>
      <c r="F15" s="1765">
        <f>'Expenditures 15-22'!K196</f>
        <v>0</v>
      </c>
      <c r="G15" s="1765">
        <f>'Expenditures 15-22'!K285</f>
        <v>35839</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8198428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6451053</v>
      </c>
      <c r="D17" s="1710">
        <f t="shared" si="2"/>
        <v>852740</v>
      </c>
      <c r="E17" s="1710">
        <f t="shared" si="2"/>
        <v>8198428</v>
      </c>
      <c r="F17" s="1710">
        <f t="shared" si="2"/>
        <v>636891</v>
      </c>
      <c r="G17" s="1710">
        <f t="shared" si="2"/>
        <v>260459</v>
      </c>
      <c r="H17" s="1710">
        <f t="shared" si="2"/>
        <v>2319555</v>
      </c>
      <c r="I17" s="468"/>
      <c r="J17" s="1710">
        <f>SUM(J12:J16)</f>
        <v>219653</v>
      </c>
      <c r="K17" s="1710">
        <f>SUM(K12:K16)</f>
        <v>29771</v>
      </c>
      <c r="L17" s="347"/>
    </row>
    <row r="18" spans="1:12" ht="15" customHeight="1" thickTop="1" x14ac:dyDescent="0.2">
      <c r="A18" s="1766" t="s">
        <v>1753</v>
      </c>
      <c r="B18" s="1767">
        <v>4180</v>
      </c>
      <c r="C18" s="1764">
        <f t="shared" ref="C18:H18" si="3">C9</f>
        <v>3109704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9560757</v>
      </c>
      <c r="D19" s="1710">
        <f t="shared" si="4"/>
        <v>852740</v>
      </c>
      <c r="E19" s="1710">
        <f t="shared" si="4"/>
        <v>8198428</v>
      </c>
      <c r="F19" s="1710">
        <f t="shared" si="4"/>
        <v>636891</v>
      </c>
      <c r="G19" s="1710">
        <f t="shared" si="4"/>
        <v>260459</v>
      </c>
      <c r="H19" s="1710">
        <f t="shared" si="4"/>
        <v>2319555</v>
      </c>
      <c r="I19" s="468"/>
      <c r="J19" s="1710">
        <f>SUM(J17:J18)</f>
        <v>219653</v>
      </c>
      <c r="K19" s="1710">
        <f>SUM(K17:K18)</f>
        <v>29771</v>
      </c>
      <c r="L19" s="347"/>
    </row>
    <row r="20" spans="1:12" ht="16.5" thickTop="1" thickBot="1" x14ac:dyDescent="0.25">
      <c r="A20" s="2146" t="s">
        <v>1754</v>
      </c>
      <c r="B20" s="2147"/>
      <c r="C20" s="1768">
        <f>C8-C17</f>
        <v>141691</v>
      </c>
      <c r="D20" s="1768">
        <f t="shared" ref="D20:K20" si="5">D8-D17</f>
        <v>-66129</v>
      </c>
      <c r="E20" s="1768">
        <f t="shared" si="5"/>
        <v>-6902403</v>
      </c>
      <c r="F20" s="1768">
        <f t="shared" si="5"/>
        <v>47202</v>
      </c>
      <c r="G20" s="1768">
        <f t="shared" si="5"/>
        <v>64203</v>
      </c>
      <c r="H20" s="1768">
        <f t="shared" si="5"/>
        <v>-2230134</v>
      </c>
      <c r="I20" s="1768">
        <f t="shared" si="5"/>
        <v>81108</v>
      </c>
      <c r="J20" s="1768">
        <f t="shared" si="5"/>
        <v>62107</v>
      </c>
      <c r="K20" s="1768">
        <f t="shared" si="5"/>
        <v>35673</v>
      </c>
      <c r="L20" s="347"/>
    </row>
    <row r="21" spans="1:12" ht="16.899999999999999"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v>195</v>
      </c>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v>12360000</v>
      </c>
      <c r="F33" s="467"/>
      <c r="G33" s="477"/>
      <c r="H33" s="467"/>
      <c r="I33" s="467"/>
      <c r="J33" s="467"/>
      <c r="K33" s="467"/>
      <c r="L33" s="524"/>
    </row>
    <row r="34" spans="1:12" s="485" customFormat="1" x14ac:dyDescent="0.2">
      <c r="A34" s="1511" t="s">
        <v>1058</v>
      </c>
      <c r="B34" s="525">
        <v>7220</v>
      </c>
      <c r="C34" s="467"/>
      <c r="D34" s="467"/>
      <c r="E34" s="467">
        <v>147750</v>
      </c>
      <c r="F34" s="467"/>
      <c r="G34" s="477"/>
      <c r="H34" s="478"/>
      <c r="I34" s="478"/>
      <c r="J34" s="478"/>
      <c r="K34" s="478"/>
      <c r="L34" s="524"/>
    </row>
    <row r="35" spans="1:12" s="485" customFormat="1" x14ac:dyDescent="0.2">
      <c r="A35" s="1511" t="s">
        <v>1047</v>
      </c>
      <c r="B35" s="525">
        <v>7230</v>
      </c>
      <c r="C35" s="467"/>
      <c r="D35" s="467"/>
      <c r="E35" s="467">
        <v>5227</v>
      </c>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v>5561965</v>
      </c>
      <c r="I43" s="467"/>
      <c r="J43" s="467"/>
      <c r="K43" s="467"/>
      <c r="L43" s="524"/>
    </row>
    <row r="44" spans="1:12" s="485" customFormat="1" ht="13.5" customHeight="1" thickBot="1" x14ac:dyDescent="0.25">
      <c r="A44" s="2160" t="s">
        <v>392</v>
      </c>
      <c r="B44" s="2161"/>
      <c r="C44" s="1725">
        <f>SUM(C24:C43)</f>
        <v>195</v>
      </c>
      <c r="D44" s="1725">
        <f t="shared" ref="D44:K44" si="6">SUM(D24:D43)</f>
        <v>0</v>
      </c>
      <c r="E44" s="1725">
        <f t="shared" si="6"/>
        <v>12512977</v>
      </c>
      <c r="F44" s="1725">
        <f t="shared" si="6"/>
        <v>0</v>
      </c>
      <c r="G44" s="1725">
        <f t="shared" si="6"/>
        <v>0</v>
      </c>
      <c r="H44" s="1725">
        <f t="shared" si="6"/>
        <v>5561965</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v>195</v>
      </c>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5584970</v>
      </c>
      <c r="F75" s="532"/>
      <c r="G75" s="532"/>
      <c r="H75" s="532"/>
      <c r="I75" s="530"/>
      <c r="J75" s="530"/>
      <c r="K75" s="532"/>
      <c r="L75" s="524"/>
    </row>
    <row r="76" spans="1:12" s="485" customFormat="1" ht="14.25" thickTop="1" thickBot="1" x14ac:dyDescent="0.25">
      <c r="A76" s="2136" t="s">
        <v>460</v>
      </c>
      <c r="B76" s="2137"/>
      <c r="C76" s="1725">
        <f t="shared" ref="C76:K76" si="7">SUM(C47:C75)</f>
        <v>0</v>
      </c>
      <c r="D76" s="1725">
        <f t="shared" si="7"/>
        <v>0</v>
      </c>
      <c r="E76" s="1725">
        <f t="shared" si="7"/>
        <v>5585165</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8" t="s">
        <v>1239</v>
      </c>
      <c r="B77" s="2139"/>
      <c r="C77" s="1725">
        <f t="shared" ref="C77:K77" si="8">C44-C76</f>
        <v>195</v>
      </c>
      <c r="D77" s="1725">
        <f t="shared" si="8"/>
        <v>0</v>
      </c>
      <c r="E77" s="1725">
        <f t="shared" si="8"/>
        <v>6927812</v>
      </c>
      <c r="F77" s="1725">
        <f t="shared" si="8"/>
        <v>0</v>
      </c>
      <c r="G77" s="1725">
        <f t="shared" si="8"/>
        <v>0</v>
      </c>
      <c r="H77" s="1725">
        <f t="shared" si="8"/>
        <v>5561965</v>
      </c>
      <c r="I77" s="1725">
        <f t="shared" si="8"/>
        <v>0</v>
      </c>
      <c r="J77" s="1725">
        <f t="shared" si="8"/>
        <v>0</v>
      </c>
      <c r="K77" s="1725">
        <f t="shared" si="8"/>
        <v>0</v>
      </c>
      <c r="L77" s="347"/>
    </row>
    <row r="78" spans="1:12" ht="21.75" customHeight="1" thickTop="1" thickBot="1" x14ac:dyDescent="0.25">
      <c r="A78" s="2142" t="s">
        <v>618</v>
      </c>
      <c r="B78" s="2143"/>
      <c r="C78" s="1724">
        <f t="shared" ref="C78:K78" si="9">C20+C77</f>
        <v>141886</v>
      </c>
      <c r="D78" s="1724">
        <f t="shared" si="9"/>
        <v>-66129</v>
      </c>
      <c r="E78" s="1724">
        <f t="shared" si="9"/>
        <v>25409</v>
      </c>
      <c r="F78" s="1724">
        <f t="shared" si="9"/>
        <v>47202</v>
      </c>
      <c r="G78" s="1724">
        <f t="shared" si="9"/>
        <v>64203</v>
      </c>
      <c r="H78" s="1724">
        <f t="shared" si="9"/>
        <v>3331831</v>
      </c>
      <c r="I78" s="1724">
        <f t="shared" si="9"/>
        <v>81108</v>
      </c>
      <c r="J78" s="1724">
        <f t="shared" si="9"/>
        <v>62107</v>
      </c>
      <c r="K78" s="1724">
        <f t="shared" si="9"/>
        <v>35673</v>
      </c>
      <c r="L78" s="533"/>
    </row>
    <row r="79" spans="1:12" ht="13.5" thickTop="1" x14ac:dyDescent="0.2">
      <c r="A79" s="1516" t="s">
        <v>2073</v>
      </c>
      <c r="B79" s="534"/>
      <c r="C79" s="478">
        <v>1114699</v>
      </c>
      <c r="D79" s="535">
        <v>1111679</v>
      </c>
      <c r="E79" s="535">
        <v>600031</v>
      </c>
      <c r="F79" s="535">
        <v>683988</v>
      </c>
      <c r="G79" s="535">
        <v>160584</v>
      </c>
      <c r="H79" s="535">
        <v>199234</v>
      </c>
      <c r="I79" s="535">
        <v>2891125</v>
      </c>
      <c r="J79" s="535">
        <v>84227</v>
      </c>
      <c r="K79" s="535">
        <v>94949</v>
      </c>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2074</v>
      </c>
      <c r="B81" s="2141"/>
      <c r="C81" s="1710">
        <f>(SUM(C78:C80))</f>
        <v>1256585</v>
      </c>
      <c r="D81" s="1710">
        <f>SUM(D78:D80)</f>
        <v>1045550</v>
      </c>
      <c r="E81" s="1710">
        <f t="shared" ref="E81:K81" si="10">SUM(E78:E80)</f>
        <v>625440</v>
      </c>
      <c r="F81" s="1710">
        <f t="shared" si="10"/>
        <v>731190</v>
      </c>
      <c r="G81" s="1710">
        <f t="shared" si="10"/>
        <v>224787</v>
      </c>
      <c r="H81" s="1710">
        <f t="shared" si="10"/>
        <v>3531065</v>
      </c>
      <c r="I81" s="1710">
        <f t="shared" si="10"/>
        <v>2972233</v>
      </c>
      <c r="J81" s="1710">
        <f t="shared" si="10"/>
        <v>146334</v>
      </c>
      <c r="K81" s="1710">
        <f t="shared" si="10"/>
        <v>130622</v>
      </c>
      <c r="L81" s="347"/>
    </row>
    <row r="82" spans="1:12" ht="0.75" customHeight="1" thickTop="1" thickBot="1" x14ac:dyDescent="0.25">
      <c r="A82" s="536" t="s">
        <v>361</v>
      </c>
      <c r="B82" s="537"/>
      <c r="C82" s="538">
        <f>(C81-C79)</f>
        <v>141886</v>
      </c>
      <c r="D82" s="538">
        <f t="shared" ref="D82:K82" si="11">(D81-D79)</f>
        <v>-66129</v>
      </c>
      <c r="E82" s="538">
        <f t="shared" si="11"/>
        <v>25409</v>
      </c>
      <c r="F82" s="538">
        <f t="shared" si="11"/>
        <v>47202</v>
      </c>
      <c r="G82" s="538">
        <f t="shared" si="11"/>
        <v>64203</v>
      </c>
      <c r="H82" s="538">
        <f t="shared" si="11"/>
        <v>3331831</v>
      </c>
      <c r="I82" s="538">
        <f t="shared" si="11"/>
        <v>81108</v>
      </c>
      <c r="J82" s="538">
        <f t="shared" si="11"/>
        <v>62107</v>
      </c>
      <c r="K82" s="538">
        <f t="shared" si="11"/>
        <v>35673</v>
      </c>
    </row>
    <row r="83" spans="1:12" ht="14.25" hidden="1" thickTop="1" thickBot="1" x14ac:dyDescent="0.25">
      <c r="A83" s="539" t="s">
        <v>362</v>
      </c>
      <c r="B83" s="464"/>
      <c r="C83" s="540">
        <f>C82/C81</f>
        <v>0.11291396921020067</v>
      </c>
      <c r="D83" s="540">
        <f t="shared" ref="D83:K83" si="12">D82/D81</f>
        <v>-6.3248051264884517E-2</v>
      </c>
      <c r="E83" s="540">
        <f t="shared" si="12"/>
        <v>4.0625799437196214E-2</v>
      </c>
      <c r="F83" s="540">
        <f t="shared" si="12"/>
        <v>6.4555040413572393E-2</v>
      </c>
      <c r="G83" s="540">
        <f t="shared" si="12"/>
        <v>0.28561705080809835</v>
      </c>
      <c r="H83" s="540">
        <f t="shared" si="12"/>
        <v>0.94357679623569657</v>
      </c>
      <c r="I83" s="540">
        <f t="shared" si="12"/>
        <v>2.728857394423654E-2</v>
      </c>
      <c r="J83" s="540">
        <f t="shared" si="12"/>
        <v>0.4244194787267484</v>
      </c>
      <c r="K83" s="540">
        <f t="shared" si="12"/>
        <v>0.27310100901838896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9" activePane="bottomLeft" state="frozen"/>
      <selection activeCell="T25" sqref="T25:AA25"/>
      <selection pane="bottomLeft" activeCell="T25" sqref="T25:AA25"/>
    </sheetView>
  </sheetViews>
  <sheetFormatPr defaultColWidth="9.28515625" defaultRowHeight="12.75" x14ac:dyDescent="0.2"/>
  <cols>
    <col min="1" max="1" width="54.28515625" style="595" customWidth="1"/>
    <col min="2" max="2" width="4.7109375" style="596" customWidth="1"/>
    <col min="3" max="11" width="13.7109375" style="384" customWidth="1"/>
    <col min="12" max="16384" width="9.28515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899999999999999"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3159879</v>
      </c>
      <c r="D5" s="481">
        <v>642251</v>
      </c>
      <c r="E5" s="466">
        <v>762563</v>
      </c>
      <c r="F5" s="548">
        <v>256901</v>
      </c>
      <c r="G5" s="466">
        <v>191391</v>
      </c>
      <c r="H5" s="466"/>
      <c r="I5" s="466">
        <v>64224</v>
      </c>
      <c r="J5" s="467">
        <v>279727</v>
      </c>
      <c r="K5" s="466">
        <v>64224</v>
      </c>
    </row>
    <row r="6" spans="1:12" ht="15" x14ac:dyDescent="0.2">
      <c r="A6" s="463" t="s">
        <v>1761</v>
      </c>
      <c r="B6" s="470">
        <v>1130</v>
      </c>
      <c r="C6" s="466">
        <v>64225</v>
      </c>
      <c r="D6" s="466"/>
      <c r="E6" s="475"/>
      <c r="F6" s="475"/>
      <c r="G6" s="468"/>
      <c r="H6" s="468"/>
      <c r="I6" s="468"/>
      <c r="J6" s="468"/>
      <c r="K6" s="468"/>
    </row>
    <row r="7" spans="1:12" x14ac:dyDescent="0.2">
      <c r="A7" s="463" t="s">
        <v>112</v>
      </c>
      <c r="B7" s="549">
        <v>1140</v>
      </c>
      <c r="C7" s="466">
        <v>51380</v>
      </c>
      <c r="D7" s="466"/>
      <c r="E7" s="468"/>
      <c r="F7" s="467"/>
      <c r="G7" s="467"/>
      <c r="H7" s="467"/>
      <c r="I7" s="468"/>
      <c r="J7" s="468"/>
      <c r="K7" s="468"/>
    </row>
    <row r="8" spans="1:12" x14ac:dyDescent="0.2">
      <c r="A8" s="463" t="s">
        <v>433</v>
      </c>
      <c r="B8" s="470">
        <v>1150</v>
      </c>
      <c r="C8" s="475"/>
      <c r="D8" s="475"/>
      <c r="E8" s="477"/>
      <c r="F8" s="477"/>
      <c r="G8" s="481">
        <v>115823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3275484</v>
      </c>
      <c r="D12" s="1729">
        <f t="shared" si="0"/>
        <v>642251</v>
      </c>
      <c r="E12" s="1729">
        <f t="shared" si="0"/>
        <v>762563</v>
      </c>
      <c r="F12" s="1729">
        <f t="shared" si="0"/>
        <v>256901</v>
      </c>
      <c r="G12" s="1729">
        <f t="shared" si="0"/>
        <v>307214</v>
      </c>
      <c r="H12" s="1729">
        <f t="shared" si="0"/>
        <v>0</v>
      </c>
      <c r="I12" s="1729">
        <f t="shared" si="0"/>
        <v>64224</v>
      </c>
      <c r="J12" s="1729">
        <f t="shared" si="0"/>
        <v>279727</v>
      </c>
      <c r="K12" s="1710">
        <f t="shared" si="0"/>
        <v>64224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5346</v>
      </c>
      <c r="D14" s="466">
        <v>1048</v>
      </c>
      <c r="E14" s="466">
        <v>1245</v>
      </c>
      <c r="F14" s="466">
        <v>419</v>
      </c>
      <c r="G14" s="466">
        <v>501</v>
      </c>
      <c r="H14" s="466"/>
      <c r="I14" s="466">
        <v>105</v>
      </c>
      <c r="J14" s="467">
        <v>456</v>
      </c>
      <c r="K14" s="466">
        <v>105</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114049</v>
      </c>
      <c r="E16" s="466"/>
      <c r="F16" s="466"/>
      <c r="G16" s="466">
        <v>14740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5346</v>
      </c>
      <c r="D18" s="1732">
        <f t="shared" ref="D18:K18" si="1">SUM(D14:D17)</f>
        <v>115097</v>
      </c>
      <c r="E18" s="1732">
        <f t="shared" si="1"/>
        <v>1245</v>
      </c>
      <c r="F18" s="1732">
        <f t="shared" si="1"/>
        <v>419</v>
      </c>
      <c r="G18" s="1732">
        <f t="shared" si="1"/>
        <v>15241</v>
      </c>
      <c r="H18" s="1732">
        <f t="shared" si="1"/>
        <v>0</v>
      </c>
      <c r="I18" s="1732">
        <f t="shared" si="1"/>
        <v>105</v>
      </c>
      <c r="J18" s="1732">
        <f t="shared" si="1"/>
        <v>456</v>
      </c>
      <c r="K18" s="1733">
        <f t="shared" si="1"/>
        <v>105</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6333</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6333</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15522</v>
      </c>
      <c r="D65" s="466">
        <v>7913</v>
      </c>
      <c r="E65" s="466">
        <v>6100</v>
      </c>
      <c r="F65" s="467">
        <v>3879</v>
      </c>
      <c r="G65" s="466">
        <v>2207</v>
      </c>
      <c r="H65" s="466">
        <v>15514</v>
      </c>
      <c r="I65" s="466">
        <v>16779</v>
      </c>
      <c r="J65" s="467">
        <v>1577</v>
      </c>
      <c r="K65" s="466">
        <v>1115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15522</v>
      </c>
      <c r="D67" s="1710">
        <f t="shared" ref="D67:K67" si="2">SUM(D65:D66)</f>
        <v>7913</v>
      </c>
      <c r="E67" s="1710">
        <f t="shared" si="2"/>
        <v>6100</v>
      </c>
      <c r="F67" s="1710">
        <f t="shared" si="2"/>
        <v>3879</v>
      </c>
      <c r="G67" s="1710">
        <f t="shared" si="2"/>
        <v>2207</v>
      </c>
      <c r="H67" s="1710">
        <f t="shared" si="2"/>
        <v>15514</v>
      </c>
      <c r="I67" s="1710">
        <f t="shared" si="2"/>
        <v>16779</v>
      </c>
      <c r="J67" s="1710">
        <f t="shared" si="2"/>
        <v>1577</v>
      </c>
      <c r="K67" s="1710">
        <f t="shared" si="2"/>
        <v>1115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82752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7653</v>
      </c>
      <c r="D74" s="468"/>
      <c r="E74" s="468"/>
      <c r="F74" s="468"/>
      <c r="G74" s="468"/>
      <c r="H74" s="468"/>
      <c r="I74" s="468"/>
      <c r="J74" s="468"/>
      <c r="K74" s="468"/>
    </row>
    <row r="75" spans="1:11" ht="12.75" customHeight="1" thickBot="1" x14ac:dyDescent="0.25">
      <c r="A75" s="1730" t="s">
        <v>569</v>
      </c>
      <c r="B75" s="1731"/>
      <c r="C75" s="1710">
        <f>SUM(C69:C74)</f>
        <v>90405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27109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56465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2421</v>
      </c>
      <c r="D81" s="466"/>
      <c r="E81" s="468"/>
      <c r="F81" s="468"/>
      <c r="G81" s="468"/>
      <c r="H81" s="468"/>
      <c r="I81" s="468"/>
      <c r="J81" s="468"/>
      <c r="K81" s="468"/>
    </row>
    <row r="82" spans="1:11" ht="12.75" customHeight="1" thickBot="1" x14ac:dyDescent="0.25">
      <c r="A82" s="1730" t="s">
        <v>259</v>
      </c>
      <c r="B82" s="1731"/>
      <c r="C82" s="1729">
        <f>SUM(C77:C81)</f>
        <v>85995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8204</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526117</v>
      </c>
      <c r="F103" s="468"/>
      <c r="G103" s="468"/>
      <c r="H103" s="489">
        <v>73907</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22506</v>
      </c>
      <c r="D107" s="466">
        <v>21350</v>
      </c>
      <c r="E107" s="466"/>
      <c r="F107" s="466"/>
      <c r="G107" s="466"/>
      <c r="H107" s="466"/>
      <c r="I107" s="466"/>
      <c r="J107" s="467"/>
      <c r="K107" s="466"/>
    </row>
    <row r="108" spans="1:12" ht="12.75" customHeight="1" thickBot="1" x14ac:dyDescent="0.25">
      <c r="A108" s="1730" t="s">
        <v>508</v>
      </c>
      <c r="B108" s="1734"/>
      <c r="C108" s="1729">
        <f>SUM(C95:C107)</f>
        <v>30710</v>
      </c>
      <c r="D108" s="1729">
        <f t="shared" ref="D108:K108" si="3">SUM(D95:D107)</f>
        <v>21350</v>
      </c>
      <c r="E108" s="1729">
        <f t="shared" si="3"/>
        <v>526117</v>
      </c>
      <c r="F108" s="1729">
        <f t="shared" si="3"/>
        <v>0</v>
      </c>
      <c r="G108" s="1729">
        <f t="shared" si="3"/>
        <v>0</v>
      </c>
      <c r="H108" s="1729">
        <f t="shared" si="3"/>
        <v>73907</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3503462</v>
      </c>
      <c r="D109" s="1737">
        <f t="shared" si="4"/>
        <v>786611</v>
      </c>
      <c r="E109" s="1737">
        <f t="shared" si="4"/>
        <v>1296025</v>
      </c>
      <c r="F109" s="1737">
        <f t="shared" si="4"/>
        <v>267532</v>
      </c>
      <c r="G109" s="1737">
        <f t="shared" si="4"/>
        <v>324662</v>
      </c>
      <c r="H109" s="1737">
        <f t="shared" si="4"/>
        <v>89421</v>
      </c>
      <c r="I109" s="1737">
        <f t="shared" si="4"/>
        <v>81108</v>
      </c>
      <c r="J109" s="1737">
        <f t="shared" si="4"/>
        <v>281760</v>
      </c>
      <c r="K109" s="1724">
        <f t="shared" si="4"/>
        <v>65444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899999999999999"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2178229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2178229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57753</v>
      </c>
      <c r="D125" s="561"/>
      <c r="E125" s="468"/>
      <c r="F125" s="466"/>
      <c r="G125" s="468"/>
      <c r="H125" s="468"/>
      <c r="I125" s="468"/>
      <c r="J125" s="468"/>
      <c r="K125" s="468"/>
    </row>
    <row r="126" spans="1:11" ht="12.75" customHeight="1" x14ac:dyDescent="0.2">
      <c r="A126" s="463" t="s">
        <v>922</v>
      </c>
      <c r="B126" s="562">
        <v>3110</v>
      </c>
      <c r="C126" s="551">
        <v>16733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74486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3363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13455</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310360</v>
      </c>
      <c r="G151" s="467"/>
      <c r="H151" s="468"/>
      <c r="I151" s="468"/>
      <c r="J151" s="468"/>
      <c r="K151" s="468"/>
    </row>
    <row r="152" spans="1:11" ht="12.75" customHeight="1" x14ac:dyDescent="0.2">
      <c r="A152" s="463" t="s">
        <v>1117</v>
      </c>
      <c r="B152" s="562">
        <v>3510</v>
      </c>
      <c r="C152" s="551"/>
      <c r="D152" s="466"/>
      <c r="E152" s="561"/>
      <c r="F152" s="466">
        <v>106201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416561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299953</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16988</v>
      </c>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408245</v>
      </c>
      <c r="D172" s="1744">
        <f t="shared" si="6"/>
        <v>0</v>
      </c>
      <c r="E172" s="1744">
        <f t="shared" si="6"/>
        <v>0</v>
      </c>
      <c r="F172" s="1744">
        <f t="shared" si="6"/>
        <v>416561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2586474</v>
      </c>
      <c r="D173" s="1737">
        <f>SUM(D121,D172)</f>
        <v>0</v>
      </c>
      <c r="E173" s="1737">
        <f>SUM(E121,E172)</f>
        <v>0</v>
      </c>
      <c r="F173" s="1737">
        <f t="shared" ref="F173:K173" si="7">SUM(F121,F172)</f>
        <v>416561</v>
      </c>
      <c r="G173" s="1737">
        <f t="shared" si="7"/>
        <v>0</v>
      </c>
      <c r="H173" s="1737">
        <f t="shared" si="7"/>
        <v>0</v>
      </c>
      <c r="I173" s="1737">
        <f t="shared" si="7"/>
        <v>0</v>
      </c>
      <c r="J173" s="1737">
        <f t="shared" si="7"/>
        <v>0</v>
      </c>
      <c r="K173" s="1724">
        <f t="shared" si="7"/>
        <v>0</v>
      </c>
    </row>
    <row r="174" spans="1:11" ht="16.899999999999999"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172199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61574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233773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90855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90855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150347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150347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19629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8204</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502808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502808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6592744</v>
      </c>
      <c r="D275" s="1737">
        <f t="shared" si="12"/>
        <v>786611</v>
      </c>
      <c r="E275" s="1737">
        <f t="shared" si="12"/>
        <v>1296025</v>
      </c>
      <c r="F275" s="1737">
        <f t="shared" si="12"/>
        <v>684093</v>
      </c>
      <c r="G275" s="1737">
        <f t="shared" si="12"/>
        <v>324662</v>
      </c>
      <c r="H275" s="1737">
        <f t="shared" si="12"/>
        <v>89421</v>
      </c>
      <c r="I275" s="1737">
        <f t="shared" si="12"/>
        <v>81108</v>
      </c>
      <c r="J275" s="1737">
        <f t="shared" si="12"/>
        <v>281760</v>
      </c>
      <c r="K275" s="1724">
        <f t="shared" si="12"/>
        <v>65444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80" activePane="bottomLeft" state="frozen"/>
      <selection activeCell="T25" sqref="T25:AA25"/>
      <selection pane="bottomLeft" activeCell="T25" sqref="T25:AA25"/>
    </sheetView>
  </sheetViews>
  <sheetFormatPr defaultColWidth="9.28515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7109375" style="343" customWidth="1"/>
    <col min="13" max="13" width="1.5703125" style="210" customWidth="1"/>
    <col min="14" max="14" width="9.28515625" style="210"/>
    <col min="15" max="16384" width="9.28515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899999999999999"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2604818</v>
      </c>
      <c r="D5" s="466">
        <v>719319</v>
      </c>
      <c r="E5" s="466">
        <v>34104</v>
      </c>
      <c r="F5" s="466">
        <v>92637</v>
      </c>
      <c r="G5" s="466"/>
      <c r="H5" s="466">
        <v>1593</v>
      </c>
      <c r="I5" s="467">
        <v>31937</v>
      </c>
      <c r="J5" s="467"/>
      <c r="K5" s="1693">
        <f>SUM(C5:J5)</f>
        <v>3484408</v>
      </c>
      <c r="L5" s="466">
        <v>3442773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168984</v>
      </c>
      <c r="D7" s="467">
        <v>27166</v>
      </c>
      <c r="E7" s="467">
        <v>6870</v>
      </c>
      <c r="F7" s="467">
        <v>20580</v>
      </c>
      <c r="G7" s="467">
        <v>7115</v>
      </c>
      <c r="H7" s="467"/>
      <c r="I7" s="467"/>
      <c r="J7" s="467"/>
      <c r="K7" s="1693">
        <f t="shared" ref="K7:K32" si="0">SUM(C7:J7)</f>
        <v>230715</v>
      </c>
      <c r="L7" s="466">
        <v>206771</v>
      </c>
    </row>
    <row r="8" spans="1:14" x14ac:dyDescent="0.2">
      <c r="A8" s="1526" t="s">
        <v>166</v>
      </c>
      <c r="B8" s="615">
        <v>1200</v>
      </c>
      <c r="C8" s="466">
        <v>345702</v>
      </c>
      <c r="D8" s="466">
        <v>38246</v>
      </c>
      <c r="E8" s="466"/>
      <c r="F8" s="466"/>
      <c r="G8" s="466"/>
      <c r="H8" s="466"/>
      <c r="I8" s="467"/>
      <c r="J8" s="467"/>
      <c r="K8" s="1693">
        <f t="shared" si="0"/>
        <v>383948</v>
      </c>
      <c r="L8" s="466">
        <v>424874</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79631</v>
      </c>
      <c r="D10" s="466">
        <v>15527</v>
      </c>
      <c r="E10" s="466"/>
      <c r="F10" s="466">
        <v>4600</v>
      </c>
      <c r="G10" s="466"/>
      <c r="H10" s="466"/>
      <c r="I10" s="467"/>
      <c r="J10" s="467"/>
      <c r="K10" s="1693">
        <f t="shared" si="0"/>
        <v>99758</v>
      </c>
      <c r="L10" s="466">
        <v>97871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122679</v>
      </c>
      <c r="D14" s="466">
        <v>14453</v>
      </c>
      <c r="E14" s="466">
        <v>24861</v>
      </c>
      <c r="F14" s="466">
        <v>11129</v>
      </c>
      <c r="G14" s="466"/>
      <c r="H14" s="466">
        <v>5585</v>
      </c>
      <c r="I14" s="467"/>
      <c r="J14" s="467"/>
      <c r="K14" s="1693">
        <f t="shared" si="0"/>
        <v>178707</v>
      </c>
      <c r="L14" s="466">
        <v>205705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v>35812</v>
      </c>
      <c r="D19" s="466">
        <v>4119</v>
      </c>
      <c r="E19" s="466">
        <v>8026</v>
      </c>
      <c r="F19" s="466"/>
      <c r="G19" s="466">
        <v>13000</v>
      </c>
      <c r="H19" s="466"/>
      <c r="I19" s="467"/>
      <c r="J19" s="467"/>
      <c r="K19" s="1693">
        <f t="shared" si="0"/>
        <v>60957</v>
      </c>
      <c r="L19" s="466">
        <v>44943</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3357626</v>
      </c>
      <c r="D33" s="1692">
        <f t="shared" ref="D33:L33" si="1">SUM(D5:D32)</f>
        <v>818830</v>
      </c>
      <c r="E33" s="1692">
        <f t="shared" si="1"/>
        <v>73861</v>
      </c>
      <c r="F33" s="1692">
        <f t="shared" si="1"/>
        <v>128946</v>
      </c>
      <c r="G33" s="1692">
        <f t="shared" si="1"/>
        <v>20115</v>
      </c>
      <c r="H33" s="1692">
        <f t="shared" si="1"/>
        <v>7178</v>
      </c>
      <c r="I33" s="1692">
        <f t="shared" si="1"/>
        <v>31937</v>
      </c>
      <c r="J33" s="1692">
        <f t="shared" si="1"/>
        <v>0</v>
      </c>
      <c r="K33" s="1692">
        <f t="shared" si="1"/>
        <v>4438493</v>
      </c>
      <c r="L33" s="1692">
        <f t="shared" si="1"/>
        <v>4422937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66014</v>
      </c>
      <c r="D37" s="466">
        <v>13981</v>
      </c>
      <c r="E37" s="466"/>
      <c r="F37" s="466"/>
      <c r="G37" s="466"/>
      <c r="H37" s="466"/>
      <c r="I37" s="467"/>
      <c r="J37" s="467"/>
      <c r="K37" s="1693">
        <f t="shared" si="2"/>
        <v>79995</v>
      </c>
      <c r="L37" s="466">
        <v>79579</v>
      </c>
    </row>
    <row r="38" spans="1:14" x14ac:dyDescent="0.2">
      <c r="A38" s="1526" t="s">
        <v>207</v>
      </c>
      <c r="B38" s="615">
        <v>2130</v>
      </c>
      <c r="C38" s="466">
        <v>27942</v>
      </c>
      <c r="D38" s="466">
        <v>34</v>
      </c>
      <c r="E38" s="466">
        <v>130</v>
      </c>
      <c r="F38" s="466">
        <v>600</v>
      </c>
      <c r="G38" s="466"/>
      <c r="H38" s="466"/>
      <c r="I38" s="467"/>
      <c r="J38" s="467"/>
      <c r="K38" s="1693">
        <f t="shared" si="2"/>
        <v>28706</v>
      </c>
      <c r="L38" s="466">
        <v>29687</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v>64475</v>
      </c>
      <c r="D41" s="466">
        <v>3757</v>
      </c>
      <c r="E41" s="466">
        <v>48</v>
      </c>
      <c r="F41" s="466"/>
      <c r="G41" s="466"/>
      <c r="H41" s="466"/>
      <c r="I41" s="467"/>
      <c r="J41" s="467"/>
      <c r="K41" s="1693">
        <f t="shared" si="2"/>
        <v>68280</v>
      </c>
      <c r="L41" s="466">
        <v>62946</v>
      </c>
    </row>
    <row r="42" spans="1:14" ht="12.75" customHeight="1" thickBot="1" x14ac:dyDescent="0.25">
      <c r="A42" s="1690" t="s">
        <v>581</v>
      </c>
      <c r="B42" s="1691" t="s">
        <v>740</v>
      </c>
      <c r="C42" s="1692">
        <f>SUM(C36:C41)</f>
        <v>158431</v>
      </c>
      <c r="D42" s="1692">
        <f t="shared" ref="D42:L42" si="3">SUM(D36:D41)</f>
        <v>17772</v>
      </c>
      <c r="E42" s="1692">
        <f t="shared" si="3"/>
        <v>178</v>
      </c>
      <c r="F42" s="1692">
        <f t="shared" si="3"/>
        <v>600</v>
      </c>
      <c r="G42" s="1692">
        <f t="shared" si="3"/>
        <v>0</v>
      </c>
      <c r="H42" s="1692">
        <f t="shared" si="3"/>
        <v>0</v>
      </c>
      <c r="I42" s="1692">
        <f t="shared" si="3"/>
        <v>0</v>
      </c>
      <c r="J42" s="1692">
        <f t="shared" si="3"/>
        <v>0</v>
      </c>
      <c r="K42" s="1692">
        <f t="shared" si="3"/>
        <v>176981</v>
      </c>
      <c r="L42" s="1692">
        <f t="shared" si="3"/>
        <v>172212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v>26547</v>
      </c>
      <c r="D45" s="466">
        <v>3244</v>
      </c>
      <c r="E45" s="466">
        <v>2250</v>
      </c>
      <c r="F45" s="466">
        <v>5465</v>
      </c>
      <c r="G45" s="466"/>
      <c r="H45" s="466"/>
      <c r="I45" s="467"/>
      <c r="J45" s="467"/>
      <c r="K45" s="1694">
        <f>SUM(C45:J45)</f>
        <v>37506</v>
      </c>
      <c r="L45" s="466">
        <v>41360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26547</v>
      </c>
      <c r="D47" s="1692">
        <f t="shared" ref="D47:K47" si="4">SUM(D44:D46)</f>
        <v>3244</v>
      </c>
      <c r="E47" s="1692">
        <f t="shared" si="4"/>
        <v>2250</v>
      </c>
      <c r="F47" s="1692">
        <f t="shared" si="4"/>
        <v>5465</v>
      </c>
      <c r="G47" s="1692">
        <f t="shared" si="4"/>
        <v>0</v>
      </c>
      <c r="H47" s="1692">
        <f t="shared" si="4"/>
        <v>0</v>
      </c>
      <c r="I47" s="1692">
        <f t="shared" si="4"/>
        <v>0</v>
      </c>
      <c r="J47" s="1692">
        <f t="shared" si="4"/>
        <v>0</v>
      </c>
      <c r="K47" s="1692">
        <f t="shared" si="4"/>
        <v>37506</v>
      </c>
      <c r="L47" s="1692">
        <f>SUM(L44:L46)</f>
        <v>41360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11191</v>
      </c>
      <c r="D49" s="481"/>
      <c r="E49" s="481">
        <v>111387</v>
      </c>
      <c r="F49" s="481">
        <v>7677</v>
      </c>
      <c r="G49" s="481"/>
      <c r="H49" s="481">
        <v>5076</v>
      </c>
      <c r="I49" s="467"/>
      <c r="J49" s="467"/>
      <c r="K49" s="1694">
        <f>SUM(C49:J49)</f>
        <v>135331</v>
      </c>
      <c r="L49" s="481">
        <v>161650</v>
      </c>
    </row>
    <row r="50" spans="1:14" x14ac:dyDescent="0.2">
      <c r="A50" s="1526" t="s">
        <v>872</v>
      </c>
      <c r="B50" s="615">
        <v>2320</v>
      </c>
      <c r="C50" s="466">
        <v>98125</v>
      </c>
      <c r="D50" s="466">
        <v>35838</v>
      </c>
      <c r="E50" s="466">
        <v>2284</v>
      </c>
      <c r="F50" s="466">
        <v>688</v>
      </c>
      <c r="G50" s="466"/>
      <c r="H50" s="466">
        <v>1241</v>
      </c>
      <c r="I50" s="467"/>
      <c r="J50" s="467"/>
      <c r="K50" s="1694">
        <f>SUM(C50:J50)</f>
        <v>138176</v>
      </c>
      <c r="L50" s="466">
        <v>130078</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109316</v>
      </c>
      <c r="D53" s="1692">
        <f t="shared" ref="D53:L53" si="5">SUM(D49:D52)</f>
        <v>35838</v>
      </c>
      <c r="E53" s="1692">
        <f t="shared" si="5"/>
        <v>113671</v>
      </c>
      <c r="F53" s="1692">
        <f t="shared" si="5"/>
        <v>8365</v>
      </c>
      <c r="G53" s="1692">
        <f t="shared" si="5"/>
        <v>0</v>
      </c>
      <c r="H53" s="1692">
        <f t="shared" si="5"/>
        <v>6317</v>
      </c>
      <c r="I53" s="1692">
        <f t="shared" si="5"/>
        <v>0</v>
      </c>
      <c r="J53" s="1692">
        <f t="shared" si="5"/>
        <v>0</v>
      </c>
      <c r="K53" s="1692">
        <f t="shared" si="5"/>
        <v>273507</v>
      </c>
      <c r="L53" s="1692">
        <f t="shared" si="5"/>
        <v>291728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516804</v>
      </c>
      <c r="D55" s="481">
        <v>115690</v>
      </c>
      <c r="E55" s="481">
        <v>2624</v>
      </c>
      <c r="F55" s="481">
        <v>333</v>
      </c>
      <c r="G55" s="481"/>
      <c r="H55" s="481">
        <v>614</v>
      </c>
      <c r="I55" s="467"/>
      <c r="J55" s="467"/>
      <c r="K55" s="1694">
        <f>SUM(C55:J55)</f>
        <v>636065</v>
      </c>
      <c r="L55" s="481">
        <v>591606</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516804</v>
      </c>
      <c r="D57" s="1696">
        <f t="shared" ref="D57:K57" si="6">SUM(D55:D56)</f>
        <v>115690</v>
      </c>
      <c r="E57" s="1696">
        <f t="shared" si="6"/>
        <v>2624</v>
      </c>
      <c r="F57" s="1696">
        <f t="shared" si="6"/>
        <v>333</v>
      </c>
      <c r="G57" s="1696">
        <f t="shared" si="6"/>
        <v>0</v>
      </c>
      <c r="H57" s="1696">
        <f t="shared" si="6"/>
        <v>614</v>
      </c>
      <c r="I57" s="1696">
        <f t="shared" si="6"/>
        <v>0</v>
      </c>
      <c r="J57" s="1696">
        <f t="shared" si="6"/>
        <v>0</v>
      </c>
      <c r="K57" s="1696">
        <f t="shared" si="6"/>
        <v>636065</v>
      </c>
      <c r="L57" s="1692">
        <f>SUM(L55:L56)</f>
        <v>591606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67657</v>
      </c>
      <c r="D60" s="466">
        <v>2406</v>
      </c>
      <c r="E60" s="466"/>
      <c r="F60" s="466"/>
      <c r="G60" s="466"/>
      <c r="H60" s="466"/>
      <c r="I60" s="467"/>
      <c r="J60" s="467"/>
      <c r="K60" s="1694">
        <f t="shared" si="7"/>
        <v>70063</v>
      </c>
      <c r="L60" s="466">
        <v>69548</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101211</v>
      </c>
      <c r="D63" s="466">
        <v>4796</v>
      </c>
      <c r="E63" s="466">
        <v>4640</v>
      </c>
      <c r="F63" s="466">
        <v>176536</v>
      </c>
      <c r="G63" s="466"/>
      <c r="H63" s="466"/>
      <c r="I63" s="467"/>
      <c r="J63" s="467"/>
      <c r="K63" s="1694">
        <f t="shared" si="7"/>
        <v>287183</v>
      </c>
      <c r="L63" s="466">
        <v>276521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168868</v>
      </c>
      <c r="D65" s="1692">
        <f t="shared" ref="D65:L65" si="8">SUM(D59:D64)</f>
        <v>7202</v>
      </c>
      <c r="E65" s="1692">
        <f t="shared" si="8"/>
        <v>4640</v>
      </c>
      <c r="F65" s="1692">
        <f t="shared" si="8"/>
        <v>176536</v>
      </c>
      <c r="G65" s="1692">
        <f t="shared" si="8"/>
        <v>0</v>
      </c>
      <c r="H65" s="1692">
        <f t="shared" si="8"/>
        <v>0</v>
      </c>
      <c r="I65" s="1692">
        <f t="shared" si="8"/>
        <v>0</v>
      </c>
      <c r="J65" s="1692">
        <f t="shared" si="8"/>
        <v>0</v>
      </c>
      <c r="K65" s="1692">
        <f t="shared" si="8"/>
        <v>357246</v>
      </c>
      <c r="L65" s="1692">
        <f t="shared" si="8"/>
        <v>346069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20380</v>
      </c>
      <c r="F71" s="466"/>
      <c r="G71" s="466"/>
      <c r="H71" s="466"/>
      <c r="I71" s="467"/>
      <c r="J71" s="467"/>
      <c r="K71" s="1694">
        <f>SUM(C71:J71)</f>
        <v>20380</v>
      </c>
      <c r="L71" s="466">
        <v>13100</v>
      </c>
      <c r="M71" s="610"/>
      <c r="N71" s="610"/>
    </row>
    <row r="72" spans="1:14" s="343" customFormat="1" ht="12.75" customHeight="1" thickBot="1" x14ac:dyDescent="0.25">
      <c r="A72" s="1690" t="s">
        <v>37</v>
      </c>
      <c r="B72" s="1697" t="s">
        <v>36</v>
      </c>
      <c r="C72" s="1692">
        <f>SUM(C67:C71)</f>
        <v>0</v>
      </c>
      <c r="D72" s="1692">
        <f t="shared" ref="D72:K72" si="9">SUM(D67:D71)</f>
        <v>0</v>
      </c>
      <c r="E72" s="1692">
        <f t="shared" si="9"/>
        <v>20380</v>
      </c>
      <c r="F72" s="1692">
        <f t="shared" si="9"/>
        <v>0</v>
      </c>
      <c r="G72" s="1692">
        <f t="shared" si="9"/>
        <v>0</v>
      </c>
      <c r="H72" s="1692">
        <f t="shared" si="9"/>
        <v>0</v>
      </c>
      <c r="I72" s="1692">
        <f t="shared" si="9"/>
        <v>0</v>
      </c>
      <c r="J72" s="1692">
        <f t="shared" si="9"/>
        <v>0</v>
      </c>
      <c r="K72" s="1692">
        <f t="shared" si="9"/>
        <v>20380</v>
      </c>
      <c r="L72" s="1692">
        <f>SUM(L67:L71)</f>
        <v>13100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979966</v>
      </c>
      <c r="D74" s="1699">
        <f t="shared" ref="D74:K74" si="10">SUM(D42,D47,D53,D57,D65,D72,D73)</f>
        <v>179746</v>
      </c>
      <c r="E74" s="1699">
        <f t="shared" si="10"/>
        <v>143743</v>
      </c>
      <c r="F74" s="1699">
        <f t="shared" si="10"/>
        <v>191299</v>
      </c>
      <c r="G74" s="1699">
        <f t="shared" si="10"/>
        <v>0</v>
      </c>
      <c r="H74" s="1699">
        <f t="shared" si="10"/>
        <v>6931</v>
      </c>
      <c r="I74" s="1699">
        <f t="shared" si="10"/>
        <v>0</v>
      </c>
      <c r="J74" s="1699">
        <f t="shared" si="10"/>
        <v>0</v>
      </c>
      <c r="K74" s="1699">
        <f t="shared" si="10"/>
        <v>1501685</v>
      </c>
      <c r="L74" s="1699">
        <f>SUM(L42,L47,L53,L57,L65,L72,L73)</f>
        <v>1456075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v>277000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22048</v>
      </c>
      <c r="I81" s="477"/>
      <c r="J81" s="477"/>
      <c r="K81" s="1693">
        <f t="shared" si="11"/>
        <v>22048</v>
      </c>
      <c r="L81" s="466">
        <v>57600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22048</v>
      </c>
      <c r="I84" s="477"/>
      <c r="J84" s="477"/>
      <c r="K84" s="1692">
        <f>SUM(K78:K83)</f>
        <v>22048</v>
      </c>
      <c r="L84" s="1692">
        <f>SUM(L78:L83)</f>
        <v>334600</v>
      </c>
    </row>
    <row r="85" spans="1:12" ht="12.75" customHeight="1" thickTop="1" thickBot="1" x14ac:dyDescent="0.25">
      <c r="A85" s="1533" t="s">
        <v>273</v>
      </c>
      <c r="B85" s="636">
        <v>4210</v>
      </c>
      <c r="C85" s="617"/>
      <c r="D85" s="617"/>
      <c r="E85" s="637"/>
      <c r="F85" s="617"/>
      <c r="G85" s="617"/>
      <c r="H85" s="535">
        <v>30841</v>
      </c>
      <c r="I85" s="477"/>
      <c r="J85" s="477"/>
      <c r="K85" s="1699">
        <f>H85</f>
        <v>30841</v>
      </c>
      <c r="L85" s="530"/>
    </row>
    <row r="86" spans="1:12" ht="12.75" customHeight="1" thickTop="1" thickBot="1" x14ac:dyDescent="0.25">
      <c r="A86" s="1534" t="s">
        <v>723</v>
      </c>
      <c r="B86" s="638">
        <v>4220</v>
      </c>
      <c r="C86" s="617"/>
      <c r="D86" s="617"/>
      <c r="E86" s="639"/>
      <c r="F86" s="617"/>
      <c r="G86" s="617"/>
      <c r="H86" s="467">
        <v>413886</v>
      </c>
      <c r="I86" s="477"/>
      <c r="J86" s="477"/>
      <c r="K86" s="1699">
        <f t="shared" ref="K86:K98" si="12">H86</f>
        <v>413886</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44100</v>
      </c>
      <c r="I88" s="477"/>
      <c r="J88" s="477"/>
      <c r="K88" s="1699">
        <f t="shared" si="12"/>
        <v>44100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488827</v>
      </c>
      <c r="I92" s="477"/>
      <c r="J92" s="477"/>
      <c r="K92" s="1699">
        <f t="shared" si="12"/>
        <v>488827</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510875</v>
      </c>
      <c r="I102" s="477"/>
      <c r="J102" s="477"/>
      <c r="K102" s="1699">
        <f>SUM(K84,K92,K100,K101)</f>
        <v>510875</v>
      </c>
      <c r="L102" s="1699">
        <f>SUM(L84,L92,L100,L101)</f>
        <v>334600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4337592</v>
      </c>
      <c r="D114" s="1692">
        <f t="shared" ref="D114:K114" si="13">SUM(D33,D74,D75,D102,D112,D113)</f>
        <v>998576</v>
      </c>
      <c r="E114" s="1692">
        <f t="shared" si="13"/>
        <v>217604</v>
      </c>
      <c r="F114" s="1692">
        <f t="shared" si="13"/>
        <v>320245</v>
      </c>
      <c r="G114" s="1692">
        <f t="shared" si="13"/>
        <v>20115</v>
      </c>
      <c r="H114" s="1692">
        <f>SUM(H33,H74,H75,H102,H112,H113)</f>
        <v>524984</v>
      </c>
      <c r="I114" s="1692">
        <f t="shared" si="13"/>
        <v>31937</v>
      </c>
      <c r="J114" s="1692">
        <f t="shared" si="13"/>
        <v>0</v>
      </c>
      <c r="K114" s="1692">
        <f t="shared" si="13"/>
        <v>6451053</v>
      </c>
      <c r="L114" s="1692">
        <f>SUM(L33,L74,L75,L102,L112,L113)</f>
        <v>6213612</v>
      </c>
    </row>
    <row r="115" spans="1:14" ht="13.5" thickTop="1" x14ac:dyDescent="0.2">
      <c r="A115" s="2176" t="s">
        <v>1053</v>
      </c>
      <c r="B115" s="2177"/>
      <c r="C115" s="619"/>
      <c r="D115" s="619"/>
      <c r="E115" s="619"/>
      <c r="F115" s="619"/>
      <c r="G115" s="619"/>
      <c r="H115" s="619"/>
      <c r="I115" s="619"/>
      <c r="J115" s="619"/>
      <c r="K115" s="1706">
        <f>'Revenues 9-14'!C275-'Expenditures 15-22'!K114</f>
        <v>141691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899999999999999"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314034</v>
      </c>
      <c r="D124" s="466">
        <v>18751</v>
      </c>
      <c r="E124" s="466">
        <v>109829</v>
      </c>
      <c r="F124" s="466">
        <v>306555</v>
      </c>
      <c r="G124" s="466">
        <v>98075</v>
      </c>
      <c r="H124" s="466">
        <v>5496</v>
      </c>
      <c r="I124" s="467"/>
      <c r="J124" s="467"/>
      <c r="K124" s="1692">
        <f>SUM(C124:J124)</f>
        <v>852740</v>
      </c>
      <c r="L124" s="466">
        <v>894100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314034</v>
      </c>
      <c r="D127" s="1692">
        <f t="shared" ref="D127:L127" si="14">SUM(D122:D126)</f>
        <v>18751</v>
      </c>
      <c r="E127" s="1692">
        <f t="shared" si="14"/>
        <v>109829</v>
      </c>
      <c r="F127" s="1692">
        <f t="shared" si="14"/>
        <v>306555</v>
      </c>
      <c r="G127" s="1692">
        <f t="shared" si="14"/>
        <v>98075</v>
      </c>
      <c r="H127" s="1692">
        <f t="shared" si="14"/>
        <v>5496</v>
      </c>
      <c r="I127" s="1692">
        <f t="shared" si="14"/>
        <v>0</v>
      </c>
      <c r="J127" s="1692">
        <f t="shared" si="14"/>
        <v>0</v>
      </c>
      <c r="K127" s="1692">
        <f t="shared" si="14"/>
        <v>852740</v>
      </c>
      <c r="L127" s="1692">
        <f t="shared" si="14"/>
        <v>894100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314034</v>
      </c>
      <c r="D129" s="1699">
        <f t="shared" ref="D129:L129" si="15">SUM(D120,D127,D128)</f>
        <v>18751</v>
      </c>
      <c r="E129" s="1699">
        <f t="shared" si="15"/>
        <v>109829</v>
      </c>
      <c r="F129" s="1699">
        <f t="shared" si="15"/>
        <v>306555</v>
      </c>
      <c r="G129" s="1699">
        <f t="shared" si="15"/>
        <v>98075</v>
      </c>
      <c r="H129" s="1699">
        <f t="shared" si="15"/>
        <v>5496</v>
      </c>
      <c r="I129" s="1699">
        <f t="shared" si="15"/>
        <v>0</v>
      </c>
      <c r="J129" s="1699">
        <f t="shared" si="15"/>
        <v>0</v>
      </c>
      <c r="K129" s="1699">
        <f t="shared" si="15"/>
        <v>852740</v>
      </c>
      <c r="L129" s="1699">
        <f t="shared" si="15"/>
        <v>894100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v>4700</v>
      </c>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4700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4700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3" t="s">
        <v>641</v>
      </c>
      <c r="B151" s="2173"/>
      <c r="C151" s="1692">
        <f>SUM(C129,C130,C139,C149,C150)</f>
        <v>314034</v>
      </c>
      <c r="D151" s="1692">
        <f t="shared" ref="D151:K151" si="16">SUM(D129,D130,D139,D149,D150)</f>
        <v>18751</v>
      </c>
      <c r="E151" s="1692">
        <f t="shared" si="16"/>
        <v>109829</v>
      </c>
      <c r="F151" s="1692">
        <f t="shared" si="16"/>
        <v>306555</v>
      </c>
      <c r="G151" s="1692">
        <f t="shared" si="16"/>
        <v>98075</v>
      </c>
      <c r="H151" s="1692">
        <f t="shared" si="16"/>
        <v>5496</v>
      </c>
      <c r="I151" s="1692">
        <f t="shared" si="16"/>
        <v>0</v>
      </c>
      <c r="J151" s="1692">
        <f t="shared" si="16"/>
        <v>0</v>
      </c>
      <c r="K151" s="1692">
        <f t="shared" si="16"/>
        <v>852740</v>
      </c>
      <c r="L151" s="1692">
        <f>SUM(L129,L130,L139,L149,L150)</f>
        <v>898800</v>
      </c>
    </row>
    <row r="152" spans="1:14" ht="12.75" customHeight="1" thickTop="1" x14ac:dyDescent="0.2">
      <c r="A152" s="2196" t="s">
        <v>1240</v>
      </c>
      <c r="B152" s="2197"/>
      <c r="C152" s="619"/>
      <c r="D152" s="619"/>
      <c r="E152" s="619"/>
      <c r="F152" s="619"/>
      <c r="G152" s="619"/>
      <c r="H152" s="619"/>
      <c r="I152" s="619"/>
      <c r="J152" s="617"/>
      <c r="K152" s="1706">
        <f>'Revenues 9-14'!D275-'Expenditures 15-22'!K151</f>
        <v>-66129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899999999999999"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225768</v>
      </c>
      <c r="I169" s="617"/>
      <c r="J169" s="617"/>
      <c r="K169" s="1693">
        <f>SUM(C169:H169)</f>
        <v>225768</v>
      </c>
      <c r="L169" s="657">
        <v>202470</v>
      </c>
    </row>
    <row r="170" spans="1:14" ht="33.75" customHeight="1" x14ac:dyDescent="0.2">
      <c r="A170" s="670" t="s">
        <v>1769</v>
      </c>
      <c r="B170" s="672" t="s">
        <v>31</v>
      </c>
      <c r="C170" s="617"/>
      <c r="D170" s="617"/>
      <c r="E170" s="617"/>
      <c r="F170" s="617"/>
      <c r="G170" s="617"/>
      <c r="H170" s="569">
        <v>7850000</v>
      </c>
      <c r="I170" s="617"/>
      <c r="J170" s="617"/>
      <c r="K170" s="1693">
        <f>SUM(C170:J170)</f>
        <v>7850000</v>
      </c>
      <c r="L170" s="569">
        <v>1198845</v>
      </c>
    </row>
    <row r="171" spans="1:14" ht="15.75" customHeight="1" x14ac:dyDescent="0.2">
      <c r="A171" s="622" t="s">
        <v>790</v>
      </c>
      <c r="B171" s="673" t="s">
        <v>86</v>
      </c>
      <c r="C171" s="617"/>
      <c r="D171" s="617"/>
      <c r="E171" s="466"/>
      <c r="F171" s="617"/>
      <c r="G171" s="617"/>
      <c r="H171" s="569">
        <v>122660</v>
      </c>
      <c r="I171" s="477"/>
      <c r="J171" s="617"/>
      <c r="K171" s="1693">
        <f>SUM(C171:J171)</f>
        <v>122660</v>
      </c>
      <c r="L171" s="569">
        <v>2000</v>
      </c>
    </row>
    <row r="172" spans="1:14" ht="12.75" customHeight="1" thickBot="1" x14ac:dyDescent="0.25">
      <c r="A172" s="1690" t="s">
        <v>659</v>
      </c>
      <c r="B172" s="1691" t="s">
        <v>513</v>
      </c>
      <c r="C172" s="617"/>
      <c r="D172" s="617"/>
      <c r="E172" s="1699">
        <f>SUM(E168,E169,E170,E171)</f>
        <v>0</v>
      </c>
      <c r="F172" s="617"/>
      <c r="G172" s="617"/>
      <c r="H172" s="1699">
        <f>SUM(H168,H169,H170,H171)</f>
        <v>8198428</v>
      </c>
      <c r="I172" s="639"/>
      <c r="J172" s="617"/>
      <c r="K172" s="1699">
        <f>SUM(K168,K169,K170,K171)</f>
        <v>8198428</v>
      </c>
      <c r="L172" s="1699">
        <f>SUM(L168,L169,L170,L171)</f>
        <v>1403315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8198428</v>
      </c>
      <c r="I174" s="639"/>
      <c r="J174" s="617"/>
      <c r="K174" s="1699">
        <f>SUM(K160,K172,K173)</f>
        <v>8198428</v>
      </c>
      <c r="L174" s="1699">
        <f>SUM(L160,L172,L173)</f>
        <v>1403315</v>
      </c>
    </row>
    <row r="175" spans="1:14" ht="13.5" thickTop="1" x14ac:dyDescent="0.2">
      <c r="A175" s="2176" t="s">
        <v>1053</v>
      </c>
      <c r="B175" s="2177"/>
      <c r="C175" s="617"/>
      <c r="D175" s="617"/>
      <c r="E175" s="617"/>
      <c r="F175" s="617"/>
      <c r="G175" s="617"/>
      <c r="H175" s="619"/>
      <c r="I175" s="617"/>
      <c r="J175" s="617"/>
      <c r="K175" s="1706">
        <f>'Revenues 9-14'!E275-'Expenditures 15-22'!K174</f>
        <v>-6902403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899999999999999"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286053</v>
      </c>
      <c r="D182" s="466">
        <v>131</v>
      </c>
      <c r="E182" s="466">
        <v>68591</v>
      </c>
      <c r="F182" s="466">
        <v>64779</v>
      </c>
      <c r="G182" s="466"/>
      <c r="H182" s="466"/>
      <c r="I182" s="467">
        <v>217337</v>
      </c>
      <c r="J182" s="467"/>
      <c r="K182" s="1693">
        <f>SUM(C182:J182)</f>
        <v>636891</v>
      </c>
      <c r="L182" s="466">
        <v>679733</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286053</v>
      </c>
      <c r="D184" s="1699">
        <f t="shared" ref="D184:J184" si="17">SUM(D180,D182,D183)</f>
        <v>131</v>
      </c>
      <c r="E184" s="1699">
        <f t="shared" si="17"/>
        <v>68591</v>
      </c>
      <c r="F184" s="1699">
        <f t="shared" si="17"/>
        <v>64779</v>
      </c>
      <c r="G184" s="1699">
        <f t="shared" si="17"/>
        <v>0</v>
      </c>
      <c r="H184" s="1699">
        <f t="shared" si="17"/>
        <v>0</v>
      </c>
      <c r="I184" s="1699">
        <f t="shared" si="17"/>
        <v>217337</v>
      </c>
      <c r="J184" s="1699">
        <f t="shared" si="17"/>
        <v>0</v>
      </c>
      <c r="K184" s="1699">
        <f>SUM(K180,K182,K183)</f>
        <v>636891</v>
      </c>
      <c r="L184" s="1699">
        <f>SUM(L180, L182:L183)</f>
        <v>679733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286053</v>
      </c>
      <c r="D210" s="1692">
        <f>SUM(D184,D185)</f>
        <v>131</v>
      </c>
      <c r="E210" s="1692">
        <f>SUM(E184,E185,E196)</f>
        <v>68591</v>
      </c>
      <c r="F210" s="1692">
        <f>SUM(F184,F185)</f>
        <v>64779</v>
      </c>
      <c r="G210" s="1692">
        <f>SUM(G184,G185)</f>
        <v>0</v>
      </c>
      <c r="H210" s="1692">
        <f>SUM(H184,H185,H196,H208,H209)</f>
        <v>0</v>
      </c>
      <c r="I210" s="1692">
        <f>SUM(I184,I185)</f>
        <v>217337</v>
      </c>
      <c r="J210" s="1692">
        <f>SUM(J184,J185)</f>
        <v>0</v>
      </c>
      <c r="K210" s="1693">
        <f>SUM(K184,K185,K196,K208,K209)</f>
        <v>636891</v>
      </c>
      <c r="L210" s="1692">
        <f>SUM(L184,L185,L196,L208,L209)</f>
        <v>679733</v>
      </c>
    </row>
    <row r="211" spans="1:14" ht="13.5" thickTop="1" x14ac:dyDescent="0.2">
      <c r="A211" s="2176" t="s">
        <v>1053</v>
      </c>
      <c r="B211" s="2177"/>
      <c r="C211" s="619"/>
      <c r="D211" s="619"/>
      <c r="E211" s="619"/>
      <c r="F211" s="619"/>
      <c r="G211" s="619"/>
      <c r="H211" s="619"/>
      <c r="I211" s="617"/>
      <c r="J211" s="617"/>
      <c r="K211" s="1706">
        <f>'Revenues 9-14'!F275-'Expenditures 15-22'!K210</f>
        <v>47202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899999999999999"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46101</v>
      </c>
      <c r="E215" s="617"/>
      <c r="F215" s="617"/>
      <c r="G215" s="617"/>
      <c r="H215" s="617"/>
      <c r="I215" s="617"/>
      <c r="J215" s="617"/>
      <c r="K215" s="1693">
        <f>D215</f>
        <v>46101</v>
      </c>
      <c r="L215" s="466">
        <v>47660</v>
      </c>
    </row>
    <row r="216" spans="1:14" x14ac:dyDescent="0.2">
      <c r="A216" s="1526" t="s">
        <v>165</v>
      </c>
      <c r="B216" s="615" t="s">
        <v>1024</v>
      </c>
      <c r="C216" s="617"/>
      <c r="D216" s="467">
        <v>9241</v>
      </c>
      <c r="E216" s="617"/>
      <c r="F216" s="617"/>
      <c r="G216" s="617"/>
      <c r="H216" s="617"/>
      <c r="I216" s="617"/>
      <c r="J216" s="617"/>
      <c r="K216" s="1693">
        <f t="shared" ref="K216:K228" si="19">D216</f>
        <v>9241</v>
      </c>
      <c r="L216" s="466">
        <v>9445</v>
      </c>
    </row>
    <row r="217" spans="1:14" x14ac:dyDescent="0.2">
      <c r="A217" s="1526" t="s">
        <v>166</v>
      </c>
      <c r="B217" s="615">
        <v>1200</v>
      </c>
      <c r="C217" s="617"/>
      <c r="D217" s="466">
        <v>6508</v>
      </c>
      <c r="E217" s="617"/>
      <c r="F217" s="617"/>
      <c r="G217" s="617"/>
      <c r="H217" s="617"/>
      <c r="I217" s="617"/>
      <c r="J217" s="617"/>
      <c r="K217" s="1693">
        <f t="shared" si="19"/>
        <v>6508</v>
      </c>
      <c r="L217" s="466">
        <v>4800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5045</v>
      </c>
      <c r="E219" s="617"/>
      <c r="F219" s="617"/>
      <c r="G219" s="617"/>
      <c r="H219" s="617"/>
      <c r="I219" s="617"/>
      <c r="J219" s="617"/>
      <c r="K219" s="1693">
        <f t="shared" si="19"/>
        <v>5045</v>
      </c>
      <c r="L219" s="466">
        <v>5105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5497</v>
      </c>
      <c r="E223" s="617"/>
      <c r="F223" s="617"/>
      <c r="G223" s="617"/>
      <c r="H223" s="617"/>
      <c r="I223" s="617"/>
      <c r="J223" s="617"/>
      <c r="K223" s="1693">
        <f t="shared" si="19"/>
        <v>5497</v>
      </c>
      <c r="L223" s="466">
        <v>6310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v>519</v>
      </c>
      <c r="E228" s="617"/>
      <c r="F228" s="617"/>
      <c r="G228" s="617"/>
      <c r="H228" s="617"/>
      <c r="I228" s="617"/>
      <c r="J228" s="617"/>
      <c r="K228" s="1693">
        <f t="shared" si="19"/>
        <v>519</v>
      </c>
      <c r="L228" s="466">
        <v>1000</v>
      </c>
    </row>
    <row r="229" spans="1:12" ht="12.75" customHeight="1" thickBot="1" x14ac:dyDescent="0.25">
      <c r="A229" s="1690" t="s">
        <v>739</v>
      </c>
      <c r="B229" s="1697" t="s">
        <v>591</v>
      </c>
      <c r="C229" s="617"/>
      <c r="D229" s="1692">
        <f>SUM(D215:D228)</f>
        <v>72911</v>
      </c>
      <c r="E229" s="617"/>
      <c r="F229" s="617"/>
      <c r="G229" s="617"/>
      <c r="H229" s="617"/>
      <c r="I229" s="617"/>
      <c r="J229" s="617"/>
      <c r="K229" s="1692">
        <f>SUM(K215:K228)</f>
        <v>72911</v>
      </c>
      <c r="L229" s="1692">
        <f>SUM(L215:L228)</f>
        <v>74320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895</v>
      </c>
      <c r="E233" s="617"/>
      <c r="F233" s="617"/>
      <c r="G233" s="617"/>
      <c r="H233" s="617"/>
      <c r="I233" s="617"/>
      <c r="J233" s="617"/>
      <c r="K233" s="1693">
        <f t="shared" si="20"/>
        <v>895</v>
      </c>
      <c r="L233" s="466">
        <v>960</v>
      </c>
    </row>
    <row r="234" spans="1:12" x14ac:dyDescent="0.2">
      <c r="A234" s="1526" t="s">
        <v>207</v>
      </c>
      <c r="B234" s="615">
        <v>2130</v>
      </c>
      <c r="C234" s="617"/>
      <c r="D234" s="466">
        <v>4684</v>
      </c>
      <c r="E234" s="617"/>
      <c r="F234" s="617"/>
      <c r="G234" s="617"/>
      <c r="H234" s="617"/>
      <c r="I234" s="617"/>
      <c r="J234" s="617"/>
      <c r="K234" s="1693">
        <f t="shared" si="20"/>
        <v>4684</v>
      </c>
      <c r="L234" s="466">
        <v>4730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9200</v>
      </c>
      <c r="E237" s="617"/>
      <c r="F237" s="617"/>
      <c r="G237" s="617"/>
      <c r="H237" s="617"/>
      <c r="I237" s="617"/>
      <c r="J237" s="617"/>
      <c r="K237" s="1693">
        <f t="shared" si="20"/>
        <v>9200</v>
      </c>
      <c r="L237" s="466">
        <v>9190</v>
      </c>
    </row>
    <row r="238" spans="1:12" ht="12.75" customHeight="1" thickBot="1" x14ac:dyDescent="0.25">
      <c r="A238" s="1690" t="s">
        <v>581</v>
      </c>
      <c r="B238" s="1697" t="s">
        <v>740</v>
      </c>
      <c r="C238" s="617"/>
      <c r="D238" s="1692">
        <f>SUM(D232:D237)</f>
        <v>14779</v>
      </c>
      <c r="E238" s="617"/>
      <c r="F238" s="617"/>
      <c r="G238" s="617"/>
      <c r="H238" s="617"/>
      <c r="I238" s="617"/>
      <c r="J238" s="617"/>
      <c r="K238" s="1692">
        <f>SUM(K232:K237)</f>
        <v>14779</v>
      </c>
      <c r="L238" s="1692">
        <f>SUM(L232:L237)</f>
        <v>14880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4339</v>
      </c>
      <c r="E241" s="617"/>
      <c r="F241" s="617"/>
      <c r="G241" s="617"/>
      <c r="H241" s="617"/>
      <c r="I241" s="617"/>
      <c r="J241" s="617"/>
      <c r="K241" s="1694">
        <f>D241</f>
        <v>4339</v>
      </c>
      <c r="L241" s="466">
        <v>4637</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4339</v>
      </c>
      <c r="E243" s="617"/>
      <c r="F243" s="617"/>
      <c r="G243" s="617"/>
      <c r="H243" s="617"/>
      <c r="I243" s="617"/>
      <c r="J243" s="617"/>
      <c r="K243" s="1692">
        <f>SUM(K240:K242)</f>
        <v>4339</v>
      </c>
      <c r="L243" s="1692">
        <f>SUM(L240:L242)</f>
        <v>4637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374</v>
      </c>
      <c r="E245" s="617"/>
      <c r="F245" s="617"/>
      <c r="G245" s="617"/>
      <c r="H245" s="617"/>
      <c r="I245" s="617"/>
      <c r="J245" s="617"/>
      <c r="K245" s="1694">
        <f>D245</f>
        <v>374</v>
      </c>
      <c r="L245" s="481">
        <v>520</v>
      </c>
    </row>
    <row r="246" spans="1:12" x14ac:dyDescent="0.2">
      <c r="A246" s="1526" t="s">
        <v>872</v>
      </c>
      <c r="B246" s="615">
        <v>2320</v>
      </c>
      <c r="C246" s="617"/>
      <c r="D246" s="466">
        <v>2080</v>
      </c>
      <c r="E246" s="617"/>
      <c r="F246" s="617"/>
      <c r="G246" s="617"/>
      <c r="H246" s="617"/>
      <c r="I246" s="617"/>
      <c r="J246" s="617"/>
      <c r="K246" s="1694">
        <f t="shared" ref="K246:K256" si="21">D246</f>
        <v>2080</v>
      </c>
      <c r="L246" s="466">
        <v>2060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2454</v>
      </c>
      <c r="E257" s="617"/>
      <c r="F257" s="617"/>
      <c r="G257" s="617"/>
      <c r="H257" s="617"/>
      <c r="I257" s="617"/>
      <c r="J257" s="617"/>
      <c r="K257" s="1692">
        <f>SUM(K245:K256)</f>
        <v>2454</v>
      </c>
      <c r="L257" s="1692">
        <f>SUM(L245:L256)</f>
        <v>2580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29444</v>
      </c>
      <c r="E259" s="617"/>
      <c r="F259" s="617"/>
      <c r="G259" s="617"/>
      <c r="H259" s="617"/>
      <c r="I259" s="617"/>
      <c r="J259" s="617"/>
      <c r="K259" s="1694">
        <f>D259</f>
        <v>29444</v>
      </c>
      <c r="L259" s="481">
        <v>30570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29444</v>
      </c>
      <c r="E261" s="617"/>
      <c r="F261" s="617"/>
      <c r="G261" s="617"/>
      <c r="H261" s="617"/>
      <c r="I261" s="617"/>
      <c r="J261" s="617"/>
      <c r="K261" s="1692">
        <f>SUM(K259:K260)</f>
        <v>29444</v>
      </c>
      <c r="L261" s="1692">
        <f>SUM(L259:L260)</f>
        <v>30570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11036</v>
      </c>
      <c r="E264" s="617"/>
      <c r="F264" s="617"/>
      <c r="G264" s="617"/>
      <c r="H264" s="617"/>
      <c r="I264" s="617"/>
      <c r="J264" s="617"/>
      <c r="K264" s="1694">
        <f t="shared" ref="K264:K269" si="22">D264</f>
        <v>11036</v>
      </c>
      <c r="L264" s="466">
        <v>11620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47749</v>
      </c>
      <c r="E266" s="617"/>
      <c r="F266" s="617"/>
      <c r="G266" s="617"/>
      <c r="H266" s="617"/>
      <c r="I266" s="617"/>
      <c r="J266" s="617"/>
      <c r="K266" s="1694">
        <f t="shared" si="22"/>
        <v>47749</v>
      </c>
      <c r="L266" s="466">
        <v>52240</v>
      </c>
    </row>
    <row r="267" spans="1:14" x14ac:dyDescent="0.2">
      <c r="A267" s="1526" t="s">
        <v>1010</v>
      </c>
      <c r="B267" s="615">
        <v>2550</v>
      </c>
      <c r="C267" s="617"/>
      <c r="D267" s="466">
        <v>28564</v>
      </c>
      <c r="E267" s="617"/>
      <c r="F267" s="617"/>
      <c r="G267" s="617"/>
      <c r="H267" s="617"/>
      <c r="I267" s="617"/>
      <c r="J267" s="617"/>
      <c r="K267" s="1694">
        <f t="shared" si="22"/>
        <v>28564</v>
      </c>
      <c r="L267" s="466">
        <v>28950</v>
      </c>
    </row>
    <row r="268" spans="1:14" x14ac:dyDescent="0.2">
      <c r="A268" s="1526" t="s">
        <v>102</v>
      </c>
      <c r="B268" s="615">
        <v>2560</v>
      </c>
      <c r="C268" s="617"/>
      <c r="D268" s="466">
        <v>13344</v>
      </c>
      <c r="E268" s="617"/>
      <c r="F268" s="617"/>
      <c r="G268" s="617"/>
      <c r="H268" s="617"/>
      <c r="I268" s="617"/>
      <c r="J268" s="617"/>
      <c r="K268" s="1694">
        <f t="shared" si="22"/>
        <v>13344</v>
      </c>
      <c r="L268" s="466">
        <v>10725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100693</v>
      </c>
      <c r="E270" s="617"/>
      <c r="F270" s="617"/>
      <c r="G270" s="617"/>
      <c r="H270" s="617"/>
      <c r="I270" s="617"/>
      <c r="J270" s="617"/>
      <c r="K270" s="1692">
        <f>SUM(K263:K269)</f>
        <v>100693</v>
      </c>
      <c r="L270" s="1692">
        <f>SUM(L263:L269)</f>
        <v>103535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151709</v>
      </c>
      <c r="E279" s="617"/>
      <c r="F279" s="617"/>
      <c r="G279" s="617"/>
      <c r="H279" s="617"/>
      <c r="I279" s="617"/>
      <c r="J279" s="617"/>
      <c r="K279" s="1699">
        <f>SUM(K238,K243,K257,K261,K270,K277,K278)</f>
        <v>151709</v>
      </c>
      <c r="L279" s="1699">
        <f>SUM(L238,L243,L257,L261,L270,L277,L278)</f>
        <v>156202</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v>35839</v>
      </c>
      <c r="E283" s="617"/>
      <c r="F283" s="617"/>
      <c r="G283" s="617"/>
      <c r="H283" s="617"/>
      <c r="I283" s="617"/>
      <c r="J283" s="617"/>
      <c r="K283" s="1693">
        <f>D283</f>
        <v>35839</v>
      </c>
      <c r="L283" s="466">
        <v>37480</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35839</v>
      </c>
      <c r="E285" s="617"/>
      <c r="F285" s="617"/>
      <c r="G285" s="617"/>
      <c r="H285" s="617"/>
      <c r="I285" s="617"/>
      <c r="J285" s="617"/>
      <c r="K285" s="1692">
        <f>SUM(K282:K284)</f>
        <v>35839</v>
      </c>
      <c r="L285" s="1692">
        <f>SUM(L282:L284)</f>
        <v>37480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92">
        <f>SUM(D229,D279,D280,D285)</f>
        <v>260459</v>
      </c>
      <c r="E295" s="617"/>
      <c r="F295" s="617"/>
      <c r="G295" s="617"/>
      <c r="H295" s="1692">
        <f>H293</f>
        <v>0</v>
      </c>
      <c r="I295" s="617"/>
      <c r="J295" s="617"/>
      <c r="K295" s="1692">
        <f>SUM(K229,K279,K280,K285,K293,K294)</f>
        <v>260459</v>
      </c>
      <c r="L295" s="1692">
        <f>SUM(L229,L279,L280,L285,L293,L294)</f>
        <v>268002</v>
      </c>
    </row>
    <row r="296" spans="1:14" ht="13.5" thickTop="1" x14ac:dyDescent="0.2">
      <c r="A296" s="2176" t="s">
        <v>1053</v>
      </c>
      <c r="B296" s="2177"/>
      <c r="C296" s="617"/>
      <c r="D296" s="619"/>
      <c r="E296" s="617"/>
      <c r="F296" s="617"/>
      <c r="G296" s="617"/>
      <c r="H296" s="688"/>
      <c r="I296" s="617"/>
      <c r="J296" s="617"/>
      <c r="K296" s="1706">
        <f>'Revenues 9-14'!G275-'Expenditures 15-22'!K295</f>
        <v>64203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899999999999999"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36565</v>
      </c>
      <c r="F301" s="466">
        <v>1680</v>
      </c>
      <c r="G301" s="466">
        <v>2281310</v>
      </c>
      <c r="H301" s="466"/>
      <c r="I301" s="467"/>
      <c r="J301" s="467"/>
      <c r="K301" s="1693">
        <f>SUM(C301:J301)</f>
        <v>2319555</v>
      </c>
      <c r="L301" s="467">
        <v>1935000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36565</v>
      </c>
      <c r="F303" s="1699">
        <f t="shared" si="23"/>
        <v>1680</v>
      </c>
      <c r="G303" s="1699">
        <f t="shared" si="23"/>
        <v>2281310</v>
      </c>
      <c r="H303" s="1699">
        <f t="shared" si="23"/>
        <v>0</v>
      </c>
      <c r="I303" s="1699">
        <f t="shared" si="23"/>
        <v>0</v>
      </c>
      <c r="J303" s="1699">
        <f t="shared" si="23"/>
        <v>0</v>
      </c>
      <c r="K303" s="1699">
        <f t="shared" si="23"/>
        <v>2319555</v>
      </c>
      <c r="L303" s="1699">
        <f t="shared" si="23"/>
        <v>1935000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92">
        <f>SUM(C303)</f>
        <v>0</v>
      </c>
      <c r="D312" s="1692">
        <f>SUM(D303)</f>
        <v>0</v>
      </c>
      <c r="E312" s="1692">
        <f>SUM(E303,E310)</f>
        <v>36565</v>
      </c>
      <c r="F312" s="1692">
        <f>SUM(F303)</f>
        <v>1680</v>
      </c>
      <c r="G312" s="1692">
        <f>SUM(G303)</f>
        <v>2281310</v>
      </c>
      <c r="H312" s="1692">
        <f>SUM(H303,H310)</f>
        <v>0</v>
      </c>
      <c r="I312" s="1692">
        <f>SUM(I303)</f>
        <v>0</v>
      </c>
      <c r="J312" s="1692">
        <f>SUM(J303)</f>
        <v>0</v>
      </c>
      <c r="K312" s="1692">
        <f>SUM(K303,K310,K311)</f>
        <v>2319555</v>
      </c>
      <c r="L312" s="1692">
        <f>SUM(L303,L310,L311)</f>
        <v>1935000</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-2230134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899999999999999"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899999999999999"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2000</v>
      </c>
      <c r="M320" s="666"/>
      <c r="N320" s="666"/>
    </row>
    <row r="321" spans="1:14" s="675" customFormat="1" x14ac:dyDescent="0.2">
      <c r="A321" s="1541" t="s">
        <v>318</v>
      </c>
      <c r="B321" s="698" t="s">
        <v>301</v>
      </c>
      <c r="C321" s="467"/>
      <c r="D321" s="467"/>
      <c r="E321" s="467">
        <v>1050</v>
      </c>
      <c r="F321" s="467"/>
      <c r="G321" s="467"/>
      <c r="H321" s="467"/>
      <c r="I321" s="467"/>
      <c r="J321" s="467"/>
      <c r="K321" s="1693">
        <f t="shared" si="24"/>
        <v>1050</v>
      </c>
      <c r="L321" s="467">
        <v>1500</v>
      </c>
      <c r="M321" s="666"/>
      <c r="N321" s="666"/>
    </row>
    <row r="322" spans="1:14" s="675" customFormat="1" x14ac:dyDescent="0.2">
      <c r="A322" s="1541" t="s">
        <v>256</v>
      </c>
      <c r="B322" s="698" t="s">
        <v>302</v>
      </c>
      <c r="C322" s="467"/>
      <c r="D322" s="467"/>
      <c r="E322" s="467">
        <v>162258</v>
      </c>
      <c r="F322" s="467"/>
      <c r="G322" s="467"/>
      <c r="H322" s="467"/>
      <c r="I322" s="467"/>
      <c r="J322" s="467"/>
      <c r="K322" s="1693">
        <f t="shared" si="24"/>
        <v>162258</v>
      </c>
      <c r="L322" s="467">
        <v>165000</v>
      </c>
      <c r="M322" s="666"/>
      <c r="N322" s="666"/>
    </row>
    <row r="323" spans="1:14" s="675" customFormat="1" x14ac:dyDescent="0.2">
      <c r="A323" s="1541" t="s">
        <v>726</v>
      </c>
      <c r="B323" s="698" t="s">
        <v>303</v>
      </c>
      <c r="C323" s="467">
        <v>33711</v>
      </c>
      <c r="D323" s="467"/>
      <c r="E323" s="467">
        <v>6875</v>
      </c>
      <c r="F323" s="467"/>
      <c r="G323" s="467"/>
      <c r="H323" s="467"/>
      <c r="I323" s="467"/>
      <c r="J323" s="467"/>
      <c r="K323" s="1693">
        <f t="shared" si="24"/>
        <v>40586</v>
      </c>
      <c r="L323" s="467">
        <v>37707</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10813</v>
      </c>
      <c r="F325" s="467">
        <v>2710</v>
      </c>
      <c r="G325" s="467"/>
      <c r="H325" s="467"/>
      <c r="I325" s="467"/>
      <c r="J325" s="467"/>
      <c r="K325" s="1693">
        <f t="shared" si="24"/>
        <v>13523</v>
      </c>
      <c r="L325" s="467">
        <v>26000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2236</v>
      </c>
      <c r="F327" s="467"/>
      <c r="G327" s="467"/>
      <c r="H327" s="467"/>
      <c r="I327" s="467"/>
      <c r="J327" s="467"/>
      <c r="K327" s="1693">
        <f t="shared" si="24"/>
        <v>2236</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33711</v>
      </c>
      <c r="D330" s="1692">
        <f t="shared" ref="D330:J330" si="25">SUM(D319:D329)</f>
        <v>0</v>
      </c>
      <c r="E330" s="1692">
        <f t="shared" si="25"/>
        <v>183232</v>
      </c>
      <c r="F330" s="1692">
        <f t="shared" si="25"/>
        <v>2710</v>
      </c>
      <c r="G330" s="1692">
        <f t="shared" si="25"/>
        <v>0</v>
      </c>
      <c r="H330" s="1692">
        <f t="shared" si="25"/>
        <v>0</v>
      </c>
      <c r="I330" s="1692">
        <f t="shared" si="25"/>
        <v>0</v>
      </c>
      <c r="J330" s="1692">
        <f t="shared" si="25"/>
        <v>0</v>
      </c>
      <c r="K330" s="1692">
        <f>SUM(K319:K329)</f>
        <v>219653</v>
      </c>
      <c r="L330" s="1692">
        <f>SUM(L319:L329)</f>
        <v>232207</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33711</v>
      </c>
      <c r="D342" s="1692">
        <f>SUM(D330)</f>
        <v>0</v>
      </c>
      <c r="E342" s="1692">
        <f>SUM(E330)</f>
        <v>183232</v>
      </c>
      <c r="F342" s="1692">
        <f>SUM(F330)</f>
        <v>2710</v>
      </c>
      <c r="G342" s="1692">
        <f>SUM(G330)</f>
        <v>0</v>
      </c>
      <c r="H342" s="1692">
        <f>SUM(H330,H334,H340)</f>
        <v>0</v>
      </c>
      <c r="I342" s="1692">
        <f>SUM(I330)</f>
        <v>0</v>
      </c>
      <c r="J342" s="1692">
        <f>SUM(J330)</f>
        <v>0</v>
      </c>
      <c r="K342" s="1692">
        <f>SUM(K330,K334,K340)</f>
        <v>219653</v>
      </c>
      <c r="L342" s="1699">
        <f>SUM(L330,L340,L341)</f>
        <v>232207</v>
      </c>
    </row>
    <row r="343" spans="1:14" ht="12.75" customHeight="1" thickTop="1" x14ac:dyDescent="0.2">
      <c r="A343" s="2189" t="s">
        <v>1053</v>
      </c>
      <c r="B343" s="2190"/>
      <c r="C343" s="617"/>
      <c r="D343" s="617"/>
      <c r="E343" s="617"/>
      <c r="F343" s="617"/>
      <c r="G343" s="617"/>
      <c r="H343" s="617"/>
      <c r="I343" s="617"/>
      <c r="J343" s="617"/>
      <c r="K343" s="1706">
        <f>'Revenues 9-14'!J275-'Expenditures 15-22'!K342</f>
        <v>62107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899999999999999"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29084</v>
      </c>
      <c r="F348" s="466">
        <v>687</v>
      </c>
      <c r="G348" s="466"/>
      <c r="H348" s="466"/>
      <c r="I348" s="467"/>
      <c r="J348" s="467"/>
      <c r="K348" s="1693">
        <f>SUM(C348:J348)</f>
        <v>29771</v>
      </c>
      <c r="L348" s="466">
        <v>27000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29084</v>
      </c>
      <c r="F350" s="1692">
        <f t="shared" si="26"/>
        <v>687</v>
      </c>
      <c r="G350" s="1692">
        <f t="shared" si="26"/>
        <v>0</v>
      </c>
      <c r="H350" s="1692">
        <f t="shared" si="26"/>
        <v>0</v>
      </c>
      <c r="I350" s="1692">
        <f t="shared" si="26"/>
        <v>0</v>
      </c>
      <c r="J350" s="1692">
        <f t="shared" si="26"/>
        <v>0</v>
      </c>
      <c r="K350" s="1692">
        <f t="shared" si="26"/>
        <v>29771</v>
      </c>
      <c r="L350" s="1692">
        <f t="shared" si="26"/>
        <v>27000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29084</v>
      </c>
      <c r="F352" s="1692">
        <f t="shared" si="27"/>
        <v>687</v>
      </c>
      <c r="G352" s="1692">
        <f t="shared" si="27"/>
        <v>0</v>
      </c>
      <c r="H352" s="1692">
        <f t="shared" si="27"/>
        <v>0</v>
      </c>
      <c r="I352" s="1692">
        <f t="shared" si="27"/>
        <v>0</v>
      </c>
      <c r="J352" s="1692">
        <f t="shared" si="27"/>
        <v>0</v>
      </c>
      <c r="K352" s="1692">
        <f t="shared" si="27"/>
        <v>29771</v>
      </c>
      <c r="L352" s="1692">
        <f t="shared" si="27"/>
        <v>27000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29084</v>
      </c>
      <c r="F367" s="1692">
        <f t="shared" si="28"/>
        <v>687</v>
      </c>
      <c r="G367" s="1692">
        <f t="shared" si="28"/>
        <v>0</v>
      </c>
      <c r="H367" s="1692">
        <f t="shared" si="28"/>
        <v>0</v>
      </c>
      <c r="I367" s="1692">
        <f t="shared" si="28"/>
        <v>0</v>
      </c>
      <c r="J367" s="1692">
        <f t="shared" si="28"/>
        <v>0</v>
      </c>
      <c r="K367" s="1692">
        <f t="shared" si="28"/>
        <v>29771</v>
      </c>
      <c r="L367" s="1692">
        <f t="shared" si="28"/>
        <v>27000</v>
      </c>
    </row>
    <row r="368" spans="1:14" ht="13.5" thickTop="1" x14ac:dyDescent="0.2">
      <c r="A368" s="2176" t="s">
        <v>1053</v>
      </c>
      <c r="B368" s="2177"/>
      <c r="C368" s="655"/>
      <c r="D368" s="655"/>
      <c r="E368" s="627"/>
      <c r="F368" s="627"/>
      <c r="G368" s="627"/>
      <c r="H368" s="627"/>
      <c r="I368" s="627"/>
      <c r="J368" s="624"/>
      <c r="K368" s="1693">
        <f>'Revenues 9-14'!K275-'Expenditures 15-22'!K367</f>
        <v>35673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accompanying notes are an integral part of these fiancial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14F8B6-F742-48D8-9F13-1076A7DC5E6F}">
  <ds:schemaRefs>
    <ds:schemaRef ds:uri="d21dc803-237d-4c68-8692-8d731fd29118"/>
    <ds:schemaRef ds:uri="http://purl.org/dc/elements/1.1/"/>
    <ds:schemaRef ds:uri="4d435f69-8686-490b-bd6d-b153bf22ab50"/>
    <ds:schemaRef ds:uri="http://www.w3.org/XML/1998/namespace"/>
    <ds:schemaRef ds:uri="http://schemas.microsoft.com/office/infopath/2007/PartnerControls"/>
    <ds:schemaRef ds:uri="6ce3111e-7420-4802-b50a-75d4e9a0b980"/>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2018-10-12T13:00:04Z</cp:lastPrinted>
  <dcterms:created xsi:type="dcterms:W3CDTF">2003-10-29T19:06:34Z</dcterms:created>
  <dcterms:modified xsi:type="dcterms:W3CDTF">2018-10-12T16:24:27Z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