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1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3)" sheetId="184"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CHNME1">#REF!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M18" i="3" l="1"/>
  <c r="M17" i="3"/>
  <c r="E79" i="29" l="1"/>
  <c r="C39" i="3"/>
  <c r="B4" i="184" l="1"/>
  <c r="C9" i="4" l="1"/>
  <c r="I4" i="3" l="1"/>
  <c r="D8" i="11" l="1"/>
  <c r="K65" i="5"/>
  <c r="J65" i="5"/>
  <c r="I65" i="5"/>
  <c r="H65" i="5"/>
  <c r="D65" i="5"/>
  <c r="D5" i="3"/>
  <c r="C4" i="3"/>
  <c r="E320" i="29"/>
  <c r="D124" i="29"/>
  <c r="D280" i="29"/>
  <c r="D240" i="29"/>
  <c r="D223" i="29"/>
  <c r="D222" i="29"/>
  <c r="D246" i="29"/>
  <c r="E14" i="29" l="1"/>
  <c r="D14" i="29"/>
  <c r="D8" i="29"/>
  <c r="D7" i="29"/>
  <c r="D5" i="29"/>
  <c r="F75" i="29"/>
  <c r="D37" i="29"/>
  <c r="D15" i="29"/>
  <c r="D13" i="29"/>
  <c r="D10" i="29"/>
  <c r="C13" i="29"/>
  <c r="D55" i="29"/>
  <c r="F49" i="29"/>
  <c r="D44" i="29"/>
  <c r="E36" i="29"/>
  <c r="G10" i="29"/>
  <c r="F5" i="29"/>
  <c r="E5" i="29"/>
  <c r="D60" i="29"/>
  <c r="D50" i="29"/>
  <c r="D45" i="29"/>
  <c r="C8" i="29"/>
  <c r="C44" i="29"/>
  <c r="C5" i="29"/>
  <c r="C75" i="29"/>
  <c r="C84" i="5" l="1"/>
  <c r="C81" i="5"/>
  <c r="C77" i="5"/>
  <c r="C73" i="5"/>
  <c r="C69" i="5"/>
  <c r="C107" i="5"/>
  <c r="C30" i="3" l="1"/>
  <c r="C5" i="3"/>
  <c r="D325" i="29" l="1"/>
  <c r="E349" i="29"/>
  <c r="E182"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2" i="179"/>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L22" i="37"/>
  <c r="B5847" i="106"/>
  <c r="D5847" i="106" s="1"/>
  <c r="B5752" i="106"/>
  <c r="D5752" i="106" s="1"/>
  <c r="B5599" i="106"/>
  <c r="D5599" i="106" s="1"/>
  <c r="G15" i="145" l="1"/>
  <c r="F42" i="34"/>
  <c r="F131" i="34"/>
  <c r="H342" i="29"/>
  <c r="B1223" i="106"/>
  <c r="D1223" i="106" s="1"/>
  <c r="F50" i="34"/>
  <c r="D7" i="7"/>
  <c r="B1763" i="106" s="1"/>
  <c r="D1763" i="106" s="1"/>
  <c r="I342" i="29"/>
  <c r="B7222" i="106" s="1"/>
  <c r="D7222" i="106" s="1"/>
  <c r="F46" i="34"/>
  <c r="F127" i="34"/>
  <c r="F44" i="34"/>
  <c r="F128" i="34"/>
  <c r="D15" i="7"/>
  <c r="B1772" i="106" s="1"/>
  <c r="D1772" i="106" s="1"/>
  <c r="B4413" i="106"/>
  <c r="D4413" i="106" s="1"/>
  <c r="F45" i="34"/>
  <c r="D5" i="4"/>
  <c r="B3406" i="106" s="1"/>
  <c r="D3406" i="106" s="1"/>
  <c r="F41" i="34"/>
  <c r="F36" i="34"/>
  <c r="H28" i="118"/>
  <c r="D22" i="37"/>
  <c r="N22" i="3"/>
  <c r="B283" i="106" s="1"/>
  <c r="D283" i="106" s="1"/>
  <c r="F72" i="34"/>
  <c r="G14" i="4"/>
  <c r="B2609" i="106" s="1"/>
  <c r="D2609" i="106" s="1"/>
  <c r="F71" i="34"/>
  <c r="F38" i="34"/>
  <c r="B2724" i="106"/>
  <c r="D2724" i="106" s="1"/>
  <c r="B6995" i="106"/>
  <c r="D6995" i="106" s="1"/>
  <c r="G30" i="108"/>
  <c r="F28" i="108"/>
  <c r="F41" i="108" s="1"/>
  <c r="G43" i="108" s="1"/>
  <c r="E28" i="108"/>
  <c r="E30" i="108"/>
  <c r="G5" i="4"/>
  <c r="B3409" i="106" s="1"/>
  <c r="D3409" i="106" s="1"/>
  <c r="F34" i="34"/>
  <c r="J352" i="29"/>
  <c r="J367" i="29" s="1"/>
  <c r="B7245" i="106" s="1"/>
  <c r="D24" i="37"/>
  <c r="B4270" i="106" s="1"/>
  <c r="D4270" i="106" s="1"/>
  <c r="D54" i="36"/>
  <c r="B1746" i="106"/>
  <c r="D1746" i="106" s="1"/>
  <c r="F130" i="34"/>
  <c r="L5" i="11"/>
  <c r="B2056" i="106" s="1"/>
  <c r="D2056" i="106" s="1"/>
  <c r="B5096" i="106"/>
  <c r="D5096" i="106" s="1"/>
  <c r="B7235" i="106"/>
  <c r="D7235" i="106" s="1"/>
  <c r="F111" i="34"/>
  <c r="F106" i="34"/>
  <c r="F136" i="34"/>
  <c r="B3647" i="106"/>
  <c r="D3647" i="106" s="1"/>
  <c r="B3619" i="106"/>
  <c r="D3619" i="106" s="1"/>
  <c r="K24" i="12"/>
  <c r="J210" i="29"/>
  <c r="B7072" i="106" s="1"/>
  <c r="D7072" i="106" s="1"/>
  <c r="J274" i="5"/>
  <c r="B7054" i="106" s="1"/>
  <c r="D7054" i="106" s="1"/>
  <c r="I24" i="12"/>
  <c r="I26" i="12" s="1"/>
  <c r="B7741" i="106" s="1"/>
  <c r="D7741" i="106" s="1"/>
  <c r="J22" i="37"/>
  <c r="D68" i="36"/>
  <c r="I210" i="29"/>
  <c r="H112" i="29"/>
  <c r="B7018" i="106" s="1"/>
  <c r="D7018" i="106" s="1"/>
  <c r="H365" i="29"/>
  <c r="B7242" i="106" s="1"/>
  <c r="D7242" i="106" s="1"/>
  <c r="F77" i="4"/>
  <c r="B3255" i="106" s="1"/>
  <c r="D3255" i="106" s="1"/>
  <c r="K41" i="3"/>
  <c r="D7245" i="106"/>
  <c r="F21" i="8"/>
  <c r="B1879" i="106" s="1"/>
  <c r="D1879" i="106" s="1"/>
  <c r="D11" i="7"/>
  <c r="B1768" i="106" s="1"/>
  <c r="D1768" i="106" s="1"/>
  <c r="D9" i="7"/>
  <c r="B1767" i="106" s="1"/>
  <c r="D1767" i="106" s="1"/>
  <c r="D109" i="5"/>
  <c r="D6103" i="106"/>
  <c r="L367" i="29"/>
  <c r="B1329" i="106"/>
  <c r="D1329" i="106" s="1"/>
  <c r="F61" i="34"/>
  <c r="H22" i="37"/>
  <c r="F172" i="5"/>
  <c r="B5644" i="106" s="1"/>
  <c r="D5644" i="106" s="1"/>
  <c r="C109" i="5"/>
  <c r="B5121" i="106" s="1"/>
  <c r="D5121" i="106" s="1"/>
  <c r="H173" i="5"/>
  <c r="G172" i="5"/>
  <c r="H109" i="5"/>
  <c r="J77" i="4"/>
  <c r="B6262" i="106" s="1"/>
  <c r="D6262" i="106" s="1"/>
  <c r="K76" i="4"/>
  <c r="B3586" i="106" s="1"/>
  <c r="D3586" i="106" s="1"/>
  <c r="L15" i="11"/>
  <c r="B3459" i="106" s="1"/>
  <c r="D3459" i="106" s="1"/>
  <c r="B1995" i="106"/>
  <c r="D1995" i="106" s="1"/>
  <c r="K285" i="29"/>
  <c r="B3724" i="106" s="1"/>
  <c r="D3724" i="106" s="1"/>
  <c r="K184" i="29"/>
  <c r="F13" i="4" s="1"/>
  <c r="B2596" i="106" s="1"/>
  <c r="D2596" i="106" s="1"/>
  <c r="G210" i="29"/>
  <c r="K173" i="5"/>
  <c r="K6" i="4" s="1"/>
  <c r="B3570" i="106" s="1"/>
  <c r="D3570" i="106" s="1"/>
  <c r="D12" i="7"/>
  <c r="B1769" i="106" s="1"/>
  <c r="D1769" i="106" s="1"/>
  <c r="D5" i="7"/>
  <c r="B1761" i="106" s="1"/>
  <c r="D1761" i="106" s="1"/>
  <c r="D13" i="7"/>
  <c r="B3726" i="106" s="1"/>
  <c r="D3726" i="106" s="1"/>
  <c r="D17" i="7"/>
  <c r="B4104" i="106" s="1"/>
  <c r="D4104" i="106" s="1"/>
  <c r="D4" i="7"/>
  <c r="B1760" i="106" s="1"/>
  <c r="D1760" i="106" s="1"/>
  <c r="B3621" i="106"/>
  <c r="D3621" i="106" s="1"/>
  <c r="C367" i="29"/>
  <c r="B3622" i="106" s="1"/>
  <c r="D3622" i="106" s="1"/>
  <c r="B3649" i="106"/>
  <c r="D3649" i="106" s="1"/>
  <c r="G367" i="29"/>
  <c r="B3650" i="106" s="1"/>
  <c r="D3650" i="106" s="1"/>
  <c r="B1410" i="106"/>
  <c r="D1410" i="106" s="1"/>
  <c r="C342" i="29"/>
  <c r="B7216" i="106" s="1"/>
  <c r="D7216" i="106" s="1"/>
  <c r="K350" i="29"/>
  <c r="E174" i="29"/>
  <c r="B1309" i="106" s="1"/>
  <c r="D1309" i="106" s="1"/>
  <c r="I173" i="5"/>
  <c r="B4216" i="106" s="1"/>
  <c r="D4216" i="106" s="1"/>
  <c r="G109" i="5"/>
  <c r="K274" i="5"/>
  <c r="K7" i="4" s="1"/>
  <c r="B3718" i="106" s="1"/>
  <c r="D3718" i="106" s="1"/>
  <c r="C172" i="5"/>
  <c r="B7041" i="106"/>
  <c r="D7041" i="106" s="1"/>
  <c r="E109" i="5"/>
  <c r="E4" i="4" s="1"/>
  <c r="B2630" i="106" s="1"/>
  <c r="D2630" i="106" s="1"/>
  <c r="H76" i="4"/>
  <c r="B3298" i="106" s="1"/>
  <c r="D3298" i="106" s="1"/>
  <c r="B6289" i="106"/>
  <c r="D6289" i="106" s="1"/>
  <c r="J41" i="3"/>
  <c r="B6216" i="106" s="1"/>
  <c r="D6216" i="106" s="1"/>
  <c r="H33" i="118"/>
  <c r="L342" i="29"/>
  <c r="L312" i="29"/>
  <c r="L13" i="11"/>
  <c r="B2060" i="106" s="1"/>
  <c r="D2060" i="106" s="1"/>
  <c r="F19" i="7"/>
  <c r="B1807" i="106" s="1"/>
  <c r="D1807" i="106" s="1"/>
  <c r="B4268" i="106"/>
  <c r="D4268" i="106" s="1"/>
  <c r="H29" i="118"/>
  <c r="D31" i="36"/>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N23" i="3" l="1"/>
  <c r="B284" i="106" s="1"/>
  <c r="D284" i="106" s="1"/>
  <c r="B3628" i="106"/>
  <c r="D3628" i="106" s="1"/>
  <c r="B6022" i="106"/>
  <c r="D6022" i="106" s="1"/>
  <c r="B1266" i="106"/>
  <c r="D1266" i="106" s="1"/>
  <c r="K28" i="118"/>
  <c r="O27" i="118" s="1"/>
  <c r="O29" i="118" s="1"/>
  <c r="K77" i="4"/>
  <c r="B3587" i="106" s="1"/>
  <c r="D3587" i="106" s="1"/>
  <c r="B5914" i="106"/>
  <c r="D5914" i="106" s="1"/>
  <c r="B1996" i="106"/>
  <c r="D1996" i="106" s="1"/>
  <c r="B1328" i="106"/>
  <c r="D1328" i="106" s="1"/>
  <c r="B6014" i="106"/>
  <c r="D6014" i="106" s="1"/>
  <c r="B1365" i="106"/>
  <c r="D1365" i="106" s="1"/>
  <c r="F65" i="34"/>
  <c r="G173" i="5"/>
  <c r="B5770" i="106"/>
  <c r="D5770" i="106" s="1"/>
  <c r="B5527" i="106"/>
  <c r="D5527" i="106" s="1"/>
  <c r="D44" i="36"/>
  <c r="B5906" i="106"/>
  <c r="D5906" i="106" s="1"/>
  <c r="H6" i="4"/>
  <c r="B2656" i="106" s="1"/>
  <c r="D2656" i="106" s="1"/>
  <c r="B6025" i="106"/>
  <c r="D6025" i="106" s="1"/>
  <c r="H4" i="4"/>
  <c r="B2655" i="106" s="1"/>
  <c r="D2655" i="106" s="1"/>
  <c r="D7256" i="106"/>
  <c r="D7251" i="106"/>
  <c r="F73" i="34"/>
  <c r="G15" i="4"/>
  <c r="B6032" i="106" s="1"/>
  <c r="D6032" i="106" s="1"/>
  <c r="B7071" i="106"/>
  <c r="D7071" i="106" s="1"/>
  <c r="F66" i="34"/>
  <c r="B7733" i="106"/>
  <c r="D7733" i="106" s="1"/>
  <c r="K26" i="12"/>
  <c r="B7743" i="106" s="1"/>
  <c r="D7743" i="106" s="1"/>
  <c r="K365" i="29"/>
  <c r="K16" i="4" s="1"/>
  <c r="H275" i="5"/>
  <c r="B5915" i="106" s="1"/>
  <c r="D5915" i="106" s="1"/>
  <c r="D274" i="5"/>
  <c r="B5507" i="106" s="1"/>
  <c r="D5507" i="106" s="1"/>
  <c r="B3568" i="106"/>
  <c r="D3568" i="106" s="1"/>
  <c r="D52" i="36"/>
  <c r="D7255" i="106"/>
  <c r="D7252" i="106"/>
  <c r="L114" i="29"/>
  <c r="B2657" i="106"/>
  <c r="D2657" i="106" s="1"/>
  <c r="B5356" i="106"/>
  <c r="D5356" i="106" s="1"/>
  <c r="D4" i="4"/>
  <c r="B2564" i="106" s="1"/>
  <c r="D2564" i="106" s="1"/>
  <c r="F173" i="5"/>
  <c r="C4" i="4"/>
  <c r="B2551" i="106" s="1"/>
  <c r="D2551" i="106" s="1"/>
  <c r="B6024" i="106"/>
  <c r="D6024" i="106" s="1"/>
  <c r="G4" i="4"/>
  <c r="B2603" i="106" s="1"/>
  <c r="D2603" i="106" s="1"/>
  <c r="B1317" i="106"/>
  <c r="D1317" i="106" s="1"/>
  <c r="F274" i="5"/>
  <c r="F7" i="4" s="1"/>
  <c r="B2594" i="106" s="1"/>
  <c r="D2594" i="106" s="1"/>
  <c r="D51" i="36"/>
  <c r="D19" i="7"/>
  <c r="B1775" i="106" s="1"/>
  <c r="D1775" i="106" s="1"/>
  <c r="K342" i="29"/>
  <c r="F13" i="34" s="1"/>
  <c r="D7253" i="106"/>
  <c r="D7254" i="106"/>
  <c r="D7250" i="106"/>
  <c r="C114" i="29"/>
  <c r="B757" i="106" s="1"/>
  <c r="D757" i="106" s="1"/>
  <c r="B3670" i="106"/>
  <c r="D3670" i="106" s="1"/>
  <c r="K352" i="29"/>
  <c r="H367" i="29"/>
  <c r="B3660" i="106" s="1"/>
  <c r="D3660" i="106" s="1"/>
  <c r="B5214" i="106"/>
  <c r="D5214" i="106" s="1"/>
  <c r="C173" i="5"/>
  <c r="H77" i="4"/>
  <c r="B3299" i="106" s="1"/>
  <c r="D3299"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7243" i="106" l="1"/>
  <c r="D7243" i="106" s="1"/>
  <c r="D275" i="5"/>
  <c r="J17" i="4"/>
  <c r="J19" i="4" s="1"/>
  <c r="B6229" i="106" s="1"/>
  <c r="D6229" i="106" s="1"/>
  <c r="D7" i="4"/>
  <c r="B2567" i="106" s="1"/>
  <c r="D2567" i="106" s="1"/>
  <c r="F275" i="5"/>
  <c r="B5720" i="106" s="1"/>
  <c r="D5720" i="106" s="1"/>
  <c r="B5778" i="106"/>
  <c r="D5778" i="106" s="1"/>
  <c r="G6" i="4"/>
  <c r="B2604" i="106" s="1"/>
  <c r="D2604" i="106" s="1"/>
  <c r="H8" i="4"/>
  <c r="K367" i="29"/>
  <c r="K368" i="29" s="1"/>
  <c r="B3681" i="106" s="1"/>
  <c r="D3681" i="106" s="1"/>
  <c r="K13" i="4"/>
  <c r="B3572" i="106" s="1"/>
  <c r="D3572" i="106" s="1"/>
  <c r="B3672" i="106"/>
  <c r="D3672" i="106" s="1"/>
  <c r="B5223" i="106"/>
  <c r="D5223" i="106" s="1"/>
  <c r="C6" i="4"/>
  <c r="B2553" i="106" s="1"/>
  <c r="D2553" i="106" s="1"/>
  <c r="B5719" i="106"/>
  <c r="D5719" i="106" s="1"/>
  <c r="F6" i="4"/>
  <c r="B2593" i="106" s="1"/>
  <c r="D2593" i="106" s="1"/>
  <c r="B5653" i="106"/>
  <c r="D5653" i="106" s="1"/>
  <c r="E41" i="108"/>
  <c r="E44" i="108" s="1"/>
  <c r="E45" i="108" s="1"/>
  <c r="G41" i="108"/>
  <c r="G44" i="108" s="1"/>
  <c r="G45" i="108" s="1"/>
  <c r="F8" i="4"/>
  <c r="F10" i="4" s="1"/>
  <c r="B4125" i="106" s="1"/>
  <c r="D4125"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3678" i="106" l="1"/>
  <c r="D3678" i="106" s="1"/>
  <c r="D8" i="146"/>
  <c r="J20" i="4"/>
  <c r="B6230" i="106" s="1"/>
  <c r="D6230" i="106" s="1"/>
  <c r="D8" i="4"/>
  <c r="D10" i="4" s="1"/>
  <c r="B4123" i="106" s="1"/>
  <c r="D4123" i="106" s="1"/>
  <c r="K17" i="4"/>
  <c r="K20" i="4" s="1"/>
  <c r="B2658" i="106"/>
  <c r="D2658" i="106" s="1"/>
  <c r="H10" i="4"/>
  <c r="B4127" i="106" s="1"/>
  <c r="D4127" i="106" s="1"/>
  <c r="F76" i="34"/>
  <c r="B2595" i="106"/>
  <c r="D2595" i="106" s="1"/>
  <c r="B6223" i="106"/>
  <c r="D62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20" i="4"/>
  <c r="B2568" i="106"/>
  <c r="D2568" i="106" s="1"/>
  <c r="C8" i="146"/>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D78" i="4"/>
  <c r="B2574" i="106"/>
  <c r="D2574" i="106" s="1"/>
  <c r="C10" i="146" l="1"/>
  <c r="F8" i="146"/>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<sst xmlns="http://schemas.openxmlformats.org/spreadsheetml/2006/main" count="5100" uniqueCount="2138">
  <si>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</si>
  <si>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</si>
  <si>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</si>
  <si>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</si>
  <si>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</si>
  <si>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</si>
  <si>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</si>
  <si>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</si>
  <si>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</si>
  <si>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</si>
  <si>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</si>
  <si>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</si>
  <si>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</si>
  <si>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</si>
  <si>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</si>
  <si>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</si>
  <si>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</si>
  <si>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</si>
  <si>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</si>
  <si>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</si>
  <si>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</si>
  <si>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</si>
  <si>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</si>
  <si>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</si>
  <si>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</si>
  <si>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</si>
  <si>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</si>
  <si>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</si>
  <si>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</si>
  <si>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</si>
  <si>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</si>
  <si>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</si>
  <si>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</si>
  <si>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</si>
  <si>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</si>
  <si>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</si>
  <si>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</si>
  <si>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</si>
  <si>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</si>
  <si>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</si>
  <si>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</si>
  <si>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</si>
  <si>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</si>
  <si>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</si>
  <si>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</si>
  <si>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</si>
  <si>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</si>
  <si>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</si>
  <si>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</si>
  <si>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</si>
  <si>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</si>
  <si>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</si>
  <si>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</si>
  <si>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</si>
  <si>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</si>
  <si>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</si>
  <si>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</si>
  <si>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</si>
  <si>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</si>
  <si>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</si>
  <si>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</si>
  <si>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</si>
  <si>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</si>
  <si>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</si>
  <si>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</si>
  <si>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</si>
  <si>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</si>
  <si>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</si>
  <si>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</si>
  <si>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</si>
  <si>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</si>
  <si>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</si>
  <si>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</si>
  <si>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</si>
  <si>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</si>
  <si>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</si>
  <si>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</si>
  <si>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</si>
  <si>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</si>
  <si>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</si>
  <si>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</si>
  <si>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</si>
  <si>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</si>
  <si>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</si>
  <si>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</si>
  <si>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</si>
  <si>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</si>
  <si>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</si>
  <si>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</si>
  <si>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</si>
  <si>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</si>
  <si>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</si>
  <si>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</si>
  <si>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</si>
  <si>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</si>
  <si>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</si>
  <si>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</si>
  <si>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</si>
  <si>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</si>
  <si>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</si>
  <si>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</si>
  <si>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</si>
  <si>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</si>
  <si>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</si>
  <si>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</si>
  <si>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</si>
  <si>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</si>
  <si>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</si>
  <si>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</si>
  <si>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</si>
  <si>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</si>
  <si>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</si>
  <si>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</si>
  <si>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</si>
  <si>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</si>
  <si>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</si>
  <si>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</si>
  <si>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</si>
  <si>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</si>
  <si>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</si>
  <si>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</si>
  <si>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</si>
  <si>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</si>
  <si>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</si>
  <si>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</si>
  <si>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</si>
  <si>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</si>
  <si>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</si>
  <si>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</si>
  <si>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</si>
  <si>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</si>
  <si>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</si>
  <si>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</si>
  <si>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</si>
  <si>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</si>
  <si>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</si>
  <si>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</si>
  <si>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</si>
  <si>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</si>
  <si>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</si>
  <si>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</si>
  <si>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</si>
  <si>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</si>
  <si>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</si>
  <si>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</si>
  <si>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</si>
  <si>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</si>
  <si>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</si>
  <si>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</si>
  <si>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</si>
  <si>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</si>
  <si>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</si>
  <si>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</si>
  <si>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</si>
  <si>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</si>
  <si>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</si>
  <si>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</si>
  <si>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</si>
  <si>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</si>
  <si>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</si>
  <si>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</si>
  <si>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</si>
  <si>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</si>
  <si>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</si>
  <si>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</si>
  <si>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</si>
  <si>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</si>
  <si>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</si>
  <si>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</si>
  <si>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</si>
  <si>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</si>
  <si>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</si>
  <si>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</si>
  <si>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</si>
  <si>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</si>
  <si>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</si>
  <si>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</si>
  <si>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</si>
  <si>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</si>
  <si>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</si>
  <si>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</si>
  <si>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</si>
  <si>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</si>
  <si>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</si>
  <si>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</si>
  <si>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</si>
  <si>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</si>
  <si>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</si>
  <si>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</si>
  <si>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</si>
  <si>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</si>
  <si>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</si>
  <si>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</si>
  <si>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</si>
  <si>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</si>
  <si>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</si>
  <si>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</si>
  <si>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</si>
  <si>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</si>
  <si>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</si>
  <si>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</si>
  <si>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</si>
  <si>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</si>
  <si>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</si>
  <si>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</si>
  <si>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</si>
  <si>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</si>
  <si>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</si>
  <si>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</si>
  <si>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</si>
  <si>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</si>
  <si>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</si>
  <si>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</si>
  <si>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</si>
  <si>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</si>
  <si>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</si>
  <si>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</si>
  <si>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</si>
  <si>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</si>
  <si>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</si>
  <si>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</si>
  <si>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</si>
  <si>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</si>
  <si>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</si>
  <si>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</si>
  <si>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</si>
  <si>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</si>
  <si>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</si>
  <si>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</si>
  <si>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</si>
  <si>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</si>
  <si>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</si>
  <si>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</si>
  <si>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</si>
  <si>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</si>
  <si>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</si>
  <si>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</si>
  <si>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</si>
  <si>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</si>
  <si>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</si>
  <si>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</si>
  <si>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</si>
  <si>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</si>
  <si>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</si>
  <si>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</si>
  <si>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</si>
  <si>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</si>
  <si>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</si>
  <si>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</si>
  <si>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</si>
  <si>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</si>
  <si>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</si>
  <si>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</si>
  <si>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</si>
  <si>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</si>
  <si>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</si>
  <si>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</si>
  <si>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</si>
  <si>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</si>
  <si>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</si>
  <si>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</si>
  <si>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</si>
  <si>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</si>
  <si>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</si>
  <si>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</si>
  <si>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</si>
  <si>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</si>
  <si>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</si>
  <si>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</si>
  <si>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</si>
  <si>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</si>
  <si>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</si>
  <si>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</si>
  <si>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</si>
  <si>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</si>
  <si>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</si>
  <si>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</si>
  <si>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</si>
  <si>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</si>
  <si>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</si>
  <si>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</si>
  <si>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</si>
  <si>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</si>
  <si>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</si>
  <si>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</si>
  <si>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</si>
  <si>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</si>
  <si>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</si>
  <si>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</si>
  <si>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</si>
  <si>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</si>
  <si>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</si>
  <si>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</si>
  <si>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</si>
  <si>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</si>
  <si>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</si>
  <si>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</si>
  <si>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</si>
  <si>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</si>
  <si>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</si>
  <si>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</si>
  <si>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</si>
  <si>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</si>
  <si>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</si>
  <si>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</si>
  <si>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</si>
  <si>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</si>
  <si>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</si>
  <si>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</si>
  <si>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</si>
  <si>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</si>
  <si>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</si>
  <si>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</si>
  <si>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</si>
  <si>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</si>
  <si>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</si>
  <si>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</si>
  <si>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</si>
  <si>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</si>
  <si>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</si>
  <si>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</si>
  <si>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</si>
  <si>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</si>
  <si>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</si>
  <si>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</si>
  <si>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</si>
  <si>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</si>
  <si>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</si>
  <si>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</si>
  <si>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</si>
  <si>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</si>
  <si>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</si>
  <si>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</si>
  <si>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</si>
  <si>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</si>
  <si>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</si>
  <si>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</si>
  <si>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</si>
  <si>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</si>
  <si>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</si>
  <si>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</si>
  <si>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</si>
  <si>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</si>
  <si>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</si>
  <si>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</si>
  <si>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</si>
  <si>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</si>
  <si>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</si>
  <si>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</si>
  <si>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</si>
  <si>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</si>
  <si>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</si>
  <si>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</si>
  <si>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</si>
  <si>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</si>
  <si>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</si>
  <si>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</si>
  <si>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</si>
  <si>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</si>
  <si>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</si>
  <si>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</si>
  <si>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</si>
  <si>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</si>
  <si>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</si>
  <si>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</si>
  <si>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</si>
  <si>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</si>
  <si>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</si>
  <si>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</si>
  <si>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</si>
  <si>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</si>
  <si>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</si>
  <si>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</si>
  <si>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</si>
  <si>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</si>
  <si>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</si>
  <si>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</si>
  <si>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</si>
  <si>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</si>
  <si>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</si>
  <si>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</si>
  <si>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</si>
  <si>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</si>
  <si>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</si>
  <si>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</si>
  <si>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</si>
  <si>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</si>
  <si>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</si>
  <si>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</si>
  <si>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</si>
  <si>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</si>
  <si>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</si>
  <si>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</si>
  <si>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</si>
  <si>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</si>
  <si>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</si>
  <si>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</si>
  <si>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</si>
  <si>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</si>
  <si>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</si>
  <si>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</si>
  <si>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</si>
  <si>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</si>
  <si>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</si>
  <si>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</si>
  <si>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</si>
  <si>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</si>
  <si>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</si>
  <si>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</si>
  <si>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</si>
  <si>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</si>
  <si>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</si>
  <si>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</si>
  <si>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</si>
  <si>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</si>
  <si>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</si>
  <si>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</si>
  <si>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</si>
  <si>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</si>
  <si>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</si>
  <si>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</si>
  <si>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</si>
  <si>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</si>
  <si>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</si>
  <si>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</si>
  <si>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</si>
  <si>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</si>
  <si>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</si>
  <si>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</si>
  <si>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</si>
  <si>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</si>
  <si>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</si>
  <si>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</si>
  <si>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</si>
  <si>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</si>
  <si>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</si>
  <si>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</si>
  <si>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</si>
  <si>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</si>
  <si>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</si>
  <si>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</si>
  <si>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</si>
  <si>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</si>
  <si>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</si>
  <si>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</si>
  <si>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</si>
  <si>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</si>
  <si>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</si>
  <si>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</si>
  <si>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</si>
  <si>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</si>
  <si>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</si>
  <si>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</si>
  <si>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</si>
  <si>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</si>
  <si>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</si>
  <si>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</si>
  <si>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</si>
  <si>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</si>
  <si>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</si>
  <si>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</si>
  <si>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</si>
  <si>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</si>
  <si>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</si>
  <si>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</si>
  <si>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</si>
  <si>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</si>
  <si>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</si>
  <si>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</si>
  <si>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</si>
  <si>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</si>
  <si>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</si>
  <si>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</si>
  <si>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</si>
  <si>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</si>
  <si>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</si>
  <si>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</si>
  <si>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</si>
  <si>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</si>
  <si>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</si>
  <si>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</si>
  <si>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</si>
  <si>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</si>
  <si>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</si>
  <si>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</si>
  <si>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</si>
  <si>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</si>
  <si>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</si>
  <si>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</si>
  <si>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</si>
  <si>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</si>
  <si>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</si>
  <si>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</si>
  <si>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</si>
  <si>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</si>
  <si>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</si>
  <si>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</si>
  <si>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</si>
  <si>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</si>
  <si>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</si>
  <si>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</si>
  <si>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</si>
  <si>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</si>
  <si>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</si>
  <si>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</si>
  <si>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</si>
  <si>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</si>
  <si>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</si>
  <si>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</si>
  <si>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</si>
  <si>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</si>
  <si>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</si>
  <si>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</si>
  <si>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</si>
  <si>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</si>
  <si>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</si>
  <si>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</si>
  <si>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</si>
  <si>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</si>
  <si>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</si>
  <si>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</si>
  <si>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</si>
  <si>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</si>
  <si>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</si>
  <si>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</si>
  <si>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</si>
  <si>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</si>
  <si>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</si>
  <si>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</si>
  <si>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</si>
  <si>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</si>
  <si>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</si>
  <si>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</si>
  <si>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</si>
  <si>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</si>
  <si>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</si>
  <si>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</si>
  <si>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</si>
  <si>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</si>
  <si>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</si>
  <si>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</si>
  <si>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</si>
  <si>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</si>
  <si>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</si>
  <si>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</si>
  <si>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</si>
  <si>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</si>
  <si>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</si>
  <si>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</si>
  <si>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</si>
  <si>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</si>
  <si>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</si>
  <si>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</si>
  <si>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</si>
  <si>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</si>
  <si>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</si>
  <si>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</si>
  <si>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</si>
  <si>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</si>
  <si>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</si>
  <si>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</si>
  <si>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</si>
  <si>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</si>
  <si>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</si>
  <si>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</si>
  <si>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</si>
  <si>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</si>
  <si>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</si>
  <si>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</si>
  <si>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</si>
  <si>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</si>
  <si>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</si>
  <si>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</si>
  <si>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</si>
  <si>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</si>
  <si>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</si>
  <si>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</si>
  <si>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</si>
  <si>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</si>
  <si>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</si>
  <si>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</si>
  <si>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</si>
  <si>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</si>
  <si>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</si>
  <si>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</si>
  <si>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</si>
  <si>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</si>
  <si>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</si>
  <si>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</si>
  <si>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</si>
  <si>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</si>
  <si>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</si>
  <si>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</si>
  <si>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</si>
  <si>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</si>
  <si>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</si>
  <si>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</si>
  <si>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</si>
  <si>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</si>
  <si>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</si>
  <si>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</si>
  <si>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</si>
  <si>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</si>
  <si>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</si>
  <si>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</si>
  <si>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</si>
  <si>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</si>
  <si>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</si>
  <si>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</si>
  <si>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</si>
  <si>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</si>
  <si>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</si>
  <si>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</si>
  <si>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</si>
  <si>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</si>
  <si>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</si>
  <si>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</si>
  <si>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</si>
  <si>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</si>
  <si>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</si>
  <si>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</si>
  <si>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</si>
  <si>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</si>
  <si>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</si>
  <si>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</si>
  <si>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</si>
  <si>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</si>
  <si>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</si>
  <si>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</si>
  <si>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</si>
  <si>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</si>
  <si>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</si>
  <si>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</si>
  <si>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</si>
  <si>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</si>
  <si>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</si>
  <si>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</si>
  <si>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</si>
  <si>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</si>
  <si>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</si>
  <si>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</si>
  <si>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</si>
  <si>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</si>
  <si>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</si>
  <si>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</si>
  <si>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</si>
  <si>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</si>
  <si>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</si>
  <si>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</si>
  <si>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</si>
  <si>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</si>
  <si>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</si>
  <si>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</si>
  <si>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</si>
  <si>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</si>
  <si>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</si>
  <si>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</si>
  <si>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</si>
  <si>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</si>
  <si>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</si>
  <si>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</si>
  <si>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</si>
  <si>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</si>
  <si>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</si>
  <si>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</si>
  <si>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</si>
  <si>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</si>
  <si>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</si>
  <si>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</si>
  <si>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</si>
  <si>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</si>
  <si>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</si>
  <si>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</si>
  <si>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</si>
  <si>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</si>
  <si>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</si>
  <si>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</si>
  <si>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</si>
  <si>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</si>
  <si>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</si>
  <si>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</si>
  <si>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</si>
  <si>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</si>
  <si>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</si>
  <si>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</si>
  <si>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</si>
  <si>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</si>
  <si>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</si>
  <si>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</si>
  <si>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</si>
  <si>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</si>
  <si>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</si>
  <si>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</si>
  <si>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</si>
  <si>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</si>
  <si>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</si>
  <si>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</si>
  <si>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</si>
  <si>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</si>
  <si>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</si>
  <si>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</si>
  <si>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</si>
  <si>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</si>
  <si>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</si>
  <si>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</si>
  <si>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</si>
  <si>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</si>
  <si>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</si>
  <si>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</si>
  <si>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</si>
  <si>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</si>
  <si>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</si>
  <si>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</si>
  <si>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</si>
  <si>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</si>
  <si>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</si>
  <si>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</si>
  <si>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</si>
  <si>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</si>
  <si>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</si>
  <si>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</si>
  <si>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</si>
  <si>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</si>
  <si>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</si>
  <si>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</si>
  <si>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</si>
  <si>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</si>
  <si>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</si>
  <si>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</si>
  <si>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</si>
  <si>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</si>
  <si>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</si>
  <si>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</si>
  <si>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</si>
  <si>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</si>
  <si>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</si>
  <si>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</si>
  <si>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</si>
  <si>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</si>
  <si>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</si>
  <si>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</si>
  <si>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</si>
  <si>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</si>
  <si>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</si>
  <si>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</si>
  <si>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</si>
  <si>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</si>
  <si>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</si>
  <si>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</si>
  <si>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</si>
  <si>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</si>
  <si>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</si>
  <si>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</si>
  <si>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</si>
  <si>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</si>
  <si>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</si>
  <si>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</si>
  <si>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</si>
  <si>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</si>
  <si>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</si>
  <si>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</si>
  <si>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</si>
  <si>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</si>
  <si>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</si>
  <si>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</si>
  <si>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</si>
  <si>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</si>
  <si>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</si>
  <si>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</si>
  <si>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</si>
  <si>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</si>
  <si>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</si>
  <si>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</si>
  <si>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</si>
  <si>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</si>
  <si>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</si>
  <si>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</si>
  <si>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</si>
  <si>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</si>
  <si>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</si>
  <si>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</si>
  <si>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</si>
  <si>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</si>
  <si>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</si>
  <si>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</si>
  <si>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</si>
  <si>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</si>
  <si>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</si>
  <si>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</si>
  <si>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</si>
  <si>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</si>
  <si>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</si>
  <si>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</si>
  <si>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</si>
  <si>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</si>
  <si>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</si>
  <si>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</si>
  <si>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</si>
  <si>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</si>
  <si>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</si>
  <si>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</si>
  <si>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</si>
  <si>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</si>
  <si>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</si>
  <si>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</si>
  <si>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</si>
  <si>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</si>
  <si>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</si>
  <si>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</si>
  <si>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</si>
  <si>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</si>
  <si>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</si>
  <si>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</si>
  <si>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</si>
  <si>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</si>
  <si>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</si>
  <si>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</si>
  <si>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</si>
  <si>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</si>
  <si>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</si>
  <si>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</si>
  <si>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</si>
  <si>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</si>
  <si>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</si>
  <si>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</si>
  <si>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</si>
  <si>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</si>
  <si>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</si>
  <si>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</si>
  <si>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</si>
  <si>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</si>
  <si>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</si>
  <si>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</si>
  <si>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</si>
  <si>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</si>
  <si>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</si>
  <si>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</si>
  <si>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</si>
  <si>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</si>
  <si>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</si>
  <si>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</si>
  <si>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</si>
  <si>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</si>
  <si>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</si>
  <si>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</si>
  <si>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</si>
  <si>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</si>
  <si>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</si>
  <si>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</si>
  <si>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</si>
  <si>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</si>
  <si>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</si>
  <si>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</si>
  <si>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</si>
  <si>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</si>
  <si>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</si>
  <si>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</si>
  <si>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</si>
  <si>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</si>
  <si>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</si>
  <si>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</si>
  <si>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</si>
  <si>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</si>
  <si>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</si>
  <si>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</si>
  <si>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</si>
  <si>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</si>
  <si>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</si>
  <si>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</si>
  <si>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</si>
  <si>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</si>
  <si>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</si>
  <si>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</si>
  <si>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</si>
  <si>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</si>
  <si>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</si>
  <si>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</si>
  <si>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</si>
  <si>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</si>
  <si>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</si>
  <si>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</si>
  <si>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</si>
  <si>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</si>
  <si>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</si>
  <si>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</si>
  <si>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</si>
  <si>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</si>
  <si>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</si>
  <si>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</si>
  <si>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</si>
  <si>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</si>
  <si>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</si>
  <si>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</si>
  <si>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</si>
  <si>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</si>
  <si>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</si>
  <si>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</si>
  <si>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</si>
  <si>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</si>
  <si>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</si>
  <si>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</si>
  <si>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</si>
  <si>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</si>
  <si>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</si>
  <si>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</si>
  <si>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</si>
  <si>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</si>
  <si>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</si>
  <si>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</si>
  <si>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</si>
  <si>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</si>
  <si>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</si>
  <si>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</si>
  <si>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</si>
  <si>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</si>
  <si>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</si>
  <si>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</si>
  <si>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</si>
  <si>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</si>
  <si>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</si>
  <si>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</si>
  <si>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</si>
  <si>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</si>
  <si>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</si>
  <si>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</si>
  <si>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</si>
  <si>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</si>
  <si>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</si>
  <si>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</si>
  <si>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</si>
  <si>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</si>
  <si>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</si>
  <si>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</si>
  <si>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</si>
  <si>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</si>
  <si>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</si>
  <si>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</si>
  <si>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</si>
  <si>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</si>
  <si>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</si>
  <si>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</si>
  <si>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</si>
  <si>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</si>
  <si>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</si>
  <si>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</si>
  <si>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</si>
  <si>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</si>
  <si>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</si>
  <si>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</si>
  <si>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</si>
  <si>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</si>
  <si>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</si>
  <si>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</si>
  <si>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</si>
  <si>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</si>
  <si>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</si>
  <si>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</si>
  <si>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</si>
  <si>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</si>
  <si>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</si>
  <si>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</si>
  <si>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</si>
  <si>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</si>
  <si>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</si>
  <si>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</si>
  <si>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</si>
  <si>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</si>
  <si>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</si>
  <si>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</si>
  <si>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</si>
  <si>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</si>
  <si>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</si>
  <si>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</si>
  <si>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</si>
  <si>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</si>
  <si>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</si>
  <si>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</si>
  <si>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</si>
  <si>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</si>
  <si>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</si>
  <si>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</si>
  <si>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</si>
  <si>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</si>
  <si>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</si>
  <si>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</si>
  <si>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</si>
  <si>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</si>
  <si>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</si>
  <si>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</si>
  <si>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</si>
  <si>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</si>
  <si>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</si>
  <si>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</si>
  <si>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</si>
  <si>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</si>
  <si>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</si>
  <si>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</si>
  <si>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</si>
  <si>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</si>
  <si>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</si>
  <si>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</si>
  <si>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</si>
  <si>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</si>
  <si>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</si>
  <si>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</si>
  <si>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</si>
  <si>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</si>
  <si>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</si>
  <si>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</si>
  <si>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</si>
  <si>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</si>
  <si>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</si>
  <si>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</si>
  <si>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</si>
  <si>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</si>
  <si>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</si>
  <si>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</si>
  <si>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</si>
  <si>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</si>
  <si>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</si>
  <si>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</si>
  <si>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</si>
  <si>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</si>
  <si>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</si>
  <si>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</si>
  <si>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</si>
  <si>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</si>
  <si>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</si>
  <si>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</si>
  <si>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</si>
  <si>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</si>
  <si>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</si>
  <si>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</si>
  <si>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</si>
  <si>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</si>
  <si>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</si>
  <si>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</si>
  <si>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</si>
  <si>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</si>
  <si>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</si>
  <si>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</si>
  <si>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</si>
  <si>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</si>
  <si>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</si>
  <si>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</si>
  <si>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</si>
  <si>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</si>
  <si>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</si>
  <si>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</si>
  <si>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</si>
  <si>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</si>
  <si>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</si>
  <si>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</si>
  <si>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</si>
  <si>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</si>
  <si>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</si>
  <si>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</si>
  <si>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</si>
  <si>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</si>
  <si>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</si>
  <si>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</si>
  <si>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</si>
  <si>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</si>
  <si>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</si>
  <si>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</si>
  <si>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</si>
  <si>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</si>
  <si>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</si>
  <si>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</si>
  <si>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</si>
  <si>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</si>
  <si>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</si>
  <si>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</si>
  <si>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</si>
  <si>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</si>
  <si>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</si>
  <si>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</si>
  <si>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</si>
  <si>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</si>
  <si>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</si>
  <si>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</si>
  <si>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</si>
  <si>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</si>
  <si>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</si>
  <si>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</si>
  <si>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</si>
  <si>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</si>
  <si>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</si>
  <si>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</si>
  <si>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</si>
  <si>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</si>
  <si>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</si>
  <si>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</si>
  <si>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</si>
  <si>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</si>
  <si>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</si>
  <si>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</si>
  <si>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</si>
  <si>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</si>
  <si>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</si>
  <si>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</si>
  <si>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</si>
  <si>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</si>
  <si>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</si>
  <si>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</si>
  <si>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</si>
  <si>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</si>
  <si>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</si>
  <si>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</si>
  <si>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</si>
  <si>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</si>
  <si>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</si>
  <si>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</si>
  <si>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</si>
  <si>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</si>
  <si>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</si>
  <si>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</si>
  <si>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</si>
  <si>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</si>
  <si>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</si>
  <si>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</si>
  <si>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</si>
  <si>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</si>
  <si>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</si>
  <si>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</si>
  <si>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</si>
  <si>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</si>
  <si>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</si>
  <si>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</si>
  <si>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</si>
  <si>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</si>
  <si>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</si>
  <si>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</si>
  <si>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</si>
  <si>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</si>
  <si>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</si>
  <si>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</si>
  <si>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</si>
  <si>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</si>
  <si>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</si>
  <si>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</si>
  <si>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</si>
  <si>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</si>
  <si>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</si>
  <si>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</si>
  <si>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</si>
  <si>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</si>
  <si>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</si>
  <si>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</si>
  <si>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</si>
  <si>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</si>
  <si>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</si>
  <si>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</si>
  <si>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</si>
  <si>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</si>
  <si>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</si>
  <si>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</si>
  <si>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</si>
  <si>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</si>
  <si>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</si>
  <si>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</si>
  <si>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</si>
  <si>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</si>
  <si>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</si>
  <si>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</si>
  <si>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</si>
  <si>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</si>
  <si>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</si>
  <si>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</si>
  <si>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</si>
  <si>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</si>
  <si>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</si>
  <si>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</si>
  <si>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</si>
  <si>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</si>
  <si>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</si>
  <si>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</si>
  <si>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</si>
  <si>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</si>
  <si>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</si>
  <si>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</si>
  <si>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</si>
  <si>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</si>
  <si>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</si>
  <si>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</si>
  <si>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</si>
  <si>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</si>
  <si>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</si>
  <si>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</si>
  <si>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</si>
  <si>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</si>
  <si>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</si>
  <si>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</si>
  <si>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</si>
  <si>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</si>
  <si>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</si>
  <si>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</si>
  <si>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</si>
  <si>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</si>
  <si>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</si>
  <si>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</si>
  <si>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</si>
  <si>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</si>
  <si>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</si>
  <si>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</si>
  <si>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</si>
  <si>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</si>
  <si>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</si>
  <si>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</si>
  <si>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</si>
  <si>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</si>
  <si>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</si>
  <si>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</si>
  <si>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</si>
  <si>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</si>
  <si>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</si>
  <si>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</si>
  <si>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</si>
  <si>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</si>
  <si>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</si>
  <si>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</si>
  <si>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</si>
  <si>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</si>
  <si>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</si>
  <si>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</si>
  <si>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</si>
  <si>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</si>
  <si>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</si>
  <si>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</si>
  <si>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</si>
  <si>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</si>
  <si>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</si>
  <si>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</si>
  <si>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</si>
  <si>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</si>
  <si>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</si>
  <si>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</si>
  <si>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</si>
  <si>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</si>
  <si>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</si>
  <si>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</si>
  <si>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</si>
  <si>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</si>
  <si>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</si>
  <si>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</si>
  <si>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</si>
  <si>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</si>
  <si>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</si>
  <si>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</si>
  <si>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</si>
  <si>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</si>
  <si>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</si>
  <si>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</si>
  <si>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</si>
  <si>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</si>
  <si>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</si>
  <si>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</si>
  <si>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</si>
  <si>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</si>
  <si>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</si>
  <si>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</si>
  <si>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</si>
  <si>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</si>
  <si>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</si>
  <si>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</si>
  <si>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</si>
  <si>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</si>
  <si>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</si>
  <si>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</si>
  <si>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</si>
  <si>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</si>
  <si>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</si>
  <si>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</si>
  <si>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</si>
  <si>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</si>
  <si>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</si>
  <si>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</si>
  <si>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</si>
  <si>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</si>
  <si>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</si>
  <si>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</si>
  <si>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</si>
  <si>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</si>
  <si>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</si>
  <si>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</si>
  <si>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</si>
  <si>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</si>
  <si>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</si>
  <si>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</si>
  <si>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</si>
  <si>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</si>
  <si>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</si>
  <si>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</si>
  <si>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</si>
  <si>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</si>
  <si>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</si>
  <si>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</si>
  <si>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</si>
  <si>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</si>
  <si>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</si>
  <si>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</si>
  <si>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</si>
  <si>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</si>
  <si>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</si>
  <si>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</si>
  <si>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</si>
  <si>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</si>
  <si>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</si>
  <si>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</si>
  <si>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</si>
  <si>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</si>
  <si>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</si>
  <si>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</si>
  <si>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</si>
  <si>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</si>
  <si>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</si>
  <si>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</si>
  <si>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</si>
  <si>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</si>
  <si>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</si>
  <si>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</si>
  <si>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</si>
  <si>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</si>
  <si>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</si>
  <si>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</si>
  <si>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</si>
  <si>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</si>
  <si>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</si>
  <si>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</si>
  <si>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</si>
  <si>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</si>
  <si>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</si>
  <si>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</si>
  <si>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</si>
  <si>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</si>
  <si>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</si>
  <si>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</si>
  <si>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</si>
  <si>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</si>
  <si>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</si>
  <si>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</si>
  <si>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</si>
  <si>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</si>
  <si>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</si>
  <si>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</si>
  <si>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</si>
  <si>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</si>
  <si>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</si>
  <si>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</si>
  <si>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</si>
  <si>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</si>
  <si>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</si>
  <si>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</si>
  <si>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</si>
  <si>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</si>
  <si>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</si>
  <si>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</si>
  <si>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</si>
  <si>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</si>
  <si>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</si>
  <si>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</si>
  <si>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</si>
  <si>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</si>
  <si>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</si>
  <si>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</si>
  <si>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</si>
  <si>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</si>
  <si>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</si>
  <si>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</si>
  <si>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</si>
  <si>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</si>
  <si>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</si>
  <si>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</si>
  <si>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</si>
  <si>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</si>
  <si>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</si>
  <si>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</si>
  <si>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</si>
  <si>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</si>
  <si>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</si>
  <si>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</si>
  <si>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</si>
  <si>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</si>
  <si>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</si>
  <si>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</si>
  <si>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</si>
  <si>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</si>
  <si>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</si>
  <si>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</si>
  <si>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</si>
  <si>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</si>
  <si>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</si>
  <si>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</si>
  <si>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</si>
  <si>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</si>
  <si>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</si>
  <si>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</si>
  <si>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</si>
  <si>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</si>
  <si>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</si>
  <si>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</si>
  <si>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</si>
  <si>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</si>
  <si>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</si>
  <si>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</si>
  <si>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</si>
  <si>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</si>
  <si>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</si>
  <si>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</si>
  <si>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</si>
  <si>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</si>
  <si>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</si>
  <si>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</si>
  <si>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</si>
  <si>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</si>
  <si>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</si>
  <si>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</si>
  <si>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</si>
  <si>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</si>
  <si>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</si>
  <si>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</si>
  <si>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</si>
  <si>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</si>
  <si>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</si>
  <si>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</si>
  <si>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</si>
  <si>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</si>
  <si>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</si>
  <si>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</si>
  <si>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</si>
  <si>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</si>
  <si>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</si>
  <si>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</si>
  <si>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</si>
  <si>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</si>
  <si>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</si>
  <si>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</si>
  <si>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</si>
  <si>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</si>
  <si>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</si>
  <si>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</si>
  <si>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</si>
  <si>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</si>
  <si>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</si>
  <si>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</si>
  <si>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</si>
  <si>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</si>
  <si>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</si>
  <si>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</si>
  <si>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</si>
  <si>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</si>
  <si>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</si>
  <si>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</si>
  <si>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</si>
  <si>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</si>
  <si>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</si>
  <si>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</si>
  <si>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</si>
  <si>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</si>
  <si>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</si>
  <si>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</si>
  <si>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</si>
  <si>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</si>
  <si>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</si>
  <si>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</si>
  <si>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</si>
  <si>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</si>
  <si>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</si>
  <si>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</si>
  <si>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</si>
  <si>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</si>
  <si>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</si>
  <si>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</si>
  <si>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</si>
  <si>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</si>
  <si>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</si>
  <si>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</si>
  <si>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</si>
  <si>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</si>
  <si>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</si>
  <si>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</si>
  <si>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</si>
  <si>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</si>
  <si>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</si>
  <si>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</si>
  <si>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</si>
  <si>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</si>
  <si>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</si>
  <si>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</si>
  <si>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</si>
  <si>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</si>
  <si>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</si>
  <si>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</si>
  <si>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</si>
  <si>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</si>
  <si>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</si>
  <si>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</si>
  <si>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</si>
  <si>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</si>
  <si>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</si>
  <si>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</si>
  <si>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</si>
  <si>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</si>
  <si>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</si>
  <si>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</si>
  <si>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</si>
  <si>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</si>
  <si>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</si>
  <si>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</si>
  <si>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</si>
  <si>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</si>
  <si>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</si>
  <si>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</si>
  <si>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</si>
  <si>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</si>
  <si>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</si>
  <si>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</si>
  <si>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</si>
  <si>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</si>
  <si>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</si>
  <si>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</si>
  <si>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</si>
  <si>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</si>
  <si>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</si>
  <si>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</si>
  <si>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</si>
  <si>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</si>
  <si>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</si>
  <si>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</si>
  <si>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</si>
  <si>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</si>
  <si>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</si>
  <si>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</si>
  <si>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</si>
  <si>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</si>
  <si>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</si>
  <si>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</si>
  <si>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</si>
  <si>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</si>
  <si>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</si>
  <si>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</si>
  <si>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</si>
  <si>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</si>
  <si>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</si>
  <si>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</si>
  <si>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</si>
  <si>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</si>
  <si>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</si>
  <si>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</si>
  <si>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</si>
  <si>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</si>
  <si>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</si>
  <si>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</si>
  <si>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</si>
  <si>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</si>
  <si>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</si>
  <si>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</si>
  <si>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</si>
  <si>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</si>
  <si>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</si>
  <si>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</si>
  <si>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</si>
  <si>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</si>
  <si>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</si>
  <si>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</si>
  <si>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</si>
  <si>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</si>
  <si>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</si>
  <si>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</si>
  <si>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</si>
  <si>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</si>
  <si>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</si>
  <si>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</si>
  <si>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</si>
  <si>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</si>
  <si>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</si>
  <si>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</si>
  <si>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</si>
  <si>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</si>
  <si>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</si>
  <si>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</si>
  <si>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</si>
  <si>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</si>
  <si>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</si>
  <si>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</si>
  <si>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</si>
  <si>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</si>
  <si>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</si>
  <si>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</si>
  <si>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</si>
  <si>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</si>
  <si>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</si>
  <si>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</si>
  <si>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</si>
  <si>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</si>
  <si>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</si>
  <si>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</si>
  <si>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</si>
  <si>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</si>
  <si>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</si>
  <si>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</si>
  <si>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</si>
  <si>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</si>
  <si>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</si>
  <si>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</si>
  <si>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</si>
  <si>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</si>
  <si>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</si>
  <si>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</si>
  <si>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</si>
  <si>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</si>
  <si>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</si>
  <si>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</si>
  <si>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</si>
  <si>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</si>
  <si>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</si>
  <si>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</si>
  <si>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</si>
  <si>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</si>
  <si>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</si>
  <si>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</si>
  <si>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</si>
  <si>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</si>
  <si>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</si>
  <si>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</si>
  <si>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</si>
  <si>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</si>
  <si>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</si>
  <si>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</si>
  <si>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</si>
  <si>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</si>
  <si>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</si>
  <si>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</si>
  <si>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</si>
  <si>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</si>
  <si>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</si>
  <si>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</si>
  <si>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</si>
  <si>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</si>
  <si>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</si>
  <si>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</si>
  <si>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</si>
  <si>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</si>
  <si>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</si>
  <si>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</si>
  <si>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</si>
  <si>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</si>
  <si>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</si>
  <si>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</si>
  <si>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</si>
  <si>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</si>
  <si>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</si>
  <si>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</si>
  <si>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</si>
  <si>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</si>
  <si>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</si>
  <si>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</si>
  <si>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</si>
  <si>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</si>
  <si>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</si>
  <si>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</si>
  <si>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</si>
  <si>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</si>
  <si>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</si>
  <si>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</si>
  <si>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</si>
  <si>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</si>
  <si>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</si>
  <si>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</si>
  <si>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</si>
  <si>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</si>
  <si>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</si>
  <si>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</si>
  <si>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</si>
  <si>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</si>
  <si>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</si>
  <si>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</si>
  <si>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</si>
  <si>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</si>
  <si>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</si>
  <si>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</si>
  <si>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</si>
  <si>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</si>
  <si>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</si>
  <si>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</si>
  <si>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</si>
  <si>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</si>
  <si>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</si>
  <si>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</si>
  <si>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</si>
  <si>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</si>
  <si>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</si>
  <si>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</si>
  <si>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</si>
  <si>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</si>
  <si>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</si>
  <si>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</si>
  <si>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</si>
  <si>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</si>
  <si>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</si>
  <si>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</si>
  <si>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</si>
  <si>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</si>
  <si>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</si>
  <si>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</si>
  <si>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</si>
  <si>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</si>
  <si>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</si>
  <si>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</si>
  <si>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</si>
  <si>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</si>
  <si>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</si>
  <si>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</si>
  <si>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</si>
  <si>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</si>
  <si>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</si>
  <si>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</si>
  <si>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</si>
  <si>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</si>
  <si>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</si>
  <si>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</si>
  <si>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</si>
  <si>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</si>
  <si>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</si>
  <si>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</si>
  <si>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</si>
  <si>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</si>
  <si>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</si>
  <si>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</si>
  <si>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</si>
  <si>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</si>
  <si>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</si>
  <si>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</si>
  <si>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</si>
  <si>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</si>
  <si>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</si>
  <si>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</si>
  <si>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</si>
  <si>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</si>
  <si>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</si>
  <si>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</si>
  <si>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</si>
  <si>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</si>
  <si>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</si>
  <si>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</si>
  <si>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</si>
  <si>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</si>
  <si>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</si>
  <si>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</si>
  <si>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</si>
  <si>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</si>
  <si>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</si>
  <si>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</si>
  <si>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</si>
  <si>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</si>
  <si>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</si>
  <si>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</si>
  <si>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</si>
  <si>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</si>
  <si>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</si>
  <si>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</si>
  <si>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</si>
  <si>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</si>
  <si>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</si>
  <si>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</si>
  <si>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</si>
  <si>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</si>
  <si>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</si>
  <si>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</si>
  <si>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</si>
  <si>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</si>
  <si>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</si>
  <si>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</si>
  <si>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</si>
  <si>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</si>
  <si>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</si>
  <si>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</si>
  <si>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</si>
  <si>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</si>
  <si>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</si>
  <si>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</si>
  <si>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</si>
  <si>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</si>
  <si>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</si>
  <si>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</si>
  <si>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</si>
  <si>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</si>
  <si>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</si>
  <si>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</si>
  <si>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</si>
  <si>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</si>
  <si>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</si>
  <si>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</si>
  <si>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</si>
  <si>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</si>
  <si>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</si>
  <si>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</si>
  <si>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</si>
  <si>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</si>
  <si>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</si>
  <si>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</si>
  <si>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</si>
  <si>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</si>
  <si>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</si>
  <si>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</si>
  <si>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</si>
  <si>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</si>
  <si>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</si>
  <si>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</si>
  <si>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</si>
  <si>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</si>
  <si>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</si>
  <si>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</si>
  <si>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</si>
  <si>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</si>
  <si>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</si>
  <si>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</si>
  <si>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</si>
  <si>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</si>
  <si>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</si>
  <si>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</si>
  <si>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</si>
  <si>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</si>
  <si>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</si>
  <si>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</si>
  <si>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</si>
  <si>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</si>
  <si>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</si>
  <si>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</si>
  <si>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</si>
  <si>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</si>
  <si>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</si>
  <si>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</si>
  <si>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</si>
  <si>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</si>
  <si>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</si>
  <si>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</si>
  <si>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</si>
  <si>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</si>
  <si>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</si>
  <si>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</si>
  <si>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</si>
  <si>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</si>
  <si>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</si>
  <si>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</si>
  <si>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</si>
  <si>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</si>
  <si>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</si>
  <si>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</si>
  <si>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</si>
  <si>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</si>
  <si>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</si>
  <si>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</si>
  <si>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</si>
  <si>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</si>
  <si>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</si>
  <si>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</si>
  <si>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</si>
  <si>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</si>
  <si>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</si>
  <si>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</si>
  <si>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</si>
  <si>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</si>
  <si>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</si>
  <si>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</si>
  <si>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</si>
  <si>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</si>
  <si>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</si>
  <si>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</si>
  <si>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</si>
  <si>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</si>
  <si>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</si>
  <si>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</si>
  <si>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</si>
  <si>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</si>
  <si>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</si>
  <si>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</si>
  <si>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</si>
  <si>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</si>
  <si>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</si>
  <si>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</si>
  <si>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</si>
  <si>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</si>
  <si>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</si>
  <si>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</si>
  <si>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</si>
  <si>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</si>
  <si>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</si>
  <si>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</si>
  <si>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</si>
  <si>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</si>
  <si>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</si>
  <si>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</si>
  <si>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</si>
  <si>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</si>
  <si>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</si>
  <si>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</si>
  <si>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</si>
  <si>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</si>
  <si>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</si>
  <si>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</si>
  <si>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</si>
  <si>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</si>
  <si>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</si>
  <si>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</si>
  <si>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</si>
  <si>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</si>
  <si>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</si>
  <si>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</si>
  <si>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</si>
  <si>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</si>
  <si>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</si>
  <si>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</si>
  <si>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</si>
  <si>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</si>
  <si>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</si>
  <si>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</si>
  <si>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</si>
  <si>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</si>
  <si>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</si>
  <si>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</si>
  <si>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</si>
  <si>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</si>
  <si>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</si>
  <si>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</si>
  <si>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</si>
  <si>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</si>
  <si>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</si>
  <si>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</si>
  <si>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</si>
  <si>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</si>
  <si>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</si>
  <si>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</si>
  <si>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</si>
  <si>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</si>
  <si>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</si>
  <si>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</si>
  <si>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</si>
  <si>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</si>
  <si>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</si>
  <si>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</si>
  <si>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</si>
  <si>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</si>
  <si>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</si>
  <si>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</si>
  <si>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</si>
  <si>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</si>
  <si>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</si>
  <si>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</si>
  <si>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</si>
  <si>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</si>
  <si>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</si>
  <si>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</si>
  <si>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</si>
  <si>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</si>
  <si>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</si>
  <si>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</si>
  <si>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</si>
  <si>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</si>
  <si>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</si>
  <si>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</si>
  <si>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</si>
  <si>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</si>
  <si>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</si>
  <si>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</si>
  <si>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</si>
  <si>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</si>
  <si>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</si>
  <si>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</si>
  <si>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</si>
  <si>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</si>
  <si>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</si>
  <si>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</si>
  <si>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</si>
  <si>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</si>
  <si>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</si>
  <si>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</si>
  <si>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</si>
  <si>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</si>
  <si>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</si>
  <si>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</si>
  <si>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</si>
  <si>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</si>
  <si>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</si>
  <si>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</si>
  <si>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</si>
  <si>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</si>
  <si>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</si>
  <si>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</si>
  <si>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</si>
  <si>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</si>
  <si>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</si>
  <si>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</si>
  <si>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</si>
  <si>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</si>
  <si>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</si>
  <si>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</si>
  <si>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</si>
  <si>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</si>
  <si>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</si>
  <si>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</si>
  <si>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</si>
  <si>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</si>
  <si>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</si>
  <si>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</si>
  <si>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</si>
  <si>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</si>
  <si>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</si>
  <si>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</si>
  <si>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</si>
  <si>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</si>
  <si>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</si>
  <si>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</si>
  <si>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</si>
  <si>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</si>
  <si>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</si>
  <si>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</si>
  <si>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</si>
  <si>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</si>
  <si>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</si>
  <si>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</si>
  <si>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</si>
  <si>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</si>
  <si>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</si>
  <si>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</si>
  <si>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</si>
  <si>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</si>
  <si>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</si>
  <si>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</si>
  <si>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</si>
  <si>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</si>
  <si>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</si>
  <si>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</si>
  <si>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</si>
  <si>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</si>
  <si>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</si>
  <si>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</si>
  <si>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</si>
  <si>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</si>
  <si>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</si>
  <si>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</si>
  <si>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</si>
  <si>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</si>
  <si>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</si>
  <si>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</si>
  <si>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</si>
  <si>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</si>
  <si>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</si>
  <si>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</si>
  <si>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</si>
  <si>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</si>
  <si>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</si>
  <si>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</si>
  <si>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</si>
  <si>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</si>
  <si>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</si>
  <si>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</si>
  <si>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</si>
  <si>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</si>
  <si>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</si>
  <si>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</si>
  <si>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</si>
  <si>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</si>
  <si>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</si>
  <si>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</si>
  <si>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</si>
  <si>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</si>
  <si>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</si>
  <si>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</si>
  <si>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</si>
  <si>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</si>
  <si>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</si>
  <si>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</si>
  <si>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</si>
  <si>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</si>
  <si>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</si>
  <si>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</si>
  <si>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</si>
  <si>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Marshall</t>
  </si>
  <si>
    <t>901 Hilltop Drive</t>
  </si>
  <si>
    <t>Sparland</t>
  </si>
  <si>
    <t>(309)469-2061</t>
  </si>
  <si>
    <t>(309)469-2063</t>
  </si>
  <si>
    <t>Peoria</t>
  </si>
  <si>
    <t>IL</t>
  </si>
  <si>
    <t>61614-8303</t>
  </si>
  <si>
    <t>61565-9792</t>
  </si>
  <si>
    <t>Mark D Reinken</t>
  </si>
  <si>
    <t>Ginoli &amp; Company Ltd</t>
  </si>
  <si>
    <t>(309) 671-2350</t>
  </si>
  <si>
    <t>(309) 671-5459</t>
  </si>
  <si>
    <t>mreinken@ginolicpa.com</t>
  </si>
  <si>
    <t>GO School Bonds</t>
  </si>
  <si>
    <t>William Wrenn</t>
  </si>
  <si>
    <t>bwrenn@midland-7.net</t>
  </si>
  <si>
    <t>066-005055</t>
  </si>
  <si>
    <t>7625 N University Street, Suite A</t>
  </si>
  <si>
    <t>X</t>
  </si>
  <si>
    <t>UNKNOWN</t>
  </si>
  <si>
    <t>Internal controls are enhanced when responsibilities for authorizing, approving, executing and recording transactions are separated among employees.  The segregation of these responsibilities also decreases the possibility of fraud, inefficiencies, and/or errors.</t>
  </si>
  <si>
    <t>There is an increased risk of fraud, inefficiencies, and/or errors.</t>
  </si>
  <si>
    <t>Duties have been assigned based on the experience and abilities of the office personnel.</t>
  </si>
  <si>
    <t>Some segregation of duties has occurred, and the principals and district superintendent are involved in various ways to enhance internal control.  Management feels the strengths and abilities of current staff are best used in the areas they know best.  Additionally, it is not economically practical to hire additional personnel at this time.</t>
  </si>
  <si>
    <t xml:space="preserve">KOHLS WHOLESALE </t>
  </si>
  <si>
    <t>BIMBO FOODS</t>
  </si>
  <si>
    <t>PRAIRIE FARMS</t>
  </si>
  <si>
    <t>SKYWARD ACCOUNTING</t>
  </si>
  <si>
    <t>INTEGRATED SYSTEMS CORP</t>
  </si>
  <si>
    <t>SKILL SPROUT</t>
  </si>
  <si>
    <t>Loans under 105 ILCS 5/10-22.33 are to be approved by the school board prior to the funds being transferred.</t>
  </si>
  <si>
    <t>Management has allowed cash balances in the Debt Service Fund to carry a negative balance at the end of the year.  This negative cash balance was in a common checking account and covered by the available money in another fund.  This created a loan that was  not authorized by the school board.</t>
  </si>
  <si>
    <t>The District did not adequately monitor the cash balance on a timely basis in order to avoid the cash shortage.</t>
  </si>
  <si>
    <t>The District needs to monitor the cash balance more closely and make interfund loans or transfers when needed.</t>
  </si>
  <si>
    <t>10-2560-400</t>
  </si>
  <si>
    <t>10-2100-300</t>
  </si>
  <si>
    <t>ED FUND - SUPPORT SERVICES - PURCHASED SERVICES</t>
  </si>
  <si>
    <t>ED FUND - SUPPORT SERVICES - SUPPLIES &amp; MATERIALS</t>
  </si>
  <si>
    <t>ED FUND  - SUPPORT SERVICES - PURCHASED SERVICES</t>
  </si>
  <si>
    <t>BMP SPECIAL ED CO-OP</t>
  </si>
  <si>
    <t>VOCATIONAL CIVIC CO-OP</t>
  </si>
  <si>
    <t>FOOTBALL CO-OP WITH HENRY &amp; LOWPOINT/WASHBURN CUSD'S</t>
  </si>
  <si>
    <t>Educational Fund - Page 10, Line 72, Column C - $1,472 Milk Sales</t>
  </si>
  <si>
    <t>Educational Fund - Page 10, Line 74, Column C - $15 Miscellaneous</t>
  </si>
  <si>
    <t>Educational Fund - Page 11, Line 107, Column C - $4,776 Miscellaneous</t>
  </si>
  <si>
    <t>Transportation Fund - Page 11, Line 107, Column F - $514 Miscellaneous</t>
  </si>
  <si>
    <t>Educational Fund - Page 12, Line 171, Column C - $750 State Library Assistance</t>
  </si>
  <si>
    <t>Debt Service Fund -Page 18, Line 171 - $1,500 Bond Fees</t>
  </si>
  <si>
    <t>IMRF/SS Fund - Page 20, Line 237 - $729, Miscellaneous</t>
  </si>
  <si>
    <t>The District has one office staff who works with all aspects of the accounting function.  Therefore, the responsibilities are such that one individual is involved in transactions from beginning to end.</t>
  </si>
  <si>
    <t>GINOLI &amp; COMPANY, LTD CPA'S</t>
  </si>
  <si>
    <t>Educational Fund - Page 10, Line 81, Column C - $6,484 After Care $6,023, Miscellaneous Sales $461</t>
  </si>
  <si>
    <t>Educational Fund - Page 15, Line 41 - $6,980; $427 Registration Help, $376 Graduation Supplies, $3,756 Crossing Guard, Miscellaneous Supplies - $2,331</t>
  </si>
  <si>
    <t>The negative cash balance created an unauthorized loan in the Debt Service Fund.</t>
  </si>
  <si>
    <t>Adverse due to the regulatory basis of accounting.</t>
  </si>
  <si>
    <t>Finding 2018-001 and 2018-002.</t>
  </si>
  <si>
    <t>Since office personnel are capable of filling in for each other, duties for the various functions could be shared with the school secretaries, so that one person does not handle every aspect of each function.</t>
  </si>
  <si>
    <t>The shortfall occurred once at year-end in the Debt Service Fund only.  Management will monitor the cash balance more closely to prevent a negative cash balance in the future.</t>
  </si>
  <si>
    <t>Midland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</si>
</sst>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50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11" fillId="0" borderId="0" xfId="3" applyProtection="1">
      <protection locked="0"/>
    </xf>
    <xf numFmtId="0" fontId="11" fillId="0" borderId="0" xfId="3" applyBorder="1" applyProtection="1">
      <protection locked="0"/>
    </xf>
    <xf numFmtId="0" fontId="55" fillId="0" borderId="0" xfId="3" applyFont="1" applyAlignment="1" applyProtection="1">
      <alignment horizontal="center" vertical="center"/>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18" borderId="21" xfId="0" applyFont="1" applyFill="1" applyBorder="1" applyAlignment="1" applyProtection="1">
      <alignment horizontal="left" vertical="center"/>
    </xf>
    <xf numFmtId="0" fontId="65" fillId="18" borderId="14" xfId="0"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2 3" xfId="29"/>
    <cellStyle name="Normal 3 2 3" xfId="20"/>
    <cellStyle name="Normal 3 2 4" xfId="26"/>
    <cellStyle name="Normal 3 3" xfId="22"/>
    <cellStyle name="Normal 3 3 2" xfId="28"/>
    <cellStyle name="Normal 3 4" xfId="19"/>
    <cellStyle name="Normal 3 5" xfId="25"/>
    <cellStyle name="Normal 4" xfId="16"/>
    <cellStyle name="Normal 4 2" xfId="24"/>
    <cellStyle name="Normal 4 2 2" xfId="30"/>
    <cellStyle name="Normal 4 3" xfId="21"/>
    <cellStyle name="Normal 4 4" xfId="27"/>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43296</xdr:colOff>
          <xdr:row>4</xdr:row>
          <xdr:rowOff>77932</xdr:rowOff>
        </xdr:from>
        <xdr:to>
          <xdr:col>3</xdr:col>
          <xdr:colOff>348962</xdr:colOff>
          <xdr:row>9</xdr:row>
          <xdr:rowOff>37234</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208A6FA-9106-4911-B734-445A4D77EA78}"/>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8E64DBDC-72EC-46E9-9711-AE9F8C7E99F6}"/>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2077</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35059007026</v>
      </c>
      <c r="B13" s="2038"/>
      <c r="C13" s="2038"/>
      <c r="D13" s="2038"/>
      <c r="E13" s="2038"/>
      <c r="F13" s="2038"/>
      <c r="G13" s="2038"/>
      <c r="H13" s="2039"/>
      <c r="I13" s="31"/>
      <c r="J13" s="30"/>
      <c r="K13" s="28"/>
      <c r="L13" s="30"/>
      <c r="M13" s="30"/>
      <c r="N13" s="30"/>
      <c r="O13" s="30"/>
      <c r="P13" s="30"/>
      <c r="Q13" s="30"/>
      <c r="R13" s="30"/>
      <c r="S13" s="30"/>
      <c r="T13" s="2042" t="s">
        <v>2088</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2078</v>
      </c>
      <c r="B15" s="2040"/>
      <c r="C15" s="2040"/>
      <c r="D15" s="2040"/>
      <c r="E15" s="2040"/>
      <c r="F15" s="2040"/>
      <c r="G15" s="2040"/>
      <c r="H15" s="2041"/>
      <c r="T15" s="2046" t="s">
        <v>2087</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2137</v>
      </c>
      <c r="B17" s="1997"/>
      <c r="C17" s="1997"/>
      <c r="D17" s="1997"/>
      <c r="E17" s="1997"/>
      <c r="F17" s="1997"/>
      <c r="G17" s="1997"/>
      <c r="H17" s="2022"/>
      <c r="T17" s="2053" t="s">
        <v>2096</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2079</v>
      </c>
      <c r="B19" s="1982"/>
      <c r="C19" s="1982"/>
      <c r="D19" s="1982"/>
      <c r="E19" s="1982"/>
      <c r="F19" s="1982"/>
      <c r="G19" s="1982"/>
      <c r="H19" s="1962"/>
      <c r="I19" s="30"/>
      <c r="J19" s="99"/>
      <c r="K19" s="40"/>
      <c r="L19" s="38"/>
      <c r="M19" s="112" t="s">
        <v>333</v>
      </c>
      <c r="P19" s="27"/>
      <c r="Q19" s="27"/>
      <c r="R19" s="27"/>
      <c r="S19" s="31"/>
      <c r="T19" s="2036" t="s">
        <v>2083</v>
      </c>
      <c r="U19" s="1961"/>
      <c r="V19" s="1961"/>
      <c r="W19" s="1962"/>
      <c r="X19" s="2051" t="s">
        <v>2084</v>
      </c>
      <c r="Y19" s="2052"/>
      <c r="Z19" s="2049" t="s">
        <v>2085</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2080</v>
      </c>
      <c r="B21" s="1961"/>
      <c r="C21" s="1961"/>
      <c r="D21" s="1961"/>
      <c r="E21" s="1961"/>
      <c r="F21" s="1961"/>
      <c r="G21" s="1961"/>
      <c r="H21" s="1962"/>
      <c r="I21" s="2016" t="s">
        <v>699</v>
      </c>
      <c r="J21" s="2011"/>
      <c r="K21" s="2011"/>
      <c r="L21" s="2011"/>
      <c r="M21" s="2011"/>
      <c r="N21" s="2011"/>
      <c r="O21" s="2011"/>
      <c r="P21" s="2011"/>
      <c r="Q21" s="2011"/>
      <c r="R21" s="2011"/>
      <c r="S21" s="2017"/>
      <c r="T21" s="2060" t="s">
        <v>2089</v>
      </c>
      <c r="U21" s="2061"/>
      <c r="V21" s="2061"/>
      <c r="W21" s="2061"/>
      <c r="X21" s="2066" t="s">
        <v>2090</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2094</v>
      </c>
      <c r="B23" s="2014"/>
      <c r="C23" s="2014"/>
      <c r="D23" s="2014"/>
      <c r="E23" s="2014"/>
      <c r="F23" s="2014"/>
      <c r="G23" s="2014"/>
      <c r="H23" s="2015"/>
      <c r="T23" s="1996" t="s">
        <v>2095</v>
      </c>
      <c r="U23" s="2059"/>
      <c r="V23" s="2059"/>
      <c r="W23" s="2059"/>
      <c r="X23" s="2063">
        <v>44530</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t="s">
        <v>2086</v>
      </c>
      <c r="B25" s="1961"/>
      <c r="C25" s="1961"/>
      <c r="D25" s="1961"/>
      <c r="E25" s="1961"/>
      <c r="F25" s="1961"/>
      <c r="G25" s="1961"/>
      <c r="H25" s="1962"/>
      <c r="I25" s="113"/>
      <c r="J25" s="1985"/>
      <c r="K25" s="1985"/>
      <c r="L25" s="1985"/>
      <c r="M25" s="1985"/>
      <c r="N25" s="1985"/>
      <c r="O25" s="1985"/>
      <c r="P25" s="1985"/>
      <c r="Q25" s="1985"/>
      <c r="R25" s="1985"/>
      <c r="S25" s="1986"/>
      <c r="T25" s="2056" t="s">
        <v>2091</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2093</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2094</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2081</v>
      </c>
      <c r="B42" s="1980"/>
      <c r="C42" s="1981"/>
      <c r="D42" s="1979" t="s">
        <v>2082</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30" zoomScaleNormal="130" workbookViewId="0">
      <selection activeCell="C5" sqref="C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4" t="s">
        <v>1905</v>
      </c>
      <c r="B2" s="1550" t="s">
        <v>2037</v>
      </c>
      <c r="C2" s="715" t="s">
        <v>1910</v>
      </c>
      <c r="D2" s="715" t="s">
        <v>1911</v>
      </c>
      <c r="E2" s="715" t="s">
        <v>1912</v>
      </c>
      <c r="F2" s="715" t="s">
        <v>1913</v>
      </c>
    </row>
    <row r="3" spans="1:6" ht="12" customHeight="1" x14ac:dyDescent="0.2">
      <c r="A3" s="2205"/>
      <c r="B3" s="1547"/>
      <c r="C3" s="1548"/>
      <c r="D3" s="1549" t="s">
        <v>274</v>
      </c>
      <c r="E3" s="1548"/>
      <c r="F3" s="1549" t="s">
        <v>275</v>
      </c>
    </row>
    <row r="4" spans="1:6" ht="13.7" customHeight="1" x14ac:dyDescent="0.2">
      <c r="A4" s="716" t="s">
        <v>1217</v>
      </c>
      <c r="B4" s="1771">
        <f>'Revenues 9-14'!C5</f>
        <v>3064916</v>
      </c>
      <c r="C4" s="1546"/>
      <c r="D4" s="1774">
        <f>B4-C4</f>
        <v>3064916</v>
      </c>
      <c r="E4" s="1546">
        <v>3055939</v>
      </c>
      <c r="F4" s="1774">
        <f>E4-C4</f>
        <v>3055939</v>
      </c>
    </row>
    <row r="5" spans="1:6" ht="13.7" customHeight="1" x14ac:dyDescent="0.2">
      <c r="A5" s="716" t="s">
        <v>925</v>
      </c>
      <c r="B5" s="1772">
        <f>'Revenues 9-14'!D5</f>
        <v>835886</v>
      </c>
      <c r="C5" s="585"/>
      <c r="D5" s="1775">
        <f t="shared" ref="D5:D18" si="0">B5-C5</f>
        <v>835886</v>
      </c>
      <c r="E5" s="585">
        <v>833438</v>
      </c>
      <c r="F5" s="1775">
        <f>E5-C5</f>
        <v>833438</v>
      </c>
    </row>
    <row r="6" spans="1:6" ht="13.7" customHeight="1" x14ac:dyDescent="0.2">
      <c r="A6" s="716" t="s">
        <v>431</v>
      </c>
      <c r="B6" s="1772">
        <f>'Revenues 9-14'!E5</f>
        <v>732072</v>
      </c>
      <c r="C6" s="585"/>
      <c r="D6" s="1775">
        <f t="shared" si="0"/>
        <v>732072</v>
      </c>
      <c r="E6" s="585">
        <v>737215</v>
      </c>
      <c r="F6" s="1775">
        <f t="shared" ref="F6:F18" si="1">E6-C6</f>
        <v>737215</v>
      </c>
    </row>
    <row r="7" spans="1:6" ht="13.7" customHeight="1" x14ac:dyDescent="0.2">
      <c r="A7" s="716" t="s">
        <v>157</v>
      </c>
      <c r="B7" s="1772">
        <f>'Revenues 9-14'!F5</f>
        <v>390080</v>
      </c>
      <c r="C7" s="585"/>
      <c r="D7" s="1775">
        <f t="shared" si="0"/>
        <v>390080</v>
      </c>
      <c r="E7" s="585">
        <v>388938</v>
      </c>
      <c r="F7" s="1775">
        <f t="shared" si="1"/>
        <v>388938</v>
      </c>
    </row>
    <row r="8" spans="1:6" ht="13.7" customHeight="1" x14ac:dyDescent="0.2">
      <c r="A8" s="716" t="s">
        <v>1241</v>
      </c>
      <c r="B8" s="1772">
        <f>'Revenues 9-14'!G5</f>
        <v>149870</v>
      </c>
      <c r="C8" s="585"/>
      <c r="D8" s="1775">
        <f t="shared" si="0"/>
        <v>149870</v>
      </c>
      <c r="E8" s="585">
        <v>120004</v>
      </c>
      <c r="F8" s="1775">
        <f t="shared" si="1"/>
        <v>120004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55726</v>
      </c>
      <c r="C10" s="585"/>
      <c r="D10" s="1775">
        <f t="shared" si="0"/>
        <v>55726</v>
      </c>
      <c r="E10" s="585">
        <v>55563</v>
      </c>
      <c r="F10" s="1775">
        <f t="shared" si="1"/>
        <v>55563</v>
      </c>
    </row>
    <row r="11" spans="1:6" x14ac:dyDescent="0.2">
      <c r="A11" s="716" t="s">
        <v>429</v>
      </c>
      <c r="B11" s="1772">
        <f>'Revenues 9-14'!J5</f>
        <v>414278</v>
      </c>
      <c r="C11" s="585"/>
      <c r="D11" s="1775">
        <f t="shared" si="0"/>
        <v>414278</v>
      </c>
      <c r="E11" s="585">
        <v>420008</v>
      </c>
      <c r="F11" s="1775">
        <f t="shared" si="1"/>
        <v>420008</v>
      </c>
    </row>
    <row r="12" spans="1:6" ht="13.7" customHeight="1" x14ac:dyDescent="0.2">
      <c r="A12" s="716" t="s">
        <v>159</v>
      </c>
      <c r="B12" s="1772">
        <f>'Revenues 9-14'!K5</f>
        <v>55726</v>
      </c>
      <c r="C12" s="585"/>
      <c r="D12" s="1775">
        <f t="shared" si="0"/>
        <v>55726</v>
      </c>
      <c r="E12" s="585">
        <v>55563</v>
      </c>
      <c r="F12" s="1775">
        <f t="shared" si="1"/>
        <v>55563</v>
      </c>
    </row>
    <row r="13" spans="1:6" ht="13.7" customHeight="1" x14ac:dyDescent="0.2">
      <c r="A13" s="716" t="s">
        <v>993</v>
      </c>
      <c r="B13" s="1772">
        <f>SUM('Revenues 9-14'!C6:D6)</f>
        <v>55726</v>
      </c>
      <c r="C13" s="585"/>
      <c r="D13" s="1775">
        <f t="shared" si="0"/>
        <v>55726</v>
      </c>
      <c r="E13" s="585">
        <v>55563</v>
      </c>
      <c r="F13" s="1775">
        <f t="shared" si="1"/>
        <v>55563</v>
      </c>
    </row>
    <row r="14" spans="1:6" ht="13.7" customHeight="1" x14ac:dyDescent="0.2">
      <c r="A14" s="716" t="s">
        <v>430</v>
      </c>
      <c r="B14" s="1772">
        <f>SUM('Revenues 9-14'!C7:D7,'Revenues 9-14'!F7:H7)</f>
        <v>44580</v>
      </c>
      <c r="C14" s="585"/>
      <c r="D14" s="1775">
        <f t="shared" si="0"/>
        <v>44580</v>
      </c>
      <c r="E14" s="585">
        <v>44450</v>
      </c>
      <c r="F14" s="1775">
        <f t="shared" si="1"/>
        <v>44450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149870</v>
      </c>
      <c r="C16" s="585"/>
      <c r="D16" s="1775">
        <f t="shared" si="0"/>
        <v>149870</v>
      </c>
      <c r="E16" s="585">
        <v>120004</v>
      </c>
      <c r="F16" s="1775">
        <f t="shared" si="1"/>
        <v>120004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5948730</v>
      </c>
      <c r="C19" s="1773">
        <f>SUM(C4:C18)</f>
        <v>0</v>
      </c>
      <c r="D19" s="1773">
        <f>SUM(D4:D18)</f>
        <v>5948730</v>
      </c>
      <c r="E19" s="1773">
        <f>SUM(E4:E18)</f>
        <v>5886685</v>
      </c>
      <c r="F19" s="1773">
        <f>SUM(F4:F18)</f>
        <v>5886685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4"/>
      <c r="C1" s="722"/>
    </row>
    <row r="2" spans="1:7" ht="33.75" x14ac:dyDescent="0.2">
      <c r="A2" s="2231" t="s">
        <v>1905</v>
      </c>
      <c r="B2" s="2232"/>
      <c r="C2" s="1909" t="s">
        <v>2038</v>
      </c>
      <c r="D2" s="724" t="s">
        <v>2045</v>
      </c>
      <c r="E2" s="724" t="s">
        <v>2046</v>
      </c>
      <c r="F2" s="1909" t="s">
        <v>2039</v>
      </c>
    </row>
    <row r="3" spans="1:7" ht="15.75" customHeight="1" x14ac:dyDescent="0.2">
      <c r="A3" s="2233" t="s">
        <v>1176</v>
      </c>
      <c r="B3" s="2234"/>
      <c r="C3" s="2227"/>
      <c r="D3" s="2228"/>
      <c r="E3" s="2228"/>
      <c r="F3" s="2229"/>
    </row>
    <row r="4" spans="1:7" ht="12.75" customHeight="1" thickBot="1" x14ac:dyDescent="0.25">
      <c r="A4" s="2221" t="s">
        <v>651</v>
      </c>
      <c r="B4" s="2222"/>
      <c r="C4" s="581"/>
      <c r="D4" s="581"/>
      <c r="E4" s="581"/>
      <c r="F4" s="1777">
        <f>SUM(C4+D4)-E4</f>
        <v>0</v>
      </c>
    </row>
    <row r="5" spans="1:7" ht="15.75" customHeight="1" thickTop="1" x14ac:dyDescent="0.2">
      <c r="A5" s="2225" t="s">
        <v>1172</v>
      </c>
      <c r="B5" s="2220"/>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7" t="s">
        <v>652</v>
      </c>
      <c r="B15" s="2218"/>
      <c r="C15" s="1777">
        <f>SUM(C6:C14)</f>
        <v>0</v>
      </c>
      <c r="D15" s="1777">
        <f>SUM(D6:D14)</f>
        <v>0</v>
      </c>
      <c r="E15" s="1777">
        <f>SUM(E6:E14)</f>
        <v>0</v>
      </c>
      <c r="F15" s="1777">
        <f>SUM(F6:F14)</f>
        <v>0</v>
      </c>
      <c r="G15" s="552"/>
    </row>
    <row r="16" spans="1:7" s="202" customFormat="1" ht="15.75" customHeight="1" thickTop="1" x14ac:dyDescent="0.2">
      <c r="A16" s="2230" t="s">
        <v>1173</v>
      </c>
      <c r="B16" s="2220"/>
      <c r="C16" s="2214"/>
      <c r="D16" s="2215"/>
      <c r="E16" s="2215"/>
      <c r="F16" s="2216"/>
    </row>
    <row r="17" spans="1:11" ht="12.75" customHeight="1" thickBot="1" x14ac:dyDescent="0.25">
      <c r="A17" s="2212" t="s">
        <v>66</v>
      </c>
      <c r="B17" s="2213"/>
      <c r="C17" s="727"/>
      <c r="D17" s="585"/>
      <c r="E17" s="727"/>
      <c r="F17" s="1777">
        <f>SUM(C17+D17)-E17</f>
        <v>0</v>
      </c>
    </row>
    <row r="18" spans="1:11" ht="12.75" customHeight="1" thickTop="1" thickBot="1" x14ac:dyDescent="0.25">
      <c r="A18" s="2212" t="s">
        <v>6</v>
      </c>
      <c r="B18" s="2213"/>
      <c r="C18" s="727"/>
      <c r="D18" s="585"/>
      <c r="E18" s="727"/>
      <c r="F18" s="1777">
        <f>SUM(C18+D18)-E18</f>
        <v>0</v>
      </c>
    </row>
    <row r="19" spans="1:11" ht="12.75" customHeight="1" thickTop="1" thickBot="1" x14ac:dyDescent="0.25">
      <c r="A19" s="2212" t="s">
        <v>406</v>
      </c>
      <c r="B19" s="2213"/>
      <c r="C19" s="727"/>
      <c r="D19" s="585"/>
      <c r="E19" s="727"/>
      <c r="F19" s="1777">
        <f>SUM(C19+D19)-E19</f>
        <v>0</v>
      </c>
    </row>
    <row r="20" spans="1:11" ht="12.75" customHeight="1" thickTop="1" thickBot="1" x14ac:dyDescent="0.25">
      <c r="A20" s="2212" t="s">
        <v>468</v>
      </c>
      <c r="B20" s="2213"/>
      <c r="C20" s="727"/>
      <c r="D20" s="585"/>
      <c r="E20" s="727"/>
      <c r="F20" s="1777">
        <f>SUM(C20+D20)-E20</f>
        <v>0</v>
      </c>
    </row>
    <row r="21" spans="1:11" ht="14.25" thickTop="1" thickBot="1" x14ac:dyDescent="0.25">
      <c r="A21" s="2217" t="s">
        <v>653</v>
      </c>
      <c r="B21" s="2218"/>
      <c r="C21" s="1777">
        <f>SUM(C17:C20)</f>
        <v>0</v>
      </c>
      <c r="D21" s="1777">
        <f>SUM(D17:D20)</f>
        <v>0</v>
      </c>
      <c r="E21" s="1777">
        <f>SUM(E17:E20)</f>
        <v>0</v>
      </c>
      <c r="F21" s="1777">
        <f>SUM(F17:F20)</f>
        <v>0</v>
      </c>
      <c r="G21" s="552"/>
    </row>
    <row r="22" spans="1:11" ht="15.75" customHeight="1" thickTop="1" x14ac:dyDescent="0.2">
      <c r="A22" s="2219" t="s">
        <v>1174</v>
      </c>
      <c r="B22" s="2220"/>
      <c r="C22" s="2214"/>
      <c r="D22" s="2215"/>
      <c r="E22" s="2215"/>
      <c r="F22" s="2216"/>
    </row>
    <row r="23" spans="1:11" ht="13.5" thickBot="1" x14ac:dyDescent="0.25">
      <c r="A23" s="2221" t="s">
        <v>654</v>
      </c>
      <c r="B23" s="2222"/>
      <c r="C23" s="581"/>
      <c r="D23" s="581"/>
      <c r="E23" s="581"/>
      <c r="F23" s="1777">
        <f>SUM(C23+D23)-E23</f>
        <v>0</v>
      </c>
      <c r="G23" s="552"/>
    </row>
    <row r="24" spans="1:11" ht="15.75" customHeight="1" thickTop="1" x14ac:dyDescent="0.2">
      <c r="A24" s="2219" t="s">
        <v>1175</v>
      </c>
      <c r="B24" s="2220"/>
      <c r="C24" s="2214"/>
      <c r="D24" s="2215"/>
      <c r="E24" s="2215"/>
      <c r="F24" s="2216"/>
    </row>
    <row r="25" spans="1:11" ht="13.5" thickBot="1" x14ac:dyDescent="0.25">
      <c r="A25" s="2221" t="s">
        <v>655</v>
      </c>
      <c r="B25" s="2222"/>
      <c r="C25" s="581"/>
      <c r="D25" s="581"/>
      <c r="E25" s="581"/>
      <c r="F25" s="1777">
        <f>SUM(C25+D25)-E25</f>
        <v>0</v>
      </c>
      <c r="G25" s="552"/>
    </row>
    <row r="26" spans="1:11" ht="15.75" customHeight="1" thickTop="1" x14ac:dyDescent="0.2">
      <c r="A26" s="2225" t="s">
        <v>678</v>
      </c>
      <c r="B26" s="2220"/>
      <c r="C26" s="728"/>
      <c r="D26" s="728"/>
      <c r="E26" s="728"/>
      <c r="F26" s="729"/>
    </row>
    <row r="27" spans="1:11" ht="13.5" thickBot="1" x14ac:dyDescent="0.25">
      <c r="A27" s="2217" t="s">
        <v>1130</v>
      </c>
      <c r="B27" s="2218"/>
      <c r="C27" s="585"/>
      <c r="D27" s="585"/>
      <c r="E27" s="585"/>
      <c r="F27" s="1777">
        <f>SUM(C27+D27)-E27</f>
        <v>0</v>
      </c>
      <c r="G27" s="552"/>
    </row>
    <row r="28" spans="1:11" ht="7.5" customHeight="1" thickTop="1" x14ac:dyDescent="0.2">
      <c r="A28" s="594"/>
    </row>
    <row r="29" spans="1:11" ht="23.25" customHeight="1" x14ac:dyDescent="0.2">
      <c r="A29" s="2223" t="s">
        <v>603</v>
      </c>
      <c r="B29" s="2224"/>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2092</v>
      </c>
      <c r="B31" s="734">
        <v>39629</v>
      </c>
      <c r="C31" s="735">
        <v>1800000</v>
      </c>
      <c r="D31" s="736">
        <v>1</v>
      </c>
      <c r="E31" s="735">
        <v>435000</v>
      </c>
      <c r="F31" s="735"/>
      <c r="G31" s="735"/>
      <c r="H31" s="735">
        <v>215000</v>
      </c>
      <c r="I31" s="1778">
        <f>((E31+F31)-H31)+G31</f>
        <v>220000</v>
      </c>
      <c r="J31" s="735">
        <v>220000</v>
      </c>
      <c r="K31" s="737"/>
    </row>
    <row r="32" spans="1:11" ht="12" customHeight="1" x14ac:dyDescent="0.2">
      <c r="A32" s="733" t="s">
        <v>2092</v>
      </c>
      <c r="B32" s="734">
        <v>42496</v>
      </c>
      <c r="C32" s="735">
        <v>9675000</v>
      </c>
      <c r="D32" s="736">
        <v>6</v>
      </c>
      <c r="E32" s="735">
        <v>9675000</v>
      </c>
      <c r="F32" s="735"/>
      <c r="G32" s="735"/>
      <c r="H32" s="735">
        <v>180000</v>
      </c>
      <c r="I32" s="1778">
        <f>((E32+F32)-H32)+G32</f>
        <v>9495000</v>
      </c>
      <c r="J32" s="735">
        <v>9495000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11475000</v>
      </c>
      <c r="D49" s="746"/>
      <c r="E49" s="1778">
        <f t="shared" ref="E49:J49" si="2">SUM(E31:E48)</f>
        <v>10110000</v>
      </c>
      <c r="F49" s="1778">
        <f t="shared" si="2"/>
        <v>0</v>
      </c>
      <c r="G49" s="1778">
        <f t="shared" si="2"/>
        <v>0</v>
      </c>
      <c r="H49" s="1778">
        <f t="shared" si="2"/>
        <v>395000</v>
      </c>
      <c r="I49" s="1778">
        <f t="shared" si="2"/>
        <v>9715000</v>
      </c>
      <c r="J49" s="1778">
        <f t="shared" si="2"/>
        <v>9715000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6" t="s">
        <v>605</v>
      </c>
      <c r="C52" s="2207"/>
      <c r="D52" s="2207"/>
      <c r="E52" s="750" t="s">
        <v>900</v>
      </c>
      <c r="F52" s="2208"/>
      <c r="G52" s="2209"/>
      <c r="H52" s="737"/>
      <c r="I52" s="737"/>
      <c r="J52" s="747"/>
    </row>
    <row r="53" spans="1:11" ht="11.25" customHeight="1" x14ac:dyDescent="0.2">
      <c r="A53" s="751" t="s">
        <v>969</v>
      </c>
      <c r="B53" s="752" t="s">
        <v>1008</v>
      </c>
      <c r="C53" s="747"/>
      <c r="D53" s="738"/>
      <c r="E53" s="750" t="s">
        <v>518</v>
      </c>
      <c r="F53" s="2210"/>
      <c r="G53" s="2211"/>
      <c r="H53" s="737"/>
      <c r="I53" s="737"/>
      <c r="J53" s="747"/>
    </row>
    <row r="54" spans="1:11" ht="11.25" customHeight="1" x14ac:dyDescent="0.2">
      <c r="A54" s="753" t="s">
        <v>970</v>
      </c>
      <c r="B54" s="748" t="s">
        <v>1009</v>
      </c>
      <c r="C54" s="747"/>
      <c r="D54" s="738"/>
      <c r="E54" s="750" t="s">
        <v>519</v>
      </c>
      <c r="F54" s="2210"/>
      <c r="G54" s="221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911</v>
      </c>
      <c r="B1" s="2236"/>
      <c r="C1" s="2236"/>
      <c r="D1" s="2236"/>
      <c r="E1" s="2236"/>
      <c r="F1" s="2236"/>
      <c r="G1" s="2237"/>
      <c r="H1" s="1552"/>
      <c r="I1" s="761"/>
      <c r="J1" s="433"/>
    </row>
    <row r="2" spans="1:11" ht="26.25" x14ac:dyDescent="0.2">
      <c r="A2" s="2254" t="s">
        <v>1776</v>
      </c>
      <c r="B2" s="2255"/>
      <c r="C2" s="2255"/>
      <c r="D2" s="2255"/>
      <c r="E2" s="2256"/>
      <c r="F2" s="762" t="s">
        <v>960</v>
      </c>
      <c r="G2" s="763" t="s">
        <v>1773</v>
      </c>
      <c r="H2" s="763" t="s">
        <v>430</v>
      </c>
      <c r="I2" s="763" t="s">
        <v>1220</v>
      </c>
      <c r="J2" s="763" t="s">
        <v>1919</v>
      </c>
      <c r="K2" s="763" t="s">
        <v>140</v>
      </c>
    </row>
    <row r="3" spans="1:11" x14ac:dyDescent="0.2">
      <c r="A3" s="2257" t="s">
        <v>1698</v>
      </c>
      <c r="B3" s="2258"/>
      <c r="C3" s="2258"/>
      <c r="D3" s="2258"/>
      <c r="E3" s="2259"/>
      <c r="F3" s="764"/>
      <c r="G3" s="765"/>
      <c r="H3" s="765"/>
      <c r="I3" s="765"/>
      <c r="J3" s="766"/>
      <c r="K3" s="766"/>
    </row>
    <row r="4" spans="1:11" x14ac:dyDescent="0.2">
      <c r="A4" s="2260" t="s">
        <v>387</v>
      </c>
      <c r="B4" s="2261"/>
      <c r="C4" s="2261"/>
      <c r="D4" s="2261"/>
      <c r="E4" s="2207"/>
      <c r="F4" s="767"/>
      <c r="G4" s="768"/>
      <c r="H4" s="769"/>
      <c r="I4" s="768"/>
      <c r="J4" s="770"/>
      <c r="K4" s="770"/>
    </row>
    <row r="5" spans="1:11" x14ac:dyDescent="0.2">
      <c r="A5" s="2238" t="s">
        <v>1129</v>
      </c>
      <c r="B5" s="2239"/>
      <c r="C5" s="2239"/>
      <c r="D5" s="2239"/>
      <c r="E5" s="2240"/>
      <c r="F5" s="771" t="s">
        <v>903</v>
      </c>
      <c r="G5" s="772"/>
      <c r="H5" s="765">
        <v>44580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7500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8" t="s">
        <v>1920</v>
      </c>
      <c r="B10" s="2239"/>
      <c r="C10" s="2239"/>
      <c r="D10" s="2239"/>
      <c r="E10" s="2241"/>
      <c r="F10" s="784" t="s">
        <v>917</v>
      </c>
      <c r="G10" s="783"/>
      <c r="H10" s="785"/>
      <c r="I10" s="765"/>
      <c r="J10" s="766"/>
      <c r="K10" s="766"/>
    </row>
    <row r="11" spans="1:11" x14ac:dyDescent="0.2">
      <c r="A11" s="2238" t="s">
        <v>162</v>
      </c>
      <c r="B11" s="2239"/>
      <c r="C11" s="2239"/>
      <c r="D11" s="2239"/>
      <c r="E11" s="2240"/>
      <c r="F11" s="771" t="s">
        <v>907</v>
      </c>
      <c r="G11" s="772"/>
      <c r="H11" s="765"/>
      <c r="I11" s="765"/>
      <c r="J11" s="766"/>
      <c r="K11" s="774"/>
    </row>
    <row r="12" spans="1:11" ht="13.5" thickBot="1" x14ac:dyDescent="0.25">
      <c r="A12" s="2265" t="s">
        <v>961</v>
      </c>
      <c r="B12" s="2266"/>
      <c r="C12" s="2266"/>
      <c r="D12" s="2266"/>
      <c r="E12" s="2267"/>
      <c r="F12" s="1779"/>
      <c r="G12" s="1780">
        <f>SUM(G5:G11)</f>
        <v>0</v>
      </c>
      <c r="H12" s="1780">
        <f>SUM(H5:H11)</f>
        <v>44580</v>
      </c>
      <c r="I12" s="1780">
        <f>SUM(I5:I11)</f>
        <v>0</v>
      </c>
      <c r="J12" s="1780">
        <f>SUM(J5:J11)</f>
        <v>0</v>
      </c>
      <c r="K12" s="1780">
        <f>SUM(K5:K11)</f>
        <v>7500</v>
      </c>
    </row>
    <row r="13" spans="1:11" ht="13.5" thickTop="1" x14ac:dyDescent="0.2">
      <c r="A13" s="2262" t="s">
        <v>388</v>
      </c>
      <c r="B13" s="2263"/>
      <c r="C13" s="2263"/>
      <c r="D13" s="2263"/>
      <c r="E13" s="2264"/>
      <c r="F13" s="786"/>
      <c r="G13" s="787"/>
      <c r="H13" s="788"/>
      <c r="I13" s="789"/>
      <c r="J13" s="789"/>
      <c r="K13" s="789"/>
    </row>
    <row r="14" spans="1:11" x14ac:dyDescent="0.2">
      <c r="A14" s="2245" t="s">
        <v>476</v>
      </c>
      <c r="B14" s="2245"/>
      <c r="C14" s="2245"/>
      <c r="D14" s="2245"/>
      <c r="E14" s="2246"/>
      <c r="F14" s="790" t="s">
        <v>909</v>
      </c>
      <c r="G14" s="783"/>
      <c r="H14" s="765">
        <v>44580</v>
      </c>
      <c r="I14" s="772"/>
      <c r="J14" s="774"/>
      <c r="K14" s="766">
        <v>7500</v>
      </c>
    </row>
    <row r="15" spans="1:11" x14ac:dyDescent="0.2">
      <c r="A15" s="2239" t="s">
        <v>4</v>
      </c>
      <c r="B15" s="2239"/>
      <c r="C15" s="2239"/>
      <c r="D15" s="2239"/>
      <c r="E15" s="2240"/>
      <c r="F15" s="790" t="s">
        <v>910</v>
      </c>
      <c r="G15" s="772"/>
      <c r="H15" s="765"/>
      <c r="I15" s="765"/>
      <c r="J15" s="766"/>
      <c r="K15" s="766"/>
    </row>
    <row r="16" spans="1:11" x14ac:dyDescent="0.2">
      <c r="A16" s="2239" t="s">
        <v>316</v>
      </c>
      <c r="B16" s="2239"/>
      <c r="C16" s="2239"/>
      <c r="D16" s="2239"/>
      <c r="E16" s="2240"/>
      <c r="F16" s="790" t="s">
        <v>980</v>
      </c>
      <c r="G16" s="773"/>
      <c r="H16" s="768"/>
      <c r="I16" s="768"/>
      <c r="J16" s="770"/>
      <c r="K16" s="770"/>
    </row>
    <row r="17" spans="1:11" x14ac:dyDescent="0.2">
      <c r="A17" s="2270" t="s">
        <v>992</v>
      </c>
      <c r="B17" s="2270"/>
      <c r="C17" s="2270"/>
      <c r="D17" s="2270"/>
      <c r="E17" s="2271"/>
      <c r="F17" s="791"/>
      <c r="G17" s="792"/>
      <c r="H17" s="793"/>
      <c r="I17" s="793"/>
      <c r="J17" s="794"/>
      <c r="K17" s="795"/>
    </row>
    <row r="18" spans="1:11" x14ac:dyDescent="0.2">
      <c r="A18" s="2249" t="s">
        <v>386</v>
      </c>
      <c r="B18" s="2250"/>
      <c r="C18" s="2250"/>
      <c r="D18" s="2250"/>
      <c r="E18" s="2251"/>
      <c r="F18" s="790" t="s">
        <v>989</v>
      </c>
      <c r="G18" s="783"/>
      <c r="H18" s="783"/>
      <c r="I18" s="783"/>
      <c r="J18" s="766"/>
      <c r="K18" s="796"/>
    </row>
    <row r="19" spans="1:11" ht="21.75" customHeight="1" x14ac:dyDescent="0.2">
      <c r="A19" s="2247" t="s">
        <v>1916</v>
      </c>
      <c r="B19" s="2247"/>
      <c r="C19" s="2247"/>
      <c r="D19" s="2247"/>
      <c r="E19" s="2248"/>
      <c r="F19" s="790" t="s">
        <v>990</v>
      </c>
      <c r="G19" s="783"/>
      <c r="H19" s="783"/>
      <c r="I19" s="783"/>
      <c r="J19" s="766"/>
      <c r="K19" s="796"/>
    </row>
    <row r="20" spans="1:11" x14ac:dyDescent="0.2">
      <c r="A20" s="2249" t="s">
        <v>1921</v>
      </c>
      <c r="B20" s="2250"/>
      <c r="C20" s="2250"/>
      <c r="D20" s="2250"/>
      <c r="E20" s="2251"/>
      <c r="F20" s="790" t="s">
        <v>991</v>
      </c>
      <c r="G20" s="783"/>
      <c r="H20" s="783"/>
      <c r="I20" s="783"/>
      <c r="J20" s="766"/>
      <c r="K20" s="796"/>
    </row>
    <row r="21" spans="1:11" ht="13.5" thickBot="1" x14ac:dyDescent="0.25">
      <c r="A21" s="2268" t="s">
        <v>659</v>
      </c>
      <c r="B21" s="2268"/>
      <c r="C21" s="2268"/>
      <c r="D21" s="2268"/>
      <c r="E21" s="2268"/>
      <c r="F21" s="1781"/>
      <c r="G21" s="793"/>
      <c r="H21" s="797"/>
      <c r="I21" s="797"/>
      <c r="J21" s="1782">
        <f>SUM(J18:J20)</f>
        <v>0</v>
      </c>
      <c r="K21" s="794"/>
    </row>
    <row r="22" spans="1:11" ht="13.5" thickTop="1" x14ac:dyDescent="0.2">
      <c r="A22" s="2239" t="s">
        <v>1922</v>
      </c>
      <c r="B22" s="2239"/>
      <c r="C22" s="2239"/>
      <c r="D22" s="2239"/>
      <c r="E22" s="2240"/>
      <c r="F22" s="790" t="s">
        <v>917</v>
      </c>
      <c r="G22" s="783"/>
      <c r="H22" s="765"/>
      <c r="I22" s="765"/>
      <c r="J22" s="798"/>
      <c r="K22" s="766"/>
    </row>
    <row r="23" spans="1:11" ht="13.5" thickBot="1" x14ac:dyDescent="0.25">
      <c r="A23" s="2269" t="s">
        <v>962</v>
      </c>
      <c r="B23" s="2268"/>
      <c r="C23" s="2268"/>
      <c r="D23" s="2268"/>
      <c r="E23" s="2268"/>
      <c r="F23" s="1783"/>
      <c r="G23" s="1780">
        <f>SUM(G14:G16,G21,G22)</f>
        <v>0</v>
      </c>
      <c r="H23" s="1780">
        <f>SUM(H14:H16,H21,H22)</f>
        <v>44580</v>
      </c>
      <c r="I23" s="1780">
        <f>SUM(I14:I16,I21,I22)</f>
        <v>0</v>
      </c>
      <c r="J23" s="1780">
        <f>SUM(J14:J16,J21,J22)</f>
        <v>0</v>
      </c>
      <c r="K23" s="1780">
        <f>SUM(K14:K16,K21,K22)</f>
        <v>7500</v>
      </c>
    </row>
    <row r="24" spans="1:11" ht="14.25" thickTop="1" thickBot="1" x14ac:dyDescent="0.25">
      <c r="A24" s="2269" t="s">
        <v>2026</v>
      </c>
      <c r="B24" s="2268"/>
      <c r="C24" s="2268"/>
      <c r="D24" s="2268"/>
      <c r="E24" s="2268"/>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2"/>
      <c r="I31" s="2243"/>
      <c r="J31" s="2243"/>
      <c r="K31" s="2243"/>
    </row>
    <row r="32" spans="1:11" x14ac:dyDescent="0.2">
      <c r="A32" s="810"/>
      <c r="B32" s="237"/>
      <c r="C32" s="237"/>
      <c r="D32" s="237"/>
      <c r="E32" s="806"/>
      <c r="F32" s="812" t="s">
        <v>561</v>
      </c>
      <c r="G32" s="765"/>
      <c r="H32" s="2244"/>
      <c r="I32" s="2243"/>
      <c r="J32" s="2243"/>
      <c r="K32" s="2243"/>
    </row>
    <row r="33" spans="1:11" ht="1.5" customHeight="1" x14ac:dyDescent="0.2">
      <c r="A33" s="813" t="s">
        <v>1231</v>
      </c>
      <c r="B33" s="364"/>
      <c r="C33" s="364"/>
      <c r="D33" s="364"/>
      <c r="E33" s="364"/>
      <c r="F33" s="364"/>
      <c r="G33" s="814"/>
      <c r="H33" s="2244"/>
      <c r="I33" s="2243"/>
      <c r="J33" s="2243"/>
      <c r="K33" s="224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52"/>
      <c r="C41" s="2252"/>
      <c r="D41" s="2252"/>
      <c r="E41" s="2252"/>
      <c r="F41" s="225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4" activeCellId="2" sqref="K12 K13 K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2035</v>
      </c>
      <c r="B1" s="2275"/>
      <c r="C1" s="2276"/>
      <c r="D1" s="827"/>
      <c r="E1" s="828"/>
      <c r="F1" s="828"/>
      <c r="G1" s="829"/>
      <c r="H1" s="830"/>
      <c r="I1" s="831"/>
      <c r="J1" s="2272"/>
      <c r="K1" s="2273"/>
      <c r="L1" s="2273"/>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23296</v>
      </c>
      <c r="D5" s="842"/>
      <c r="E5" s="842"/>
      <c r="F5" s="1782">
        <f>(C5+D5)-E5</f>
        <v>23296</v>
      </c>
      <c r="G5" s="838"/>
      <c r="H5" s="843"/>
      <c r="I5" s="843"/>
      <c r="J5" s="843"/>
      <c r="K5" s="794"/>
      <c r="L5" s="1791">
        <f>F5-K5</f>
        <v>23296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9958941</v>
      </c>
      <c r="D8" s="845">
        <f>4814761+5130245</f>
        <v>9945006</v>
      </c>
      <c r="E8" s="845"/>
      <c r="F8" s="1782">
        <f>(C8+D8)-E8</f>
        <v>19903947</v>
      </c>
      <c r="G8" s="844">
        <v>50</v>
      </c>
      <c r="H8" s="766">
        <v>5172364</v>
      </c>
      <c r="I8" s="766">
        <v>348358</v>
      </c>
      <c r="J8" s="766"/>
      <c r="K8" s="1791">
        <f>(H8+I8)-J8</f>
        <v>5520722</v>
      </c>
      <c r="L8" s="1791">
        <f>F8-K8</f>
        <v>14383225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157422</v>
      </c>
      <c r="D10" s="847"/>
      <c r="E10" s="847">
        <v>19697</v>
      </c>
      <c r="F10" s="1786">
        <f>(C10+D10)-E10</f>
        <v>137725</v>
      </c>
      <c r="G10" s="844">
        <v>20</v>
      </c>
      <c r="H10" s="848">
        <v>100002</v>
      </c>
      <c r="I10" s="848">
        <v>6887</v>
      </c>
      <c r="J10" s="848">
        <v>19697</v>
      </c>
      <c r="K10" s="1791">
        <f>(H10+I10)-J10</f>
        <v>87192</v>
      </c>
      <c r="L10" s="1791">
        <f>F10-K10</f>
        <v>50533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907822</v>
      </c>
      <c r="D12" s="845">
        <v>19443</v>
      </c>
      <c r="E12" s="845">
        <v>183767</v>
      </c>
      <c r="F12" s="1782">
        <f>(C12+D12)-E12</f>
        <v>743498</v>
      </c>
      <c r="G12" s="844">
        <v>10</v>
      </c>
      <c r="H12" s="766">
        <v>553051</v>
      </c>
      <c r="I12" s="766">
        <v>78295</v>
      </c>
      <c r="J12" s="766">
        <v>183767</v>
      </c>
      <c r="K12" s="1791">
        <f>(H12+I12)-J12</f>
        <v>447579</v>
      </c>
      <c r="L12" s="1791">
        <f>F12-K12</f>
        <v>295919</v>
      </c>
    </row>
    <row r="13" spans="1:14" ht="14.25" thickTop="1" thickBot="1" x14ac:dyDescent="0.25">
      <c r="A13" s="849" t="s">
        <v>1184</v>
      </c>
      <c r="B13" s="841">
        <v>252</v>
      </c>
      <c r="C13" s="845">
        <v>279093</v>
      </c>
      <c r="D13" s="845"/>
      <c r="E13" s="845"/>
      <c r="F13" s="1782">
        <f>(C13+D13)-E13</f>
        <v>279093</v>
      </c>
      <c r="G13" s="844">
        <v>5</v>
      </c>
      <c r="H13" s="766">
        <v>278489</v>
      </c>
      <c r="I13" s="766">
        <v>69</v>
      </c>
      <c r="J13" s="766"/>
      <c r="K13" s="1791">
        <f>(H13+I13)-J13</f>
        <v>278558</v>
      </c>
      <c r="L13" s="1791">
        <f>F13-K13</f>
        <v>535</v>
      </c>
    </row>
    <row r="14" spans="1:14" ht="14.25" thickTop="1" thickBot="1" x14ac:dyDescent="0.25">
      <c r="A14" s="849" t="s">
        <v>1185</v>
      </c>
      <c r="B14" s="841">
        <v>253</v>
      </c>
      <c r="C14" s="766">
        <v>526760</v>
      </c>
      <c r="D14" s="766">
        <v>550</v>
      </c>
      <c r="E14" s="766">
        <v>392014</v>
      </c>
      <c r="F14" s="1782">
        <f>(C14+D14)-E14</f>
        <v>135296</v>
      </c>
      <c r="G14" s="844">
        <v>3</v>
      </c>
      <c r="H14" s="766">
        <v>306257</v>
      </c>
      <c r="I14" s="766">
        <v>175770</v>
      </c>
      <c r="J14" s="766">
        <v>392014</v>
      </c>
      <c r="K14" s="1791">
        <f>(H14+I14)-J14</f>
        <v>90013</v>
      </c>
      <c r="L14" s="1791">
        <f>F14-K14</f>
        <v>45283</v>
      </c>
    </row>
    <row r="15" spans="1:14" ht="15" customHeight="1" thickTop="1" thickBot="1" x14ac:dyDescent="0.25">
      <c r="A15" s="1653" t="s">
        <v>549</v>
      </c>
      <c r="B15" s="1652">
        <v>260</v>
      </c>
      <c r="C15" s="845">
        <v>5130245</v>
      </c>
      <c r="D15" s="845"/>
      <c r="E15" s="845">
        <v>5130245</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16983579</v>
      </c>
      <c r="D16" s="1782">
        <f>SUM(D3,D5:D6,D8:D10,D12:D15)</f>
        <v>9964999</v>
      </c>
      <c r="E16" s="1782">
        <f>SUM(E3,E5:E6,E8:E10,E12:E15)</f>
        <v>5725723</v>
      </c>
      <c r="F16" s="1782">
        <f>SUM(F3,F5:F6,F8:F10,F12:F15)</f>
        <v>21222855</v>
      </c>
      <c r="G16" s="844"/>
      <c r="H16" s="1782">
        <f>SUM(H3,H6,H8:H10,H12:H14,)</f>
        <v>6410163</v>
      </c>
      <c r="I16" s="1782">
        <f>SUM(I3,I6,I8:I10,I12:I14,)</f>
        <v>609379</v>
      </c>
      <c r="J16" s="1782">
        <f>SUM(J3,J6,J8:J10,J12:J14,)</f>
        <v>595478</v>
      </c>
      <c r="K16" s="1782">
        <f>(H16+I16)-J16</f>
        <v>6424064</v>
      </c>
      <c r="L16" s="1782">
        <f>F16-K16</f>
        <v>14798791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609379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1699</v>
      </c>
      <c r="B1" s="2281"/>
      <c r="C1" s="2281"/>
      <c r="D1" s="2281"/>
      <c r="E1" s="2281"/>
      <c r="F1" s="2282"/>
      <c r="G1" s="856"/>
    </row>
    <row r="2" spans="1:7" ht="15" customHeight="1" thickBot="1" x14ac:dyDescent="0.25">
      <c r="A2" s="2283" t="s">
        <v>498</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4961721</v>
      </c>
      <c r="G8" s="866"/>
    </row>
    <row r="9" spans="1:7" x14ac:dyDescent="0.2">
      <c r="A9" s="870" t="s">
        <v>480</v>
      </c>
      <c r="B9" s="871" t="s">
        <v>1989</v>
      </c>
      <c r="C9" s="872"/>
      <c r="D9" s="870" t="s">
        <v>522</v>
      </c>
      <c r="E9" s="869"/>
      <c r="F9" s="1935">
        <f>'Expenditures 15-22'!K151</f>
        <v>836609</v>
      </c>
      <c r="G9" s="873"/>
    </row>
    <row r="10" spans="1:7" x14ac:dyDescent="0.2">
      <c r="A10" s="870" t="s">
        <v>520</v>
      </c>
      <c r="B10" s="871" t="s">
        <v>1990</v>
      </c>
      <c r="C10" s="872"/>
      <c r="D10" s="870" t="s">
        <v>522</v>
      </c>
      <c r="E10" s="869"/>
      <c r="F10" s="1935">
        <f>'Expenditures 15-22'!K174</f>
        <v>736008</v>
      </c>
      <c r="G10" s="873"/>
    </row>
    <row r="11" spans="1:7" x14ac:dyDescent="0.2">
      <c r="A11" s="870" t="s">
        <v>481</v>
      </c>
      <c r="B11" s="871" t="s">
        <v>1991</v>
      </c>
      <c r="C11" s="872"/>
      <c r="D11" s="870" t="s">
        <v>522</v>
      </c>
      <c r="E11" s="869"/>
      <c r="F11" s="1935">
        <f>'Expenditures 15-22'!K210</f>
        <v>630723</v>
      </c>
      <c r="G11" s="873"/>
    </row>
    <row r="12" spans="1:7" x14ac:dyDescent="0.2">
      <c r="A12" s="870" t="s">
        <v>482</v>
      </c>
      <c r="B12" s="871" t="s">
        <v>1992</v>
      </c>
      <c r="C12" s="872"/>
      <c r="D12" s="870" t="s">
        <v>522</v>
      </c>
      <c r="E12" s="869"/>
      <c r="F12" s="1935">
        <f>'Expenditures 15-22'!K295</f>
        <v>243584</v>
      </c>
      <c r="G12" s="873"/>
    </row>
    <row r="13" spans="1:7" x14ac:dyDescent="0.2">
      <c r="A13" s="870" t="s">
        <v>108</v>
      </c>
      <c r="B13" s="871" t="s">
        <v>1993</v>
      </c>
      <c r="C13" s="872"/>
      <c r="D13" s="870" t="s">
        <v>522</v>
      </c>
      <c r="E13" s="869"/>
      <c r="F13" s="1935">
        <f>'Expenditures 15-22'!K342</f>
        <v>217989</v>
      </c>
      <c r="G13" s="874"/>
    </row>
    <row r="14" spans="1:7" ht="12" customHeight="1" thickBot="1" x14ac:dyDescent="0.25">
      <c r="A14" s="1792"/>
      <c r="B14" s="1793"/>
      <c r="C14" s="1794"/>
      <c r="D14" s="1795" t="s">
        <v>522</v>
      </c>
      <c r="E14" s="1796" t="s">
        <v>1015</v>
      </c>
      <c r="F14" s="1797">
        <f>SUM(F8:F13)</f>
        <v>7626634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81728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2008</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15478</v>
      </c>
      <c r="G52" s="866"/>
    </row>
    <row r="53" spans="1:7" x14ac:dyDescent="0.2">
      <c r="A53" s="870" t="s">
        <v>479</v>
      </c>
      <c r="B53" s="870" t="s">
        <v>1551</v>
      </c>
      <c r="C53" s="890">
        <f>'Expenditures 15-22'!B102</f>
        <v>4000</v>
      </c>
      <c r="D53" s="889" t="str">
        <f>'Expenditures 15-22'!A102</f>
        <v>Total Payments to Other Govt Units</v>
      </c>
      <c r="E53" s="869"/>
      <c r="F53" s="1939">
        <f>'Expenditures 15-22'!K102</f>
        <v>309318</v>
      </c>
      <c r="G53" s="866"/>
    </row>
    <row r="54" spans="1:7" x14ac:dyDescent="0.2">
      <c r="A54" s="870" t="s">
        <v>479</v>
      </c>
      <c r="B54" s="870" t="s">
        <v>1552</v>
      </c>
      <c r="C54" s="890" t="s">
        <v>1039</v>
      </c>
      <c r="D54" s="886" t="s">
        <v>1157</v>
      </c>
      <c r="E54" s="869"/>
      <c r="F54" s="1939">
        <f>'Expenditures 15-22'!G114</f>
        <v>19993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189837</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395000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3584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28</v>
      </c>
      <c r="G71" s="866"/>
    </row>
    <row r="72" spans="1:8" x14ac:dyDescent="0.2">
      <c r="A72" s="870" t="s">
        <v>482</v>
      </c>
      <c r="B72" s="870" t="s">
        <v>2008</v>
      </c>
      <c r="C72" s="887">
        <f>'Expenditures 15-22'!B280</f>
        <v>3000</v>
      </c>
      <c r="D72" s="877" t="s">
        <v>469</v>
      </c>
      <c r="E72" s="869"/>
      <c r="F72" s="1939">
        <f>'Expenditures 15-22'!K280</f>
        <v>1180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1018154</v>
      </c>
      <c r="G76" s="866"/>
    </row>
    <row r="77" spans="1:8" s="894" customFormat="1" ht="12" customHeight="1" thickTop="1" thickBot="1" x14ac:dyDescent="0.25">
      <c r="A77" s="1801"/>
      <c r="B77" s="1798"/>
      <c r="C77" s="1794"/>
      <c r="D77" s="1799" t="s">
        <v>2012</v>
      </c>
      <c r="E77" s="1796"/>
      <c r="F77" s="1802">
        <f>(F14-F76)</f>
        <v>6608480</v>
      </c>
      <c r="G77" s="870"/>
    </row>
    <row r="78" spans="1:8" s="894" customFormat="1" ht="12" customHeight="1" thickTop="1" x14ac:dyDescent="0.2">
      <c r="A78" s="1803"/>
      <c r="B78" s="1798"/>
      <c r="C78" s="1794"/>
      <c r="D78" s="1799" t="s">
        <v>2059</v>
      </c>
      <c r="E78" s="1796"/>
      <c r="F78" s="899">
        <v>637.45000000000005</v>
      </c>
      <c r="G78" s="900"/>
      <c r="H78" s="870"/>
    </row>
    <row r="79" spans="1:8" s="894" customFormat="1" ht="12" customHeight="1" thickBot="1" x14ac:dyDescent="0.25">
      <c r="A79" s="1804"/>
      <c r="B79" s="1798"/>
      <c r="C79" s="1794"/>
      <c r="D79" s="1799" t="s">
        <v>2013</v>
      </c>
      <c r="E79" s="1796" t="s">
        <v>1015</v>
      </c>
      <c r="F79" s="1805">
        <f>IF(F78&gt;0,F77/F78," Complete Line 78")</f>
        <v>10367.056239705074</v>
      </c>
      <c r="G79" s="870"/>
    </row>
    <row r="80" spans="1:8" s="894" customFormat="1" ht="8.25" customHeight="1" thickTop="1" x14ac:dyDescent="0.2">
      <c r="A80" s="901"/>
      <c r="B80" s="870"/>
      <c r="C80" s="872"/>
      <c r="D80" s="902"/>
      <c r="E80" s="869"/>
      <c r="F80" s="903"/>
      <c r="G80" s="870"/>
    </row>
    <row r="81" spans="1:7" s="894" customFormat="1" ht="12" thickBot="1" x14ac:dyDescent="0.25">
      <c r="A81" s="2277" t="s">
        <v>1167</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87698</v>
      </c>
      <c r="G94" s="913"/>
    </row>
    <row r="95" spans="1:7" x14ac:dyDescent="0.2">
      <c r="A95" s="909" t="s">
        <v>142</v>
      </c>
      <c r="B95" s="909" t="s">
        <v>177</v>
      </c>
      <c r="C95" s="911">
        <v>1700</v>
      </c>
      <c r="D95" s="919" t="str">
        <f>'Revenues 9-14'!A82</f>
        <v>Total District/School Activity Income</v>
      </c>
      <c r="E95" s="907"/>
      <c r="F95" s="1811">
        <f>SUM('Revenues 9-14'!C82,'Revenues 9-14'!D82)</f>
        <v>25214</v>
      </c>
      <c r="G95" s="913"/>
    </row>
    <row r="96" spans="1:7" x14ac:dyDescent="0.2">
      <c r="A96" s="909" t="s">
        <v>479</v>
      </c>
      <c r="B96" s="909" t="s">
        <v>178</v>
      </c>
      <c r="C96" s="911">
        <f>'Revenues 9-14'!B84</f>
        <v>1811</v>
      </c>
      <c r="D96" s="912" t="str">
        <f>'Revenues 9-14'!A84</f>
        <v>Rentals - Regular Textbooks</v>
      </c>
      <c r="E96" s="907"/>
      <c r="F96" s="1811">
        <f>'Revenues 9-14'!C84</f>
        <v>24941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1679</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228292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38866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3121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9848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347829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178343</v>
      </c>
      <c r="G129" s="931"/>
    </row>
    <row r="130" spans="1:7" x14ac:dyDescent="0.2">
      <c r="A130" s="928" t="s">
        <v>689</v>
      </c>
      <c r="B130" s="928" t="s">
        <v>804</v>
      </c>
      <c r="C130" s="933">
        <v>4300</v>
      </c>
      <c r="D130" s="934" t="str">
        <f>'Revenues 9-14'!A211</f>
        <v>Total Title I</v>
      </c>
      <c r="E130" s="907"/>
      <c r="F130" s="1811">
        <f>SUM('Revenues 9-14'!C211,'Revenues 9-14'!D211,'Revenues 9-14'!F211,'Revenues 9-14'!G211)</f>
        <v>139060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32290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10493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99199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1227623</v>
      </c>
    </row>
    <row r="179" spans="1:7" ht="12" customHeight="1" x14ac:dyDescent="0.2">
      <c r="A179" s="1792"/>
      <c r="B179" s="1806"/>
      <c r="C179" s="1807"/>
      <c r="D179" s="1808" t="s">
        <v>2015</v>
      </c>
      <c r="E179" s="1809"/>
      <c r="F179" s="1811">
        <f>'PCTC-OEPP 27-28'!F77-F178</f>
        <v>5380857</v>
      </c>
    </row>
    <row r="180" spans="1:7" ht="12" customHeight="1" x14ac:dyDescent="0.2">
      <c r="A180" s="1792"/>
      <c r="B180" s="1806"/>
      <c r="C180" s="1807"/>
      <c r="D180" s="1808" t="s">
        <v>1924</v>
      </c>
      <c r="E180" s="1809"/>
      <c r="F180" s="1811">
        <f>'Cap Outlay Deprec 26'!I18</f>
        <v>609379</v>
      </c>
    </row>
    <row r="181" spans="1:7" ht="12" customHeight="1" x14ac:dyDescent="0.2">
      <c r="A181" s="1792"/>
      <c r="B181" s="1806"/>
      <c r="C181" s="1807"/>
      <c r="D181" s="1808" t="s">
        <v>2016</v>
      </c>
      <c r="E181" s="1809"/>
      <c r="F181" s="1811">
        <f>F179+F180</f>
        <v>5990236</v>
      </c>
    </row>
    <row r="182" spans="1:7" ht="12" customHeight="1" x14ac:dyDescent="0.2">
      <c r="A182" s="1792"/>
      <c r="B182" s="1812"/>
      <c r="C182" s="1807"/>
      <c r="D182" s="1808" t="str">
        <f>D78</f>
        <v>9 Month ADA from District Average Daily Attendance/Prior General State Aid Inquiry 2017-2018</v>
      </c>
      <c r="E182" s="1809"/>
      <c r="F182" s="1813">
        <f>'PCTC-OEPP 27-28'!F78</f>
        <v>637.45000000000005</v>
      </c>
      <c r="G182" s="931"/>
    </row>
    <row r="183" spans="1:7" ht="12" customHeight="1" thickBot="1" x14ac:dyDescent="0.25">
      <c r="A183" s="1792"/>
      <c r="B183" s="1812"/>
      <c r="C183" s="1807"/>
      <c r="D183" s="1808" t="s">
        <v>2017</v>
      </c>
      <c r="E183" s="1809" t="s">
        <v>1626</v>
      </c>
      <c r="F183" s="1814">
        <f>F181/F182</f>
        <v>9397.1856616205187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1" t="s">
        <v>1925</v>
      </c>
      <c r="B4" s="2292"/>
      <c r="C4" s="2292"/>
      <c r="D4" s="2292"/>
      <c r="E4" s="2292"/>
      <c r="F4" s="2292"/>
      <c r="G4" s="2293"/>
    </row>
    <row r="5" spans="1:7" x14ac:dyDescent="0.25">
      <c r="A5" s="2294"/>
      <c r="B5" s="2295"/>
      <c r="C5" s="2295"/>
      <c r="D5" s="2295"/>
      <c r="E5" s="2295"/>
      <c r="F5" s="2295"/>
      <c r="G5" s="2296"/>
    </row>
    <row r="6" spans="1:7" ht="18.75" x14ac:dyDescent="0.25">
      <c r="A6" s="1556" t="s">
        <v>1926</v>
      </c>
      <c r="B6" s="1557"/>
      <c r="C6" s="1557"/>
      <c r="D6" s="1557"/>
      <c r="E6" s="1557"/>
      <c r="F6" s="1557"/>
      <c r="G6" s="1558"/>
    </row>
    <row r="7" spans="1:7" ht="30.75" customHeight="1" x14ac:dyDescent="0.25">
      <c r="A7" s="2297" t="s">
        <v>2075</v>
      </c>
      <c r="B7" s="2298"/>
      <c r="C7" s="2298"/>
      <c r="D7" s="2298"/>
      <c r="E7" s="2298"/>
      <c r="F7" s="2298"/>
      <c r="G7" s="2299"/>
    </row>
    <row r="8" spans="1:7" ht="15.75" customHeight="1" x14ac:dyDescent="0.25">
      <c r="A8" s="2300" t="s">
        <v>2024</v>
      </c>
      <c r="B8" s="2301"/>
      <c r="C8" s="2301"/>
      <c r="D8" s="2301"/>
      <c r="E8" s="2301"/>
      <c r="F8" s="2301"/>
      <c r="G8" s="2302"/>
    </row>
    <row r="9" spans="1:7" ht="35.25" customHeight="1" x14ac:dyDescent="0.25">
      <c r="A9" s="2297" t="s">
        <v>2023</v>
      </c>
      <c r="B9" s="2298"/>
      <c r="C9" s="2298"/>
      <c r="D9" s="2298"/>
      <c r="E9" s="2298"/>
      <c r="F9" s="2298"/>
      <c r="G9" s="2299"/>
    </row>
    <row r="10" spans="1:7" ht="15" customHeight="1" x14ac:dyDescent="0.25">
      <c r="A10" s="1559" t="s">
        <v>1927</v>
      </c>
      <c r="B10" s="1560"/>
      <c r="C10" s="1560"/>
      <c r="D10" s="1560"/>
      <c r="E10" s="1560"/>
      <c r="F10" s="1560"/>
      <c r="G10" s="1561"/>
    </row>
    <row r="11" spans="1:7" ht="17.25" customHeight="1" x14ac:dyDescent="0.25">
      <c r="A11" s="2297" t="s">
        <v>1941</v>
      </c>
      <c r="B11" s="2298"/>
      <c r="C11" s="2298"/>
      <c r="D11" s="2298"/>
      <c r="E11" s="2298"/>
      <c r="F11" s="2298"/>
      <c r="G11" s="2299"/>
    </row>
    <row r="12" spans="1:7" ht="15" customHeight="1" x14ac:dyDescent="0.25">
      <c r="A12" s="1559" t="s">
        <v>1932</v>
      </c>
      <c r="B12" s="1560"/>
      <c r="C12" s="1560"/>
      <c r="D12" s="1560"/>
      <c r="E12" s="1560"/>
      <c r="F12" s="1560"/>
      <c r="G12" s="1561"/>
    </row>
    <row r="13" spans="1:7" ht="32.25" customHeight="1" x14ac:dyDescent="0.25">
      <c r="A13" s="2288" t="s">
        <v>1933</v>
      </c>
      <c r="B13" s="2289"/>
      <c r="C13" s="2289"/>
      <c r="D13" s="2289"/>
      <c r="E13" s="2289"/>
      <c r="F13" s="2289"/>
      <c r="G13" s="2290"/>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2116</v>
      </c>
      <c r="B17" s="1958" t="s">
        <v>2113</v>
      </c>
      <c r="C17" s="1957" t="s">
        <v>2103</v>
      </c>
      <c r="D17" s="1867">
        <v>117706</v>
      </c>
      <c r="E17" s="1562">
        <f t="shared" ref="E17:E141" si="1">IF(D17&lt;=25000,D17,IF(D17&gt;25000,25000,0))</f>
        <v>25000</v>
      </c>
      <c r="F17" s="1815">
        <f t="shared" si="0"/>
        <v>25000</v>
      </c>
      <c r="G17" s="1816">
        <f>IF(F17=0,0,D17-F17)</f>
        <v>92706</v>
      </c>
      <c r="H17" s="1669"/>
    </row>
    <row r="18" spans="1:8" x14ac:dyDescent="0.25">
      <c r="A18" s="1959" t="s">
        <v>2116</v>
      </c>
      <c r="B18" s="1958" t="s">
        <v>2113</v>
      </c>
      <c r="C18" s="1957" t="s">
        <v>2104</v>
      </c>
      <c r="D18" s="1867">
        <v>6587</v>
      </c>
      <c r="E18" s="1562">
        <f t="shared" ref="E18:E140" si="2">IF(D18&lt;=25000,D18,IF(D18&gt;25000,25000,0))</f>
        <v>6587</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6587</v>
      </c>
      <c r="G18" s="1816">
        <f t="shared" ref="G18:G140" si="4">IF(F18=0,0,D18-F18)</f>
        <v>0</v>
      </c>
    </row>
    <row r="19" spans="1:8" x14ac:dyDescent="0.25">
      <c r="A19" s="1959" t="s">
        <v>2116</v>
      </c>
      <c r="B19" s="1958" t="s">
        <v>2113</v>
      </c>
      <c r="C19" s="1957" t="s">
        <v>2105</v>
      </c>
      <c r="D19" s="1867">
        <v>26791</v>
      </c>
      <c r="E19" s="1562">
        <f t="shared" si="2"/>
        <v>25000</v>
      </c>
      <c r="F19" s="1815">
        <f t="shared" si="3"/>
        <v>25000</v>
      </c>
      <c r="G19" s="1816">
        <f t="shared" si="4"/>
        <v>1791</v>
      </c>
    </row>
    <row r="20" spans="1:8" x14ac:dyDescent="0.25">
      <c r="A20" s="1959" t="s">
        <v>2115</v>
      </c>
      <c r="B20" s="1958" t="s">
        <v>2114</v>
      </c>
      <c r="C20" s="1957" t="s">
        <v>2106</v>
      </c>
      <c r="D20" s="1867">
        <v>6345</v>
      </c>
      <c r="E20" s="1562">
        <f t="shared" si="2"/>
        <v>6345</v>
      </c>
      <c r="F20" s="1815">
        <f t="shared" si="3"/>
        <v>6345</v>
      </c>
      <c r="G20" s="1816">
        <f t="shared" si="4"/>
        <v>0</v>
      </c>
    </row>
    <row r="21" spans="1:8" x14ac:dyDescent="0.25">
      <c r="A21" s="1959" t="s">
        <v>2117</v>
      </c>
      <c r="B21" s="1958" t="s">
        <v>2114</v>
      </c>
      <c r="C21" s="1957" t="s">
        <v>2107</v>
      </c>
      <c r="D21" s="1867">
        <v>2400</v>
      </c>
      <c r="E21" s="1562">
        <f t="shared" si="2"/>
        <v>2400</v>
      </c>
      <c r="F21" s="1815">
        <f t="shared" si="3"/>
        <v>2400</v>
      </c>
      <c r="G21" s="1816">
        <f t="shared" si="4"/>
        <v>0</v>
      </c>
    </row>
    <row r="22" spans="1:8" x14ac:dyDescent="0.25">
      <c r="A22" s="1959" t="s">
        <v>2115</v>
      </c>
      <c r="B22" s="1958" t="s">
        <v>2114</v>
      </c>
      <c r="C22" s="1957" t="s">
        <v>2108</v>
      </c>
      <c r="D22" s="1867">
        <v>27859</v>
      </c>
      <c r="E22" s="1562">
        <f t="shared" si="2"/>
        <v>25000</v>
      </c>
      <c r="F22" s="1815">
        <f t="shared" si="3"/>
        <v>25000</v>
      </c>
      <c r="G22" s="1816">
        <f t="shared" si="4"/>
        <v>2859</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187688</v>
      </c>
      <c r="E141" s="1563">
        <f t="shared" si="1"/>
        <v>25000</v>
      </c>
      <c r="F141" s="1817">
        <f>SUM(F17:F140)</f>
        <v>90332</v>
      </c>
      <c r="G141" s="1818">
        <f>SUM(G17:G140)</f>
        <v>97356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3" t="s">
        <v>1778</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155844</v>
      </c>
      <c r="F10" s="975"/>
      <c r="G10" s="976"/>
      <c r="H10" s="162"/>
      <c r="I10" s="162"/>
    </row>
    <row r="11" spans="1:9" s="669" customFormat="1" ht="22.5" customHeight="1" x14ac:dyDescent="0.2">
      <c r="A11" s="2308" t="s">
        <v>1945</v>
      </c>
      <c r="B11" s="2309"/>
      <c r="C11" s="2309"/>
      <c r="D11" s="2310"/>
      <c r="E11" s="978">
        <v>25555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3387109</v>
      </c>
      <c r="F19" s="1822"/>
      <c r="G19" s="1824">
        <f>'Expenditures 15-22'!K33-SUM('Expenditures 15-22'!G33,'Expenditures 15-22'!I33)+'Expenditures 15-22'!D229</f>
        <v>3387109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269956</v>
      </c>
      <c r="F21" s="1825"/>
      <c r="G21" s="1828">
        <f>'Expenditures 15-22'!K42-SUM('Expenditures 15-22'!G42,'Expenditures 15-22'!I42)+'Expenditures 15-22'!K120-SUM('Expenditures 15-22'!G120,'Expenditures 15-22'!I120)+'Expenditures 15-22'!K180-SUM('Expenditures 15-22'!G180,'Expenditures 15-22'!I180)+'Expenditures 15-22'!D238</f>
        <v>269956</v>
      </c>
      <c r="H21" s="988"/>
      <c r="I21" s="162"/>
    </row>
    <row r="22" spans="1:9" s="669" customFormat="1" ht="12" customHeight="1" x14ac:dyDescent="0.2">
      <c r="A22" s="995" t="s">
        <v>585</v>
      </c>
      <c r="B22" s="996"/>
      <c r="C22" s="994">
        <v>2200</v>
      </c>
      <c r="D22" s="1825"/>
      <c r="E22" s="1827">
        <f>'Expenditures 15-22'!K47-SUM('Expenditures 15-22'!G47,'Expenditures 15-22'!I47)+'Expenditures 15-22'!D243</f>
        <v>78104</v>
      </c>
      <c r="F22" s="1825"/>
      <c r="G22" s="1828">
        <f>'Expenditures 15-22'!K47-SUM('Expenditures 15-22'!G47,'Expenditures 15-22'!I47)+'Expenditures 15-22'!D243</f>
        <v>78104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401050</v>
      </c>
      <c r="F23" s="1825"/>
      <c r="G23" s="1827">
        <f>'Expenditures 15-22'!K53-SUM('Expenditures 15-22'!G53,'Expenditures 15-22'!I53)+'Expenditures 15-22'!D257+'Expenditures 15-22'!K330-SUM('Expenditures 15-22'!G330,'Expenditures 15-22'!I330)</f>
        <v>401050</v>
      </c>
      <c r="H23" s="988"/>
      <c r="I23" s="162"/>
    </row>
    <row r="24" spans="1:9" s="669" customFormat="1" ht="12" customHeight="1" x14ac:dyDescent="0.2">
      <c r="A24" s="995" t="s">
        <v>587</v>
      </c>
      <c r="B24" s="996"/>
      <c r="C24" s="994">
        <v>2400</v>
      </c>
      <c r="D24" s="1825"/>
      <c r="E24" s="1827">
        <f>'Expenditures 15-22'!K57-SUM('Expenditures 15-22'!G57,'Expenditures 15-22'!I57)+'Expenditures 15-22'!D261</f>
        <v>456499</v>
      </c>
      <c r="F24" s="1825"/>
      <c r="G24" s="1828">
        <f>'Expenditures 15-22'!K57-SUM('Expenditures 15-22'!G57,'Expenditures 15-22'!I57)+'Expenditures 15-22'!D261</f>
        <v>456499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81072</v>
      </c>
      <c r="E27" s="1827">
        <f>E8</f>
        <v>0</v>
      </c>
      <c r="F27" s="1827">
        <f>'Expenditures 15-22'!K60-SUM('Expenditures 15-22'!G60,'Expenditures 15-22'!I60)+'Expenditures 15-22'!D264-E8</f>
        <v>81072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703739</v>
      </c>
      <c r="F28" s="1829">
        <f>'Expenditures 15-22'!K61-SUM('Expenditures 15-22'!G61,'Expenditures 15-22'!I61)+'Expenditures 15-22'!K124-SUM('Expenditures 15-22'!G124,'Expenditures 15-22'!I124)+'Expenditures 15-22'!D266-E9</f>
        <v>703739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665421</v>
      </c>
      <c r="F29" s="1825"/>
      <c r="G29" s="1828">
        <f>'Expenditures 15-22'!K62-SUM('Expenditures 15-22'!G62,'Expenditures 15-22'!I62)+'Expenditures 15-22'!K125-SUM('Expenditures 15-22'!G125,'Expenditures 15-22'!I125)+'Expenditures 15-22'!K182-SUM('Expenditures 15-22'!G182,'Expenditures 15-22'!I182)+'Expenditures 15-22'!D267</f>
        <v>665421</v>
      </c>
      <c r="H29" s="986"/>
    </row>
    <row r="30" spans="1:9" ht="12" customHeight="1" x14ac:dyDescent="0.2">
      <c r="A30" s="995" t="s">
        <v>102</v>
      </c>
      <c r="B30" s="998"/>
      <c r="C30" s="994">
        <v>2560</v>
      </c>
      <c r="D30" s="1825"/>
      <c r="E30" s="1827">
        <f>'Expenditures 15-22'!K63-SUM('Expenditures 15-22'!G63,'Expenditures 15-22'!I63)+'Expenditures 15-22'!D268-E10</f>
        <v>156026</v>
      </c>
      <c r="F30" s="1825"/>
      <c r="G30" s="1827">
        <f>'Expenditures 15-22'!K63-SUM('Expenditures 15-22'!G63,'Expenditures 15-22'!I63)+'Expenditures 15-22'!D268-E10</f>
        <v>156026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16658</v>
      </c>
      <c r="F39" s="1825"/>
      <c r="G39" s="1827">
        <f>'Expenditures 15-22'!K75-SUM('Expenditures 15-22'!G75,'Expenditures 15-22'!I75)+'Expenditures 15-22'!K130-SUM('Expenditures 15-22'!G130,'Expenditures 15-22'!I130)+'Expenditures 15-22'!K185-SUM('Expenditures 15-22'!G185,'Expenditures 15-22'!I185)+'Expenditures 15-22'!D280</f>
        <v>16658</v>
      </c>
    </row>
    <row r="40" spans="1:7" ht="12" customHeight="1" x14ac:dyDescent="0.2">
      <c r="A40" s="991" t="s">
        <v>1930</v>
      </c>
      <c r="B40" s="992"/>
      <c r="C40" s="994"/>
      <c r="D40" s="1825"/>
      <c r="E40" s="1829">
        <f>-'Contracts Paid in CY 29'!G141</f>
        <v>-97356</v>
      </c>
      <c r="F40" s="1825"/>
      <c r="G40" s="1829">
        <f>-'Contracts Paid in CY 29'!G141</f>
        <v>-97356</v>
      </c>
    </row>
    <row r="41" spans="1:7" ht="12" customHeight="1" x14ac:dyDescent="0.2">
      <c r="A41" s="999" t="s">
        <v>158</v>
      </c>
      <c r="B41" s="1000"/>
      <c r="C41" s="1001"/>
      <c r="D41" s="1829">
        <f>SUM(D19:D39)</f>
        <v>81072</v>
      </c>
      <c r="E41" s="1829">
        <f>SUM(E19:E40)</f>
        <v>6037206</v>
      </c>
      <c r="F41" s="1829">
        <f>SUM(F19:F39)</f>
        <v>784811</v>
      </c>
      <c r="G41" s="1829">
        <f>SUM(G19:G40)</f>
        <v>5333467</v>
      </c>
    </row>
    <row r="42" spans="1:7" x14ac:dyDescent="0.2">
      <c r="A42" s="988"/>
      <c r="B42" s="162"/>
      <c r="C42" s="1002"/>
      <c r="D42" s="2306" t="s">
        <v>543</v>
      </c>
      <c r="E42" s="2307"/>
      <c r="F42" s="1003" t="s">
        <v>544</v>
      </c>
      <c r="G42" s="1004"/>
    </row>
    <row r="43" spans="1:7" ht="12" customHeight="1" x14ac:dyDescent="0.2">
      <c r="A43" s="988"/>
      <c r="B43" s="162"/>
      <c r="C43" s="1002"/>
      <c r="D43" s="1830" t="s">
        <v>493</v>
      </c>
      <c r="E43" s="1831">
        <f>D41</f>
        <v>81072</v>
      </c>
      <c r="F43" s="1830" t="s">
        <v>495</v>
      </c>
      <c r="G43" s="1831">
        <f>F41</f>
        <v>784811</v>
      </c>
    </row>
    <row r="44" spans="1:7" ht="12" customHeight="1" x14ac:dyDescent="0.2">
      <c r="A44" s="988"/>
      <c r="B44" s="162"/>
      <c r="C44" s="1002"/>
      <c r="D44" s="1830" t="s">
        <v>494</v>
      </c>
      <c r="E44" s="1831">
        <f>E41</f>
        <v>6037206</v>
      </c>
      <c r="F44" s="1830" t="s">
        <v>494</v>
      </c>
      <c r="G44" s="1831">
        <f>G41</f>
        <v>5333467</v>
      </c>
    </row>
    <row r="45" spans="1:7" ht="12" customHeight="1" x14ac:dyDescent="0.2">
      <c r="A45" s="988"/>
      <c r="B45" s="162"/>
      <c r="C45" s="162"/>
      <c r="D45" s="1832" t="s">
        <v>1063</v>
      </c>
      <c r="E45" s="1833">
        <f>(E43/E44)</f>
        <v>1.3428728454851466E-2</v>
      </c>
      <c r="F45" s="1832" t="s">
        <v>1063</v>
      </c>
      <c r="G45" s="1833">
        <f>(G43/G44)</f>
        <v>0.14714837459386174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5" t="s">
        <v>1446</v>
      </c>
      <c r="B1" s="2325"/>
      <c r="C1" s="2325"/>
      <c r="D1" s="2325"/>
      <c r="E1" s="2325"/>
      <c r="F1" s="2325"/>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6" t="s">
        <v>1627</v>
      </c>
      <c r="B5" s="2327"/>
      <c r="C5" s="2328"/>
      <c r="D5" s="2328"/>
      <c r="E5" s="2328"/>
      <c r="F5" s="2328"/>
    </row>
    <row r="6" spans="1:10" ht="12" customHeight="1" x14ac:dyDescent="0.25">
      <c r="A6" s="1875"/>
      <c r="B6" s="1876"/>
      <c r="C6" s="2329" t="str">
        <f>COVER!A17</f>
        <v>Midland CUSD 7</v>
      </c>
      <c r="D6" s="2329"/>
      <c r="E6" s="2329"/>
      <c r="F6" s="1877"/>
    </row>
    <row r="7" spans="1:10" ht="11.25" customHeight="1" thickBot="1" x14ac:dyDescent="0.3">
      <c r="A7" s="1875"/>
      <c r="B7" s="1876"/>
      <c r="C7" s="2330">
        <f>COVER!A13</f>
        <v>35059007026</v>
      </c>
      <c r="D7" s="2330"/>
      <c r="E7" s="2330"/>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2118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2119</v>
      </c>
      <c r="H31" s="1903">
        <f t="shared" si="0"/>
        <v>5</v>
      </c>
      <c r="I31" s="1903">
        <f t="shared" si="1"/>
        <v>5</v>
      </c>
      <c r="J31" s="1903">
        <f t="shared" si="2"/>
        <v>0</v>
      </c>
      <c r="L31" s="1894"/>
    </row>
    <row r="32" spans="1:12" ht="12" customHeight="1" x14ac:dyDescent="0.2">
      <c r="A32" s="1888" t="s">
        <v>1621</v>
      </c>
      <c r="B32" s="1889"/>
      <c r="C32" s="1890" t="s">
        <v>2077</v>
      </c>
      <c r="D32" s="1890" t="s">
        <v>2077</v>
      </c>
      <c r="E32" s="1893"/>
      <c r="F32" s="1892" t="s">
        <v>2120</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98"/>
      <c r="B39" s="1898"/>
      <c r="C39" s="1898"/>
      <c r="D39" s="1898"/>
      <c r="E39" s="1898"/>
      <c r="F39" s="1898"/>
    </row>
    <row r="40" spans="1:11" s="1895" customFormat="1" ht="12" customHeight="1" x14ac:dyDescent="0.25">
      <c r="A40" s="1899" t="s">
        <v>1458</v>
      </c>
      <c r="B40" s="1900"/>
      <c r="C40" s="2320"/>
      <c r="D40" s="2320"/>
      <c r="E40" s="2320"/>
      <c r="F40" s="2321"/>
      <c r="H40" s="1904"/>
      <c r="I40" s="1904"/>
      <c r="J40" s="1904"/>
      <c r="K40" s="1904"/>
    </row>
    <row r="41" spans="1:11" s="1895" customFormat="1" ht="12" customHeight="1" x14ac:dyDescent="0.25">
      <c r="A41" s="2322"/>
      <c r="B41" s="2323"/>
      <c r="C41" s="2323"/>
      <c r="D41" s="2323"/>
      <c r="E41" s="2323"/>
      <c r="F41" s="2324"/>
      <c r="H41" s="1904"/>
      <c r="I41" s="1904"/>
      <c r="J41" s="1904"/>
      <c r="K41" s="1904"/>
    </row>
    <row r="42" spans="1:11" s="1895" customFormat="1" ht="12" customHeight="1" x14ac:dyDescent="0.25">
      <c r="A42" s="2322"/>
      <c r="B42" s="2323"/>
      <c r="C42" s="2323"/>
      <c r="D42" s="2323"/>
      <c r="E42" s="2323"/>
      <c r="F42" s="2324"/>
      <c r="H42" s="1904"/>
      <c r="I42" s="1904"/>
      <c r="J42" s="1904"/>
      <c r="K42" s="1904"/>
    </row>
    <row r="43" spans="1:11" s="1895" customFormat="1" ht="15" x14ac:dyDescent="0.25">
      <c r="A43" s="2311"/>
      <c r="B43" s="2312"/>
      <c r="C43" s="2312"/>
      <c r="D43" s="2312"/>
      <c r="E43" s="2312"/>
      <c r="F43" s="2313"/>
      <c r="H43" s="1904"/>
      <c r="I43" s="1904"/>
      <c r="J43" s="1904"/>
      <c r="K43" s="1904"/>
    </row>
    <row r="44" spans="1:11" s="1895" customFormat="1" ht="12" hidden="1" customHeight="1" x14ac:dyDescent="0.25">
      <c r="A44" s="2311"/>
      <c r="B44" s="2312"/>
      <c r="C44" s="2312"/>
      <c r="D44" s="2312"/>
      <c r="E44" s="2312"/>
      <c r="F44" s="231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8" t="str">
        <f>COVER!A17</f>
        <v>Midland CUSD 7</v>
      </c>
      <c r="J6" s="2339"/>
      <c r="Q6" s="1686"/>
    </row>
    <row r="7" spans="1:17" x14ac:dyDescent="0.2">
      <c r="A7" s="2340" t="s">
        <v>924</v>
      </c>
      <c r="B7" s="2341"/>
      <c r="C7" s="2341"/>
      <c r="D7" s="2341"/>
      <c r="E7" s="2342"/>
      <c r="F7" s="1018"/>
      <c r="G7" s="1010"/>
      <c r="H7" s="1017" t="s">
        <v>390</v>
      </c>
      <c r="I7" s="2343">
        <f>COVER!A13</f>
        <v>35059007026</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4" t="s">
        <v>502</v>
      </c>
      <c r="B11" s="2345"/>
      <c r="C11" s="234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123039</v>
      </c>
      <c r="F12" s="1040"/>
      <c r="G12" s="1834">
        <f t="shared" ref="G12:G18" si="0">SUM(E12:F12)</f>
        <v>123039</v>
      </c>
      <c r="H12" s="1041">
        <v>121852</v>
      </c>
      <c r="I12" s="1040"/>
      <c r="J12" s="1834">
        <f t="shared" ref="J12:J18" si="1">SUM(H12:I12)</f>
        <v>121852</v>
      </c>
    </row>
    <row r="13" spans="1:17" ht="15" customHeight="1" x14ac:dyDescent="0.2">
      <c r="A13" s="1036">
        <v>2</v>
      </c>
      <c r="B13" s="1037" t="s">
        <v>44</v>
      </c>
      <c r="C13" s="1038"/>
      <c r="D13" s="1039">
        <v>2330</v>
      </c>
      <c r="E13" s="1834">
        <f>'Expenditures 15-22'!K51</f>
        <v>709</v>
      </c>
      <c r="F13" s="1040"/>
      <c r="G13" s="1834">
        <f t="shared" si="0"/>
        <v>709</v>
      </c>
      <c r="H13" s="1041">
        <v>550</v>
      </c>
      <c r="I13" s="1040"/>
      <c r="J13" s="1834">
        <f t="shared" si="1"/>
        <v>550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7" t="s">
        <v>7</v>
      </c>
      <c r="C18" s="2348"/>
      <c r="D18" s="2349"/>
      <c r="E18" s="1044">
        <v>9035</v>
      </c>
      <c r="F18" s="1044"/>
      <c r="G18" s="1835">
        <f t="shared" si="0"/>
        <v>9035</v>
      </c>
      <c r="H18" s="1041">
        <v>9497</v>
      </c>
      <c r="I18" s="1041"/>
      <c r="J18" s="1834">
        <f t="shared" si="1"/>
        <v>9497</v>
      </c>
    </row>
    <row r="19" spans="1:10" ht="12.75" customHeight="1" thickBot="1" x14ac:dyDescent="0.25">
      <c r="A19" s="1036">
        <v>8</v>
      </c>
      <c r="B19" s="1045" t="s">
        <v>1223</v>
      </c>
      <c r="D19" s="1046"/>
      <c r="E19" s="1836">
        <f t="shared" ref="E19:J19" si="2">SUM(E12:E17)-E18</f>
        <v>114713</v>
      </c>
      <c r="F19" s="1836">
        <f t="shared" si="2"/>
        <v>0</v>
      </c>
      <c r="G19" s="1836">
        <f t="shared" si="2"/>
        <v>114713</v>
      </c>
      <c r="H19" s="1836">
        <f t="shared" si="2"/>
        <v>112905</v>
      </c>
      <c r="I19" s="1836">
        <f t="shared" si="2"/>
        <v>0</v>
      </c>
      <c r="J19" s="1836">
        <f t="shared" si="2"/>
        <v>112905</v>
      </c>
    </row>
    <row r="20" spans="1:10" ht="13.5" thickTop="1" x14ac:dyDescent="0.2">
      <c r="A20" s="1036">
        <v>9</v>
      </c>
      <c r="B20" s="2350" t="s">
        <v>1703</v>
      </c>
      <c r="C20" s="2350"/>
      <c r="D20" s="2351"/>
      <c r="E20" s="1047"/>
      <c r="F20" s="1047"/>
      <c r="G20" s="1047"/>
      <c r="H20" s="1047"/>
      <c r="I20" s="1047"/>
      <c r="J20" s="1837">
        <f>IF(AND(G19&gt;0,J19&gt;0),(((J19-G19)/G19)),"Enter Budget Data")</f>
        <v>-1.5761073287247303E-2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1093</v>
      </c>
      <c r="D27" s="1053"/>
      <c r="E27" s="1054"/>
      <c r="F27" s="2352" t="s">
        <v>1589</v>
      </c>
      <c r="G27" s="2352"/>
    </row>
    <row r="28" spans="1:10" ht="28.5" customHeight="1" x14ac:dyDescent="0.2">
      <c r="B28" s="1048"/>
      <c r="C28" s="2354"/>
      <c r="D28" s="2354"/>
      <c r="E28" s="1055"/>
      <c r="F28" s="2354"/>
      <c r="G28" s="2354"/>
    </row>
    <row r="29" spans="1:10" x14ac:dyDescent="0.2">
      <c r="B29" s="1048"/>
      <c r="C29" s="1056" t="s">
        <v>1642</v>
      </c>
      <c r="E29" s="1057"/>
      <c r="F29" s="2353" t="s">
        <v>1590</v>
      </c>
      <c r="G29" s="235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1944</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c r="C39" s="2333" t="s">
        <v>937</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topLeftCell="A4" zoomScale="110" zoomScaleNormal="110" workbookViewId="0">
      <selection activeCell="A14" sqref="A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2121</v>
      </c>
    </row>
    <row r="6" spans="1:2" x14ac:dyDescent="0.2">
      <c r="A6" s="1069">
        <v>2</v>
      </c>
      <c r="B6" s="329" t="s">
        <v>2122</v>
      </c>
    </row>
    <row r="7" spans="1:2" x14ac:dyDescent="0.2">
      <c r="A7" s="1069">
        <v>3</v>
      </c>
      <c r="B7" s="329" t="s">
        <v>2130</v>
      </c>
    </row>
    <row r="8" spans="1:2" x14ac:dyDescent="0.2">
      <c r="A8" s="1069">
        <v>4</v>
      </c>
      <c r="B8" s="329" t="s">
        <v>2123</v>
      </c>
    </row>
    <row r="9" spans="1:2" x14ac:dyDescent="0.2">
      <c r="A9" s="1070">
        <v>5</v>
      </c>
      <c r="B9" s="329" t="s">
        <v>2124</v>
      </c>
    </row>
    <row r="10" spans="1:2" x14ac:dyDescent="0.2">
      <c r="A10" s="1070">
        <v>6</v>
      </c>
      <c r="B10" s="329" t="s">
        <v>2125</v>
      </c>
    </row>
    <row r="11" spans="1:2" x14ac:dyDescent="0.2">
      <c r="A11" s="1070">
        <v>7</v>
      </c>
      <c r="B11" s="329" t="s">
        <v>2131</v>
      </c>
    </row>
    <row r="12" spans="1:2" x14ac:dyDescent="0.2">
      <c r="A12" s="1070">
        <v>8</v>
      </c>
      <c r="B12" s="329" t="s">
        <v>2126</v>
      </c>
    </row>
    <row r="13" spans="1:2" x14ac:dyDescent="0.2">
      <c r="A13" s="1070">
        <v>9</v>
      </c>
      <c r="B13" s="329" t="s">
        <v>2127</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Midland CUSD 7</v>
      </c>
    </row>
    <row r="65" spans="2:2" x14ac:dyDescent="0.2">
      <c r="B65" s="1071">
        <f>COVER!A13</f>
        <v>35059007026</v>
      </c>
    </row>
  </sheetData>
  <phoneticPr fontId="16" type="noConversion"/>
  <pageMargins left="0.2" right="0.2" top="1.17" bottom="0.75" header="0.19" footer="0.16"/>
  <pageSetup scale="81"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19" sqref="B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0" sqref="C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8" sqref="B2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7" t="s">
        <v>1784</v>
      </c>
      <c r="B18" s="2357"/>
    </row>
  </sheetData>
  <sheetProtection selectLockedCells="1"/>
  <mergeCells count="1">
    <mergeCell ref="A18:B18"/>
  </mergeCells>
  <phoneticPr fontId="16"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2</xdr:col>
                <xdr:colOff>47625</xdr:colOff>
                <xdr:row>4</xdr:row>
                <xdr:rowOff>76200</xdr:rowOff>
              </from>
              <to>
                <xdr:col>3</xdr:col>
                <xdr:colOff>352425</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75"/>
      <c r="H2" s="1075"/>
    </row>
    <row r="3" spans="1:8" ht="57" customHeight="1" x14ac:dyDescent="0.2">
      <c r="A3" s="2371" t="s">
        <v>1786</v>
      </c>
      <c r="B3" s="2372"/>
      <c r="C3" s="2372"/>
      <c r="D3" s="2372"/>
      <c r="E3" s="2372"/>
      <c r="F3" s="2373"/>
      <c r="G3" s="1075"/>
      <c r="H3" s="1075"/>
    </row>
    <row r="4" spans="1:8" ht="14.25" customHeight="1" x14ac:dyDescent="0.2">
      <c r="A4" s="2377" t="s">
        <v>2056</v>
      </c>
      <c r="B4" s="2378"/>
      <c r="C4" s="2378"/>
      <c r="D4" s="2378"/>
      <c r="E4" s="2378"/>
      <c r="F4" s="2379"/>
      <c r="G4" s="1075"/>
      <c r="H4" s="1075"/>
    </row>
    <row r="5" spans="1:8" ht="14.25" customHeight="1" x14ac:dyDescent="0.2">
      <c r="A5" s="2380" t="s">
        <v>2057</v>
      </c>
      <c r="B5" s="2381"/>
      <c r="C5" s="2381"/>
      <c r="D5" s="2381"/>
      <c r="E5" s="2381"/>
      <c r="F5" s="2382"/>
      <c r="G5" s="1075"/>
      <c r="H5" s="1075"/>
    </row>
    <row r="6" spans="1:8" s="1076" customFormat="1" ht="41.25" customHeight="1" x14ac:dyDescent="0.2">
      <c r="A6" s="2374" t="s">
        <v>1792</v>
      </c>
      <c r="B6" s="2375"/>
      <c r="C6" s="2375"/>
      <c r="D6" s="2375"/>
      <c r="E6" s="2375"/>
      <c r="F6" s="237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5385881</v>
      </c>
      <c r="C8" s="1838">
        <f>'Acct Summary 7-8'!D8</f>
        <v>1133409</v>
      </c>
      <c r="D8" s="1838">
        <f>'Acct Summary 7-8'!F8</f>
        <v>789283</v>
      </c>
      <c r="E8" s="1838">
        <f>'Acct Summary 7-8'!I8</f>
        <v>62682</v>
      </c>
      <c r="F8" s="1838">
        <f>SUM(B8:E8)</f>
        <v>7371255</v>
      </c>
    </row>
    <row r="9" spans="1:8" s="1080" customFormat="1" ht="14.25" customHeight="1" thickBot="1" x14ac:dyDescent="0.25">
      <c r="A9" s="1079" t="s">
        <v>1436</v>
      </c>
      <c r="B9" s="1839">
        <f>'Acct Summary 7-8'!C17</f>
        <v>4961721</v>
      </c>
      <c r="C9" s="1839">
        <f>'Acct Summary 7-8'!D17</f>
        <v>836609</v>
      </c>
      <c r="D9" s="1839">
        <f>'Acct Summary 7-8'!F17</f>
        <v>630723</v>
      </c>
      <c r="E9" s="1838"/>
      <c r="F9" s="1838">
        <f>SUM(B9:E9)</f>
        <v>6429053</v>
      </c>
    </row>
    <row r="10" spans="1:8" s="1080" customFormat="1" ht="14.25" thickTop="1" thickBot="1" x14ac:dyDescent="0.25">
      <c r="A10" s="1081" t="s">
        <v>1437</v>
      </c>
      <c r="B10" s="1840">
        <f>(B8-B9)</f>
        <v>424160</v>
      </c>
      <c r="C10" s="1840">
        <f>(C8-C9)</f>
        <v>296800</v>
      </c>
      <c r="D10" s="1840">
        <f>(D8-D9)</f>
        <v>158560</v>
      </c>
      <c r="E10" s="1839">
        <f>(E8-E9)</f>
        <v>62682</v>
      </c>
      <c r="F10" s="1841">
        <f>SUM(F8-F9)</f>
        <v>942202</v>
      </c>
    </row>
    <row r="11" spans="1:8" s="1080" customFormat="1" ht="14.25" thickTop="1" thickBot="1" x14ac:dyDescent="0.25">
      <c r="A11" s="1082" t="s">
        <v>1785</v>
      </c>
      <c r="B11" s="1842">
        <f>'Acct Summary 7-8'!C81</f>
        <v>1305631</v>
      </c>
      <c r="C11" s="1842">
        <f>'Acct Summary 7-8'!D81</f>
        <v>2182387</v>
      </c>
      <c r="D11" s="1842">
        <f>'Acct Summary 7-8'!F81</f>
        <v>940882</v>
      </c>
      <c r="E11" s="1842">
        <f>'Acct Summary 7-8'!I81</f>
        <v>570053</v>
      </c>
      <c r="F11" s="1843">
        <f>SUM(B11:E11)</f>
        <v>4998953</v>
      </c>
    </row>
    <row r="12" spans="1:8" ht="16.5" customHeight="1" thickTop="1" x14ac:dyDescent="0.2">
      <c r="A12" s="1083"/>
      <c r="B12" s="1084"/>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1787</v>
      </c>
      <c r="B16" s="2361"/>
      <c r="C16" s="2361"/>
      <c r="D16" s="2361"/>
      <c r="E16" s="236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98" sqref="D9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3" t="s">
        <v>686</v>
      </c>
      <c r="B3" s="2384"/>
      <c r="C3" s="2384"/>
      <c r="D3" s="2385"/>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4" t="s">
        <v>1584</v>
      </c>
      <c r="D7" s="2395"/>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6" t="s">
        <v>1065</v>
      </c>
      <c r="B15" s="2387"/>
      <c r="C15" s="2387"/>
      <c r="D15" s="2388"/>
    </row>
    <row r="16" spans="1:4" s="669" customFormat="1" ht="24" customHeight="1" x14ac:dyDescent="0.2">
      <c r="A16" s="2389" t="s">
        <v>684</v>
      </c>
      <c r="B16" s="2390"/>
      <c r="C16" s="2390"/>
      <c r="D16" s="239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8" t="s">
        <v>332</v>
      </c>
      <c r="D21" s="2399"/>
    </row>
    <row r="22" spans="1:10" ht="12.75" x14ac:dyDescent="0.2">
      <c r="A22" s="1140"/>
      <c r="B22" s="1141">
        <v>2</v>
      </c>
      <c r="C22" s="2396" t="s">
        <v>1605</v>
      </c>
      <c r="D22" s="239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0" t="s">
        <v>557</v>
      </c>
      <c r="D43" s="240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2" t="s">
        <v>817</v>
      </c>
      <c r="D56" s="239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2" t="s">
        <v>1797</v>
      </c>
      <c r="D70" s="239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35059007026</v>
      </c>
    </row>
    <row r="3" spans="1:2" x14ac:dyDescent="0.2">
      <c r="A3" t="s">
        <v>1013</v>
      </c>
      <c r="B3" s="138" t="str">
        <f>COVER!A15</f>
        <v>Marshall</v>
      </c>
    </row>
    <row r="4" spans="1:2" x14ac:dyDescent="0.2">
      <c r="A4" t="s">
        <v>1064</v>
      </c>
      <c r="B4" s="138" t="str">
        <f>COVER!A17</f>
        <v>Midland CUSD 7</v>
      </c>
    </row>
    <row r="5" spans="1:2" x14ac:dyDescent="0.2">
      <c r="A5" t="s">
        <v>728</v>
      </c>
      <c r="B5" s="138" t="str">
        <f>COVER!A38</f>
        <v>William Wrenn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066-005055</v>
      </c>
    </row>
    <row r="16" spans="1:2" x14ac:dyDescent="0.2">
      <c r="A16" t="s">
        <v>442</v>
      </c>
      <c r="B16" s="138" t="str">
        <f>COVER!T13</f>
        <v>Ginoli &amp; Company Ltd</v>
      </c>
    </row>
    <row r="17" spans="1:2" x14ac:dyDescent="0.2">
      <c r="A17" t="s">
        <v>939</v>
      </c>
      <c r="B17" s="138" t="str">
        <f>COVER!T15</f>
        <v>Mark D Reinken</v>
      </c>
    </row>
    <row r="18" spans="1:2" x14ac:dyDescent="0.2">
      <c r="A18" t="s">
        <v>1212</v>
      </c>
      <c r="B18" s="138" t="str">
        <f>COVER!T17</f>
        <v>7625 N University Street, Suite A</v>
      </c>
    </row>
    <row r="19" spans="1:2" x14ac:dyDescent="0.2">
      <c r="A19" t="s">
        <v>941</v>
      </c>
      <c r="B19" s="138" t="str">
        <f>COVER!T25</f>
        <v>mreinken@ginolicpa.com</v>
      </c>
    </row>
    <row r="20" spans="1:2" x14ac:dyDescent="0.2">
      <c r="A20" t="s">
        <v>942</v>
      </c>
      <c r="B20" s="138" t="str">
        <f>COVER!T19</f>
        <v>Peoria</v>
      </c>
    </row>
    <row r="21" spans="1:2" x14ac:dyDescent="0.2">
      <c r="A21" t="s">
        <v>500</v>
      </c>
      <c r="B21" s="138" t="str">
        <f>COVER!X19</f>
        <v>IL</v>
      </c>
    </row>
    <row r="22" spans="1:2" x14ac:dyDescent="0.2">
      <c r="A22" t="s">
        <v>943</v>
      </c>
      <c r="B22" s="138" t="str">
        <f>COVER!Z19</f>
        <v>61614-8303</v>
      </c>
    </row>
    <row r="23" spans="1:2" x14ac:dyDescent="0.2">
      <c r="A23" t="s">
        <v>1214</v>
      </c>
      <c r="B23" s="138" t="str">
        <f>COVER!T21</f>
        <v>(309) 671-2350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Yes</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919225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1304944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-687</v>
      </c>
      <c r="C91" s="2" t="s">
        <v>594</v>
      </c>
      <c r="D91" s="2" t="str">
        <f t="shared" si="0"/>
        <v>Error?</v>
      </c>
    </row>
    <row r="92" spans="1:4" x14ac:dyDescent="0.2">
      <c r="A92" s="5">
        <v>31</v>
      </c>
      <c r="B92" s="138">
        <f>'Assets-Liab 5-6'!C39</f>
        <v>1177276</v>
      </c>
      <c r="D92" s="2" t="str">
        <f t="shared" si="0"/>
        <v>Error?</v>
      </c>
    </row>
    <row r="93" spans="1:4" x14ac:dyDescent="0.2">
      <c r="A93" s="5">
        <v>32</v>
      </c>
      <c r="B93" s="138">
        <f>'Assets-Liab 5-6'!C41</f>
        <v>1304944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1906750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2182387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2182387</v>
      </c>
      <c r="D123" s="2" t="str">
        <f t="shared" si="0"/>
        <v>Error?</v>
      </c>
    </row>
    <row r="124" spans="1:4" x14ac:dyDescent="0.2">
      <c r="A124" s="5">
        <v>63</v>
      </c>
      <c r="B124" s="138">
        <f>'Assets-Liab 5-6'!D41</f>
        <v>2182387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151058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940882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940882</v>
      </c>
      <c r="D170" s="2" t="str">
        <f t="shared" si="1"/>
        <v>Error?</v>
      </c>
    </row>
    <row r="171" spans="1:4" x14ac:dyDescent="0.2">
      <c r="A171" s="5">
        <v>110</v>
      </c>
      <c r="B171" s="138">
        <f>'Assets-Liab 5-6'!F41</f>
        <v>940882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198971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136328</v>
      </c>
      <c r="D189" s="2" t="str">
        <f t="shared" si="1"/>
        <v>Error?</v>
      </c>
    </row>
    <row r="190" spans="1:4" x14ac:dyDescent="0.2">
      <c r="A190" s="5">
        <v>129</v>
      </c>
      <c r="B190" s="138">
        <f>'Assets-Liab 5-6'!G41</f>
        <v>198971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23296</v>
      </c>
      <c r="D273" s="2" t="str">
        <f t="shared" si="3"/>
        <v>Error?</v>
      </c>
    </row>
    <row r="274" spans="1:4" x14ac:dyDescent="0.2">
      <c r="A274" s="5">
        <v>213</v>
      </c>
      <c r="B274" s="138">
        <f>'Assets-Liab 5-6'!M17</f>
        <v>20041672</v>
      </c>
      <c r="D274" s="2" t="str">
        <f t="shared" si="3"/>
        <v>Error?</v>
      </c>
    </row>
    <row r="275" spans="1:4" x14ac:dyDescent="0.2">
      <c r="A275" s="5">
        <v>214</v>
      </c>
      <c r="B275" s="138">
        <f>'Assets-Liab 5-6'!M18</f>
        <v>1157887</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21222855</v>
      </c>
      <c r="C279" s="2" t="s">
        <v>594</v>
      </c>
      <c r="D279" s="2" t="str">
        <f t="shared" si="3"/>
        <v>Error?</v>
      </c>
    </row>
    <row r="280" spans="1:4" x14ac:dyDescent="0.2">
      <c r="A280" s="5">
        <v>219</v>
      </c>
      <c r="B280" s="138">
        <f>'Assets-Liab 5-6'!M40</f>
        <v>21222855</v>
      </c>
      <c r="D280" s="2" t="str">
        <f t="shared" si="3"/>
        <v>Error?</v>
      </c>
    </row>
    <row r="281" spans="1:4" x14ac:dyDescent="0.2">
      <c r="A281" s="5">
        <v>220</v>
      </c>
      <c r="B281" s="138">
        <f>'Assets-Liab 5-6'!M41</f>
        <v>21222855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9715000</v>
      </c>
      <c r="D283" s="2" t="str">
        <f t="shared" si="3"/>
        <v>Error?</v>
      </c>
    </row>
    <row r="284" spans="1:4" x14ac:dyDescent="0.2">
      <c r="A284" s="5">
        <v>223</v>
      </c>
      <c r="B284" s="138">
        <f>'Assets-Liab 5-6'!N23</f>
        <v>9715000</v>
      </c>
      <c r="C284" s="2" t="s">
        <v>594</v>
      </c>
      <c r="D284" s="2" t="str">
        <f t="shared" si="3"/>
        <v>Error?</v>
      </c>
    </row>
    <row r="285" spans="1:4" x14ac:dyDescent="0.2">
      <c r="A285" s="5">
        <v>224</v>
      </c>
      <c r="B285" s="138">
        <f>'Assets-Liab 5-6'!N36</f>
        <v>9715000</v>
      </c>
      <c r="D285" s="2" t="str">
        <f t="shared" si="3"/>
        <v>Error?</v>
      </c>
    </row>
    <row r="286" spans="1:4" x14ac:dyDescent="0.2">
      <c r="A286" s="10">
        <v>225</v>
      </c>
      <c r="D286" s="2" t="str">
        <f t="shared" si="3"/>
        <v>OK</v>
      </c>
    </row>
    <row r="287" spans="1:4" x14ac:dyDescent="0.2">
      <c r="A287" s="5">
        <v>226</v>
      </c>
      <c r="B287" s="138">
        <f>'Assets-Liab 5-6'!N37</f>
        <v>9715000</v>
      </c>
      <c r="C287" s="2" t="s">
        <v>594</v>
      </c>
      <c r="D287" s="2" t="str">
        <f t="shared" si="3"/>
        <v>Error?</v>
      </c>
    </row>
    <row r="288" spans="1:4" x14ac:dyDescent="0.2">
      <c r="A288" s="5">
        <v>227</v>
      </c>
      <c r="B288" s="138">
        <f>'Assets-Liab 5-6'!N41</f>
        <v>9715000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1622295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208453</v>
      </c>
      <c r="D717" s="2" t="str">
        <f t="shared" si="10"/>
        <v>Error?</v>
      </c>
    </row>
    <row r="718" spans="1:4" x14ac:dyDescent="0.2">
      <c r="A718" s="5">
        <v>657</v>
      </c>
      <c r="B718" s="138">
        <f>'Expenditures 15-22'!C14</f>
        <v>112564</v>
      </c>
      <c r="D718" s="2" t="str">
        <f t="shared" si="10"/>
        <v>Error?</v>
      </c>
    </row>
    <row r="719" spans="1:4" x14ac:dyDescent="0.2">
      <c r="A719" s="5">
        <v>658</v>
      </c>
      <c r="B719" s="138">
        <f>'Expenditures 15-22'!C15</f>
        <v>1950</v>
      </c>
      <c r="D719" s="2" t="str">
        <f t="shared" si="10"/>
        <v>Error?</v>
      </c>
    </row>
    <row r="720" spans="1:4" x14ac:dyDescent="0.2">
      <c r="A720" s="5">
        <v>659</v>
      </c>
      <c r="B720" s="138">
        <f>'Expenditures 15-22'!C33</f>
        <v>2537446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108918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4183</v>
      </c>
      <c r="D726" s="2" t="str">
        <f t="shared" si="10"/>
        <v>Error?</v>
      </c>
    </row>
    <row r="727" spans="1:4" x14ac:dyDescent="0.2">
      <c r="A727" s="5">
        <v>666</v>
      </c>
      <c r="B727" s="138">
        <f>'Expenditures 15-22'!C42</f>
        <v>113101</v>
      </c>
      <c r="C727" s="2" t="s">
        <v>594</v>
      </c>
      <c r="D727" s="2" t="str">
        <f t="shared" si="10"/>
        <v>Error?</v>
      </c>
    </row>
    <row r="728" spans="1:4" x14ac:dyDescent="0.2">
      <c r="A728" s="5">
        <v>667</v>
      </c>
      <c r="B728" s="138">
        <f>'Expenditures 15-22'!C44</f>
        <v>3076</v>
      </c>
      <c r="D728" s="2" t="str">
        <f t="shared" si="10"/>
        <v>Error?</v>
      </c>
    </row>
    <row r="729" spans="1:4" x14ac:dyDescent="0.2">
      <c r="A729" s="5">
        <v>668</v>
      </c>
      <c r="B729" s="138">
        <f>'Expenditures 15-22'!C45</f>
        <v>35498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38574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92070</v>
      </c>
      <c r="D733" s="2" t="str">
        <f t="shared" si="10"/>
        <v>Error?</v>
      </c>
    </row>
    <row r="734" spans="1:4" x14ac:dyDescent="0.2">
      <c r="A734" s="5">
        <v>673</v>
      </c>
      <c r="B734" s="138">
        <f>'Expenditures 15-22'!C53</f>
        <v>92070</v>
      </c>
      <c r="C734" s="2" t="s">
        <v>594</v>
      </c>
      <c r="D734" s="2" t="str">
        <f t="shared" si="10"/>
        <v>Error?</v>
      </c>
    </row>
    <row r="735" spans="1:4" x14ac:dyDescent="0.2">
      <c r="A735" s="5">
        <v>674</v>
      </c>
      <c r="B735" s="138">
        <f>'Expenditures 15-22'!C55</f>
        <v>344076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344076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46205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129519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175724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763545</v>
      </c>
      <c r="C755" s="2" t="s">
        <v>594</v>
      </c>
      <c r="D755" s="2" t="str">
        <f t="shared" si="10"/>
        <v>Error?</v>
      </c>
    </row>
    <row r="756" spans="1:4" x14ac:dyDescent="0.2">
      <c r="A756" s="5">
        <v>695</v>
      </c>
      <c r="B756" s="138">
        <f>'Expenditures 15-22'!C75</f>
        <v>8877</v>
      </c>
      <c r="D756" s="2" t="str">
        <f t="shared" si="10"/>
        <v>Error?</v>
      </c>
    </row>
    <row r="757" spans="1:4" x14ac:dyDescent="0.2">
      <c r="A757" s="5">
        <v>696</v>
      </c>
      <c r="B757" s="138">
        <f>'Expenditures 15-22'!C114</f>
        <v>3309868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348376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51067</v>
      </c>
      <c r="D775" s="2" t="str">
        <f t="shared" si="11"/>
        <v>Error?</v>
      </c>
    </row>
    <row r="776" spans="1:4" x14ac:dyDescent="0.2">
      <c r="A776" s="5">
        <v>715</v>
      </c>
      <c r="B776" s="138">
        <f>'Expenditures 15-22'!D14</f>
        <v>31806</v>
      </c>
      <c r="D776" s="2" t="str">
        <f t="shared" si="11"/>
        <v>Error?</v>
      </c>
    </row>
    <row r="777" spans="1:4" x14ac:dyDescent="0.2">
      <c r="A777" s="5">
        <v>716</v>
      </c>
      <c r="B777" s="138">
        <f>'Expenditures 15-22'!D15</f>
        <v>58</v>
      </c>
      <c r="D777" s="2" t="str">
        <f t="shared" si="11"/>
        <v>Error?</v>
      </c>
    </row>
    <row r="778" spans="1:4" x14ac:dyDescent="0.2">
      <c r="A778" s="5">
        <v>717</v>
      </c>
      <c r="B778" s="138">
        <f>'Expenditures 15-22'!D33</f>
        <v>532883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18547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18547</v>
      </c>
      <c r="C785" s="2" t="s">
        <v>594</v>
      </c>
      <c r="D785" s="2" t="str">
        <f t="shared" si="11"/>
        <v>Error?</v>
      </c>
    </row>
    <row r="786" spans="1:4" x14ac:dyDescent="0.2">
      <c r="A786" s="5">
        <v>725</v>
      </c>
      <c r="B786" s="138">
        <f>'Expenditures 15-22'!D44</f>
        <v>427</v>
      </c>
      <c r="D786" s="2" t="str">
        <f t="shared" si="11"/>
        <v>Error?</v>
      </c>
    </row>
    <row r="787" spans="1:4" x14ac:dyDescent="0.2">
      <c r="A787" s="5">
        <v>726</v>
      </c>
      <c r="B787" s="138">
        <f>'Expenditures 15-22'!D45</f>
        <v>279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22339</v>
      </c>
      <c r="D791" s="2" t="str">
        <f t="shared" si="11"/>
        <v>Error?</v>
      </c>
    </row>
    <row r="792" spans="1:4" x14ac:dyDescent="0.2">
      <c r="A792" s="5">
        <v>731</v>
      </c>
      <c r="B792" s="138">
        <f>'Expenditures 15-22'!D53</f>
        <v>22339</v>
      </c>
      <c r="C792" s="2" t="s">
        <v>594</v>
      </c>
      <c r="D792" s="2" t="str">
        <f t="shared" si="11"/>
        <v>Error?</v>
      </c>
    </row>
    <row r="793" spans="1:4" x14ac:dyDescent="0.2">
      <c r="A793" s="5">
        <v>732</v>
      </c>
      <c r="B793" s="138">
        <f>'Expenditures 15-22'!D55</f>
        <v>82068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82068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4484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6422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130082</v>
      </c>
      <c r="C813" s="2" t="s">
        <v>594</v>
      </c>
      <c r="D813" s="2" t="str">
        <f t="shared" si="11"/>
        <v>Error?</v>
      </c>
    </row>
    <row r="814" spans="1:4" x14ac:dyDescent="0.2">
      <c r="A814" s="5">
        <v>753</v>
      </c>
      <c r="B814" s="138">
        <f>'Expenditures 15-22'!D75</f>
        <v>526</v>
      </c>
      <c r="D814" s="2" t="str">
        <f t="shared" si="11"/>
        <v>Error?</v>
      </c>
    </row>
    <row r="815" spans="1:4" x14ac:dyDescent="0.2">
      <c r="A815" s="5">
        <v>754</v>
      </c>
      <c r="B815" s="138">
        <f>'Expenditures 15-22'!D114</f>
        <v>663491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22145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14391</v>
      </c>
      <c r="D833" s="2" t="str">
        <f t="shared" si="12"/>
        <v>Error?</v>
      </c>
    </row>
    <row r="834" spans="1:4" x14ac:dyDescent="0.2">
      <c r="A834" s="5">
        <v>773</v>
      </c>
      <c r="B834" s="138">
        <f>'Expenditures 15-22'!E14</f>
        <v>25831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74645</v>
      </c>
      <c r="C836" s="2" t="s">
        <v>594</v>
      </c>
      <c r="D836" s="2" t="str">
        <f t="shared" si="12"/>
        <v>Error?</v>
      </c>
    </row>
    <row r="837" spans="1:4" x14ac:dyDescent="0.2">
      <c r="A837" s="5">
        <v>776</v>
      </c>
      <c r="B837" s="138">
        <f>'Expenditures 15-22'!E36</f>
        <v>14709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27687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83548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125944</v>
      </c>
      <c r="C843" s="2" t="s">
        <v>594</v>
      </c>
      <c r="D843" s="2" t="str">
        <f t="shared" si="12"/>
        <v>Error?</v>
      </c>
    </row>
    <row r="844" spans="1:4" x14ac:dyDescent="0.2">
      <c r="A844" s="5">
        <v>783</v>
      </c>
      <c r="B844" s="138">
        <f>'Expenditures 15-22'!E44</f>
        <v>10831</v>
      </c>
      <c r="D844" s="2" t="str">
        <f t="shared" si="12"/>
        <v>Error?</v>
      </c>
    </row>
    <row r="845" spans="1:4" x14ac:dyDescent="0.2">
      <c r="A845" s="5">
        <v>784</v>
      </c>
      <c r="B845" s="138">
        <f>'Expenditures 15-22'!E45</f>
        <v>2532</v>
      </c>
      <c r="D845" s="2" t="str">
        <f t="shared" si="12"/>
        <v>Error?</v>
      </c>
    </row>
    <row r="846" spans="1:4" x14ac:dyDescent="0.2">
      <c r="A846" s="5">
        <v>785</v>
      </c>
      <c r="B846" s="138">
        <f>'Expenditures 15-22'!E46</f>
        <v>9685</v>
      </c>
      <c r="D846" s="2" t="str">
        <f t="shared" si="12"/>
        <v>Error?</v>
      </c>
    </row>
    <row r="847" spans="1:4" x14ac:dyDescent="0.2">
      <c r="A847" s="5">
        <v>786</v>
      </c>
      <c r="B847" s="138">
        <f>'Expenditures 15-22'!E47</f>
        <v>23048</v>
      </c>
      <c r="C847" s="2" t="s">
        <v>594</v>
      </c>
      <c r="D847" s="2" t="str">
        <f t="shared" si="12"/>
        <v>Error?</v>
      </c>
    </row>
    <row r="848" spans="1:4" x14ac:dyDescent="0.2">
      <c r="A848" s="5">
        <v>787</v>
      </c>
      <c r="B848" s="138">
        <f>'Expenditures 15-22'!E49</f>
        <v>50922</v>
      </c>
      <c r="D848" s="2" t="str">
        <f t="shared" si="12"/>
        <v>Error?</v>
      </c>
    </row>
    <row r="849" spans="1:4" x14ac:dyDescent="0.2">
      <c r="A849" s="5">
        <v>788</v>
      </c>
      <c r="B849" s="138">
        <f>'Expenditures 15-22'!E50</f>
        <v>8270</v>
      </c>
      <c r="D849" s="2" t="str">
        <f t="shared" si="12"/>
        <v>Error?</v>
      </c>
    </row>
    <row r="850" spans="1:4" x14ac:dyDescent="0.2">
      <c r="A850" s="5">
        <v>789</v>
      </c>
      <c r="B850" s="138">
        <f>'Expenditures 15-22'!E53</f>
        <v>59192</v>
      </c>
      <c r="C850" s="2" t="s">
        <v>594</v>
      </c>
      <c r="D850" s="2" t="str">
        <f t="shared" si="12"/>
        <v>Error?</v>
      </c>
    </row>
    <row r="851" spans="1:4" x14ac:dyDescent="0.2">
      <c r="A851" s="5">
        <v>790</v>
      </c>
      <c r="B851" s="138">
        <f>'Expenditures 15-22'!E55</f>
        <v>6337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6337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23297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23575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238096</v>
      </c>
      <c r="C871" s="2" t="s">
        <v>594</v>
      </c>
      <c r="D871" s="2" t="str">
        <f t="shared" si="12"/>
        <v>Error?</v>
      </c>
    </row>
    <row r="872" spans="1:4" x14ac:dyDescent="0.2">
      <c r="A872" s="5">
        <v>811</v>
      </c>
      <c r="B872" s="138">
        <f>'Expenditures 15-22'!E75</f>
        <v>200</v>
      </c>
      <c r="D872" s="2" t="str">
        <f t="shared" si="12"/>
        <v>Error?</v>
      </c>
    </row>
    <row r="873" spans="1:4" x14ac:dyDescent="0.2">
      <c r="A873" s="5">
        <v>812</v>
      </c>
      <c r="B873" s="138">
        <f>'Expenditures 15-22'!E114</f>
        <v>411809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42492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26287</v>
      </c>
      <c r="D891" s="2" t="str">
        <f t="shared" si="12"/>
        <v>Error?</v>
      </c>
    </row>
    <row r="892" spans="1:4" x14ac:dyDescent="0.2">
      <c r="A892" s="5">
        <v>831</v>
      </c>
      <c r="B892" s="138">
        <f>'Expenditures 15-22'!F14</f>
        <v>24402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148052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473</v>
      </c>
      <c r="D896" s="2" t="str">
        <f t="shared" si="13"/>
        <v>Error?</v>
      </c>
    </row>
    <row r="897" spans="1:4" x14ac:dyDescent="0.2">
      <c r="A897" s="5">
        <v>836</v>
      </c>
      <c r="B897" s="138">
        <f>'Expenditures 15-22'!F38</f>
        <v>1242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579</v>
      </c>
      <c r="D899" s="2" t="str">
        <f t="shared" si="13"/>
        <v>Error?</v>
      </c>
    </row>
    <row r="900" spans="1:4" x14ac:dyDescent="0.2">
      <c r="A900" s="5">
        <v>839</v>
      </c>
      <c r="B900" s="138">
        <f>'Expenditures 15-22'!F41</f>
        <v>2797</v>
      </c>
      <c r="D900" s="2" t="str">
        <f t="shared" si="13"/>
        <v>Error?</v>
      </c>
    </row>
    <row r="901" spans="1:4" x14ac:dyDescent="0.2">
      <c r="A901" s="5">
        <v>840</v>
      </c>
      <c r="B901" s="138">
        <f>'Expenditures 15-22'!F42</f>
        <v>5091</v>
      </c>
      <c r="C901" s="2" t="s">
        <v>594</v>
      </c>
      <c r="D901" s="2" t="str">
        <f t="shared" si="13"/>
        <v>Error?</v>
      </c>
    </row>
    <row r="902" spans="1:4" x14ac:dyDescent="0.2">
      <c r="A902" s="5">
        <v>841</v>
      </c>
      <c r="B902" s="138">
        <f>'Expenditures 15-22'!F44</f>
        <v>1788</v>
      </c>
      <c r="D902" s="2" t="str">
        <f t="shared" si="13"/>
        <v>Error?</v>
      </c>
    </row>
    <row r="903" spans="1:4" x14ac:dyDescent="0.2">
      <c r="A903" s="5">
        <v>842</v>
      </c>
      <c r="B903" s="138">
        <f>'Expenditures 15-22'!F45</f>
        <v>8415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10203</v>
      </c>
      <c r="C905" s="2" t="s">
        <v>594</v>
      </c>
      <c r="D905" s="2" t="str">
        <f t="shared" si="13"/>
        <v>Error?</v>
      </c>
    </row>
    <row r="906" spans="1:4" x14ac:dyDescent="0.2">
      <c r="A906" s="5">
        <v>845</v>
      </c>
      <c r="B906" s="138">
        <f>'Expenditures 15-22'!F49</f>
        <v>5145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5854</v>
      </c>
      <c r="C908" s="2" t="s">
        <v>594</v>
      </c>
      <c r="D908" s="2" t="str">
        <f t="shared" si="13"/>
        <v>Error?</v>
      </c>
    </row>
    <row r="909" spans="1:4" x14ac:dyDescent="0.2">
      <c r="A909" s="5">
        <v>848</v>
      </c>
      <c r="B909" s="138">
        <f>'Expenditures 15-22'!F55</f>
        <v>1677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1677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1916</v>
      </c>
      <c r="D913" s="2" t="str">
        <f t="shared" si="13"/>
        <v>Error?</v>
      </c>
    </row>
    <row r="914" spans="1:4" x14ac:dyDescent="0.2">
      <c r="A914" s="5">
        <v>853</v>
      </c>
      <c r="B914" s="138">
        <f>'Expenditures 15-22'!F61</f>
        <v>1223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155566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158705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181530</v>
      </c>
      <c r="C929" s="2" t="s">
        <v>594</v>
      </c>
      <c r="D929" s="2" t="str">
        <f t="shared" si="13"/>
        <v>Error?</v>
      </c>
    </row>
    <row r="930" spans="1:4" x14ac:dyDescent="0.2">
      <c r="A930" s="5">
        <v>869</v>
      </c>
      <c r="B930" s="138">
        <f>'Expenditures 15-22'!F75</f>
        <v>5875</v>
      </c>
      <c r="D930" s="2" t="str">
        <f t="shared" si="13"/>
        <v>Error?</v>
      </c>
    </row>
    <row r="931" spans="1:4" x14ac:dyDescent="0.2">
      <c r="A931" s="5">
        <v>870</v>
      </c>
      <c r="B931" s="138">
        <f>'Expenditures 15-22'!F114</f>
        <v>335457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6802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15059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2561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2561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2561</v>
      </c>
      <c r="C987" s="2" t="s">
        <v>594</v>
      </c>
      <c r="D987" s="2" t="str">
        <f t="shared" si="14"/>
        <v>Error?</v>
      </c>
    </row>
    <row r="988" spans="1:4" x14ac:dyDescent="0.2">
      <c r="A988" s="5">
        <v>927</v>
      </c>
      <c r="B988" s="138">
        <f>'Expenditures 15-22'!G75</f>
        <v>2373</v>
      </c>
      <c r="D988" s="2" t="str">
        <f t="shared" si="14"/>
        <v>Error?</v>
      </c>
    </row>
    <row r="989" spans="1:4" x14ac:dyDescent="0.2">
      <c r="A989" s="5">
        <v>928</v>
      </c>
      <c r="B989" s="138">
        <f>'Expenditures 15-22'!G114</f>
        <v>19993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6765</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8210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1764</v>
      </c>
      <c r="D1022" s="2" t="str">
        <f t="shared" si="14"/>
        <v>Error?</v>
      </c>
    </row>
    <row r="1023" spans="1:4" x14ac:dyDescent="0.2">
      <c r="A1023" s="5">
        <v>962</v>
      </c>
      <c r="B1023" s="138">
        <f>'Expenditures 15-22'!H50</f>
        <v>360</v>
      </c>
      <c r="D1023" s="2" t="str">
        <f t="shared" ref="D1023:D1086" si="15">IF(ISBLANK(B1023),"OK",IF(A1023-B1023=0,"OK","Error?"))</f>
        <v>Error?</v>
      </c>
    </row>
    <row r="1024" spans="1:4" x14ac:dyDescent="0.2">
      <c r="A1024" s="5">
        <v>963</v>
      </c>
      <c r="B1024" s="138">
        <f>'Expenditures 15-22'!H53</f>
        <v>2124</v>
      </c>
      <c r="C1024" s="2" t="s">
        <v>594</v>
      </c>
      <c r="D1024" s="2" t="str">
        <f t="shared" si="15"/>
        <v>Error?</v>
      </c>
    </row>
    <row r="1025" spans="1:4" x14ac:dyDescent="0.2">
      <c r="A1025" s="5">
        <v>964</v>
      </c>
      <c r="B1025" s="138">
        <f>'Expenditures 15-22'!H55</f>
        <v>319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319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2443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210450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221103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2035308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313765</v>
      </c>
      <c r="C1105" s="2" t="s">
        <v>594</v>
      </c>
      <c r="D1105" s="2" t="str">
        <f t="shared" si="16"/>
        <v>Error?</v>
      </c>
    </row>
    <row r="1106" spans="1:4" x14ac:dyDescent="0.2">
      <c r="A1106" s="5">
        <v>1045</v>
      </c>
      <c r="B1106" s="138">
        <f>'Expenditures 15-22'!K14</f>
        <v>194603</v>
      </c>
      <c r="C1106" s="2" t="s">
        <v>594</v>
      </c>
      <c r="D1106" s="2" t="str">
        <f t="shared" si="16"/>
        <v>Error?</v>
      </c>
    </row>
    <row r="1107" spans="1:4" x14ac:dyDescent="0.2">
      <c r="A1107" s="5">
        <v>1046</v>
      </c>
      <c r="B1107" s="138">
        <f>'Expenditures 15-22'!K15</f>
        <v>2008</v>
      </c>
      <c r="C1107" s="2" t="s">
        <v>594</v>
      </c>
      <c r="D1107" s="2" t="str">
        <f t="shared" si="16"/>
        <v>Error?</v>
      </c>
    </row>
    <row r="1108" spans="1:4" x14ac:dyDescent="0.2">
      <c r="A1108" s="5">
        <v>1047</v>
      </c>
      <c r="B1108" s="138">
        <f>'Expenditures 15-22'!K33</f>
        <v>3316295</v>
      </c>
      <c r="C1108" s="2" t="s">
        <v>594</v>
      </c>
      <c r="D1108" s="2" t="str">
        <f t="shared" si="16"/>
        <v>Error?</v>
      </c>
    </row>
    <row r="1109" spans="1:4" x14ac:dyDescent="0.2">
      <c r="A1109" s="5">
        <v>1048</v>
      </c>
      <c r="B1109" s="138">
        <f>'Expenditures 15-22'!K36</f>
        <v>14709</v>
      </c>
      <c r="C1109" s="2" t="s">
        <v>594</v>
      </c>
      <c r="D1109" s="2" t="str">
        <f t="shared" si="16"/>
        <v>Error?</v>
      </c>
    </row>
    <row r="1110" spans="1:4" x14ac:dyDescent="0.2">
      <c r="A1110" s="5">
        <v>1049</v>
      </c>
      <c r="B1110" s="138">
        <f>'Expenditures 15-22'!K37</f>
        <v>127938</v>
      </c>
      <c r="C1110" s="2" t="s">
        <v>594</v>
      </c>
      <c r="D1110" s="2" t="str">
        <f t="shared" si="16"/>
        <v>Error?</v>
      </c>
    </row>
    <row r="1111" spans="1:4" x14ac:dyDescent="0.2">
      <c r="A1111" s="5">
        <v>1050</v>
      </c>
      <c r="B1111" s="138">
        <f>'Expenditures 15-22'!K38</f>
        <v>28929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84127</v>
      </c>
      <c r="C1113" s="2" t="s">
        <v>594</v>
      </c>
      <c r="D1113" s="2" t="str">
        <f t="shared" si="16"/>
        <v>Error?</v>
      </c>
    </row>
    <row r="1114" spans="1:4" x14ac:dyDescent="0.2">
      <c r="A1114" s="5">
        <v>1053</v>
      </c>
      <c r="B1114" s="138">
        <f>'Expenditures 15-22'!K41</f>
        <v>6980</v>
      </c>
      <c r="C1114" s="2" t="s">
        <v>594</v>
      </c>
      <c r="D1114" s="2" t="str">
        <f t="shared" si="16"/>
        <v>Error?</v>
      </c>
    </row>
    <row r="1115" spans="1:4" x14ac:dyDescent="0.2">
      <c r="A1115" s="5">
        <v>1054</v>
      </c>
      <c r="B1115" s="138">
        <f>'Expenditures 15-22'!K42</f>
        <v>262683</v>
      </c>
      <c r="C1115" s="2" t="s">
        <v>594</v>
      </c>
      <c r="D1115" s="2" t="str">
        <f t="shared" si="16"/>
        <v>Error?</v>
      </c>
    </row>
    <row r="1116" spans="1:4" x14ac:dyDescent="0.2">
      <c r="A1116" s="5">
        <v>1055</v>
      </c>
      <c r="B1116" s="138">
        <f>'Expenditures 15-22'!K44</f>
        <v>16122</v>
      </c>
      <c r="C1116" s="2" t="s">
        <v>594</v>
      </c>
      <c r="D1116" s="2" t="str">
        <f t="shared" si="16"/>
        <v>Error?</v>
      </c>
    </row>
    <row r="1117" spans="1:4" x14ac:dyDescent="0.2">
      <c r="A1117" s="5">
        <v>1056</v>
      </c>
      <c r="B1117" s="138">
        <f>'Expenditures 15-22'!K45</f>
        <v>49285</v>
      </c>
      <c r="C1117" s="2" t="s">
        <v>594</v>
      </c>
      <c r="D1117" s="2" t="str">
        <f t="shared" si="16"/>
        <v>Error?</v>
      </c>
    </row>
    <row r="1118" spans="1:4" x14ac:dyDescent="0.2">
      <c r="A1118" s="5">
        <v>1057</v>
      </c>
      <c r="B1118" s="138">
        <f>'Expenditures 15-22'!K46</f>
        <v>9685</v>
      </c>
      <c r="C1118" s="2" t="s">
        <v>594</v>
      </c>
      <c r="D1118" s="2" t="str">
        <f t="shared" si="16"/>
        <v>Error?</v>
      </c>
    </row>
    <row r="1119" spans="1:4" x14ac:dyDescent="0.2">
      <c r="A1119" s="5">
        <v>1058</v>
      </c>
      <c r="B1119" s="138">
        <f>'Expenditures 15-22'!K47</f>
        <v>75092</v>
      </c>
      <c r="C1119" s="2" t="s">
        <v>594</v>
      </c>
      <c r="D1119" s="2" t="str">
        <f t="shared" si="16"/>
        <v>Error?</v>
      </c>
    </row>
    <row r="1120" spans="1:4" x14ac:dyDescent="0.2">
      <c r="A1120" s="5">
        <v>1059</v>
      </c>
      <c r="B1120" s="138">
        <f>'Expenditures 15-22'!K49</f>
        <v>57831</v>
      </c>
      <c r="C1120" s="2" t="s">
        <v>594</v>
      </c>
      <c r="D1120" s="2" t="str">
        <f t="shared" si="16"/>
        <v>Error?</v>
      </c>
    </row>
    <row r="1121" spans="1:4" x14ac:dyDescent="0.2">
      <c r="A1121" s="5">
        <v>1060</v>
      </c>
      <c r="B1121" s="138">
        <f>'Expenditures 15-22'!K50</f>
        <v>123039</v>
      </c>
      <c r="C1121" s="2" t="s">
        <v>594</v>
      </c>
      <c r="D1121" s="2" t="str">
        <f t="shared" si="16"/>
        <v>Error?</v>
      </c>
    </row>
    <row r="1122" spans="1:4" x14ac:dyDescent="0.2">
      <c r="A1122" s="5">
        <v>1061</v>
      </c>
      <c r="B1122" s="138">
        <f>'Expenditures 15-22'!K53</f>
        <v>181579</v>
      </c>
      <c r="C1122" s="2" t="s">
        <v>594</v>
      </c>
      <c r="D1122" s="2" t="str">
        <f t="shared" si="16"/>
        <v>Error?</v>
      </c>
    </row>
    <row r="1123" spans="1:4" x14ac:dyDescent="0.2">
      <c r="A1123" s="5">
        <v>1062</v>
      </c>
      <c r="B1123" s="138">
        <f>'Expenditures 15-22'!K55</f>
        <v>434477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434477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73356</v>
      </c>
      <c r="C1127" s="2" t="s">
        <v>594</v>
      </c>
      <c r="D1127" s="2" t="str">
        <f t="shared" si="16"/>
        <v>Error?</v>
      </c>
    </row>
    <row r="1128" spans="1:4" x14ac:dyDescent="0.2">
      <c r="A1128" s="5">
        <v>1067</v>
      </c>
      <c r="B1128" s="138">
        <f>'Expenditures 15-22'!K61</f>
        <v>1223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289847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364426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1318257</v>
      </c>
      <c r="C1143" s="2" t="s">
        <v>594</v>
      </c>
      <c r="D1143" s="2" t="str">
        <f t="shared" si="16"/>
        <v>Error?</v>
      </c>
    </row>
    <row r="1144" spans="1:4" x14ac:dyDescent="0.2">
      <c r="A1144" s="5">
        <v>1083</v>
      </c>
      <c r="B1144" s="138">
        <f>'Expenditures 15-22'!K75</f>
        <v>17851</v>
      </c>
      <c r="C1144" s="2" t="s">
        <v>594</v>
      </c>
      <c r="D1144" s="2" t="str">
        <f t="shared" si="16"/>
        <v>Error?</v>
      </c>
    </row>
    <row r="1145" spans="1:4" x14ac:dyDescent="0.2">
      <c r="A1145" s="5">
        <v>1084</v>
      </c>
      <c r="B1145" s="138">
        <f>'Expenditures 15-22'!K102</f>
        <v>309318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4961721</v>
      </c>
      <c r="C1152" s="2" t="s">
        <v>594</v>
      </c>
      <c r="D1152" s="2" t="str">
        <f t="shared" si="17"/>
        <v>Error?</v>
      </c>
    </row>
    <row r="1153" spans="1:4" x14ac:dyDescent="0.2">
      <c r="A1153" s="5">
        <v>1092</v>
      </c>
      <c r="B1153" s="138">
        <f>'Expenditures 15-22'!K115</f>
        <v>424160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326752</v>
      </c>
      <c r="D1221" s="2" t="str">
        <f t="shared" si="18"/>
        <v>Error?</v>
      </c>
    </row>
    <row r="1222" spans="1:4" x14ac:dyDescent="0.2">
      <c r="A1222" s="10">
        <v>1161</v>
      </c>
      <c r="D1222" s="2" t="str">
        <f t="shared" si="18"/>
        <v>OK</v>
      </c>
    </row>
    <row r="1223" spans="1:4" x14ac:dyDescent="0.2">
      <c r="A1223" s="5">
        <v>1162</v>
      </c>
      <c r="B1223" s="138">
        <f>'Expenditures 15-22'!C127</f>
        <v>326752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326752</v>
      </c>
      <c r="C1225" s="2" t="s">
        <v>594</v>
      </c>
      <c r="D1225" s="2" t="str">
        <f t="shared" si="18"/>
        <v>Error?</v>
      </c>
    </row>
    <row r="1226" spans="1:4" x14ac:dyDescent="0.2">
      <c r="A1226" s="5">
        <v>1165</v>
      </c>
      <c r="B1226" s="138">
        <f>'Expenditures 15-22'!C151</f>
        <v>326752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24006</v>
      </c>
      <c r="D1229" s="2" t="str">
        <f t="shared" si="18"/>
        <v>Error?</v>
      </c>
    </row>
    <row r="1230" spans="1:4" x14ac:dyDescent="0.2">
      <c r="A1230" s="10">
        <v>1169</v>
      </c>
      <c r="D1230" s="2" t="str">
        <f t="shared" si="18"/>
        <v>OK</v>
      </c>
    </row>
    <row r="1231" spans="1:4" x14ac:dyDescent="0.2">
      <c r="A1231" s="5">
        <v>1170</v>
      </c>
      <c r="B1231" s="138">
        <f>'Expenditures 15-22'!D127</f>
        <v>24006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24006</v>
      </c>
      <c r="C1233" s="2" t="s">
        <v>594</v>
      </c>
      <c r="D1233" s="2" t="str">
        <f t="shared" si="18"/>
        <v>Error?</v>
      </c>
    </row>
    <row r="1234" spans="1:4" x14ac:dyDescent="0.2">
      <c r="A1234" s="5">
        <v>1173</v>
      </c>
      <c r="B1234" s="138">
        <f>'Expenditures 15-22'!D151</f>
        <v>24006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130056</v>
      </c>
      <c r="D1237" s="2" t="str">
        <f t="shared" si="18"/>
        <v>Error?</v>
      </c>
    </row>
    <row r="1238" spans="1:4" x14ac:dyDescent="0.2">
      <c r="A1238" s="10">
        <v>1177</v>
      </c>
      <c r="D1238" s="2" t="str">
        <f t="shared" si="18"/>
        <v>OK</v>
      </c>
    </row>
    <row r="1239" spans="1:4" x14ac:dyDescent="0.2">
      <c r="A1239" s="5">
        <v>1178</v>
      </c>
      <c r="B1239" s="138">
        <f>'Expenditures 15-22'!E127</f>
        <v>130056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130056</v>
      </c>
      <c r="C1241" s="2" t="s">
        <v>594</v>
      </c>
      <c r="D1241" s="2" t="str">
        <f t="shared" si="18"/>
        <v>Error?</v>
      </c>
    </row>
    <row r="1242" spans="1:4" x14ac:dyDescent="0.2">
      <c r="A1242" s="5">
        <v>1181</v>
      </c>
      <c r="B1242" s="138">
        <f>'Expenditures 15-22'!E151</f>
        <v>130056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165958</v>
      </c>
      <c r="D1245" s="2" t="str">
        <f t="shared" si="18"/>
        <v>Error?</v>
      </c>
    </row>
    <row r="1246" spans="1:4" x14ac:dyDescent="0.2">
      <c r="A1246" s="10">
        <v>1185</v>
      </c>
      <c r="D1246" s="2" t="str">
        <f t="shared" si="18"/>
        <v>OK</v>
      </c>
    </row>
    <row r="1247" spans="1:4" x14ac:dyDescent="0.2">
      <c r="A1247" s="5">
        <v>1186</v>
      </c>
      <c r="B1247" s="138">
        <f>'Expenditures 15-22'!F127</f>
        <v>165958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165958</v>
      </c>
      <c r="C1249" s="2" t="s">
        <v>594</v>
      </c>
      <c r="D1249" s="2" t="str">
        <f t="shared" si="18"/>
        <v>Error?</v>
      </c>
    </row>
    <row r="1250" spans="1:4" x14ac:dyDescent="0.2">
      <c r="A1250" s="5">
        <v>1189</v>
      </c>
      <c r="B1250" s="138">
        <f>'Expenditures 15-22'!F151</f>
        <v>165958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189837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189837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189837</v>
      </c>
      <c r="C1258" s="2" t="s">
        <v>594</v>
      </c>
      <c r="D1258" s="2" t="str">
        <f t="shared" si="18"/>
        <v>Error?</v>
      </c>
    </row>
    <row r="1259" spans="1:4" x14ac:dyDescent="0.2">
      <c r="A1259" s="5">
        <v>1198</v>
      </c>
      <c r="B1259" s="138">
        <f>'Expenditures 15-22'!G151</f>
        <v>189837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836609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836609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836609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836609</v>
      </c>
      <c r="C1288" s="2" t="s">
        <v>594</v>
      </c>
      <c r="D1288" s="2" t="str">
        <f t="shared" si="19"/>
        <v>Error?</v>
      </c>
    </row>
    <row r="1289" spans="1:4" x14ac:dyDescent="0.2">
      <c r="A1289" s="5">
        <v>1228</v>
      </c>
      <c r="B1289" s="138">
        <f>'Expenditures 15-22'!K152</f>
        <v>296800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1500</v>
      </c>
      <c r="D1307" s="2" t="str">
        <f t="shared" si="19"/>
        <v>Error?</v>
      </c>
    </row>
    <row r="1308" spans="1:4" x14ac:dyDescent="0.2">
      <c r="A1308" s="5">
        <v>1247</v>
      </c>
      <c r="B1308" s="138">
        <f>'Expenditures 15-22'!E172</f>
        <v>1500</v>
      </c>
      <c r="C1308" s="2" t="s">
        <v>594</v>
      </c>
      <c r="D1308" s="2" t="str">
        <f t="shared" si="19"/>
        <v>Error?</v>
      </c>
    </row>
    <row r="1309" spans="1:4" x14ac:dyDescent="0.2">
      <c r="A1309" s="5">
        <v>1248</v>
      </c>
      <c r="B1309" s="138">
        <f>'Expenditures 15-22'!E174</f>
        <v>1500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339508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734508</v>
      </c>
      <c r="C1317" s="2" t="s">
        <v>594</v>
      </c>
      <c r="D1317" s="2" t="str">
        <f t="shared" si="19"/>
        <v>Error?</v>
      </c>
    </row>
    <row r="1318" spans="1:4" x14ac:dyDescent="0.2">
      <c r="A1318" s="5">
        <v>1257</v>
      </c>
      <c r="B1318" s="138">
        <f>'Expenditures 15-22'!H174</f>
        <v>734508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339508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395000</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736008</v>
      </c>
      <c r="C1331" s="2" t="s">
        <v>594</v>
      </c>
      <c r="D1331" s="2" t="str">
        <f t="shared" si="19"/>
        <v>Error?</v>
      </c>
    </row>
    <row r="1332" spans="1:4" x14ac:dyDescent="0.2">
      <c r="A1332" s="5">
        <v>1271</v>
      </c>
      <c r="B1332" s="138">
        <f>'Expenditures 15-22'!K174</f>
        <v>736008</v>
      </c>
      <c r="C1332" s="2" t="s">
        <v>594</v>
      </c>
      <c r="D1332" s="2" t="str">
        <f t="shared" si="19"/>
        <v>Error?</v>
      </c>
    </row>
    <row r="1333" spans="1:4" x14ac:dyDescent="0.2">
      <c r="A1333" s="5">
        <v>1272</v>
      </c>
      <c r="B1333" s="138">
        <f>'Expenditures 15-22'!K175</f>
        <v>-2105</v>
      </c>
      <c r="C1333" s="2" t="s">
        <v>594</v>
      </c>
      <c r="D1333" s="2" t="str">
        <f t="shared" si="19"/>
        <v>Error?</v>
      </c>
    </row>
    <row r="1334" spans="1:4" x14ac:dyDescent="0.2">
      <c r="A1334" s="10">
        <v>1273</v>
      </c>
      <c r="D1334" s="2" t="str">
        <f t="shared" si="19"/>
        <v>OK</v>
      </c>
    </row>
    <row r="1335" spans="1:4" x14ac:dyDescent="0.2">
      <c r="A1335" s="5">
        <v>1274</v>
      </c>
      <c r="B1335" s="138">
        <f>'Expenditures 15-22'!C182</f>
        <v>290862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290862</v>
      </c>
      <c r="C1339" s="2" t="s">
        <v>594</v>
      </c>
      <c r="D1339" s="2" t="str">
        <f t="shared" si="19"/>
        <v>Error?</v>
      </c>
    </row>
    <row r="1340" spans="1:4" x14ac:dyDescent="0.2">
      <c r="A1340" s="5">
        <v>1279</v>
      </c>
      <c r="B1340" s="138">
        <f>'Expenditures 15-22'!C210</f>
        <v>290862</v>
      </c>
      <c r="C1340" s="2" t="s">
        <v>594</v>
      </c>
      <c r="D1340" s="2" t="str">
        <f t="shared" si="19"/>
        <v>Error?</v>
      </c>
    </row>
    <row r="1341" spans="1:4" x14ac:dyDescent="0.2">
      <c r="A1341" s="5">
        <v>1280</v>
      </c>
      <c r="B1341" s="138">
        <f>'Expenditures 15-22'!D182</f>
        <v>5592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5592</v>
      </c>
      <c r="C1345" s="2" t="s">
        <v>594</v>
      </c>
      <c r="D1345" s="2" t="str">
        <f t="shared" si="20"/>
        <v>Error?</v>
      </c>
    </row>
    <row r="1346" spans="1:4" x14ac:dyDescent="0.2">
      <c r="A1346" s="5">
        <v>1285</v>
      </c>
      <c r="B1346" s="138">
        <f>'Expenditures 15-22'!D210</f>
        <v>5592</v>
      </c>
      <c r="C1346" s="2" t="s">
        <v>594</v>
      </c>
      <c r="D1346" s="2" t="str">
        <f t="shared" si="20"/>
        <v>Error?</v>
      </c>
    </row>
    <row r="1347" spans="1:4" x14ac:dyDescent="0.2">
      <c r="A1347" s="5">
        <v>1286</v>
      </c>
      <c r="B1347" s="138">
        <f>'Expenditures 15-22'!E182</f>
        <v>263071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263071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263071</v>
      </c>
      <c r="C1353" s="2" t="s">
        <v>594</v>
      </c>
      <c r="D1353" s="2" t="str">
        <f t="shared" si="20"/>
        <v>Error?</v>
      </c>
    </row>
    <row r="1354" spans="1:4" x14ac:dyDescent="0.2">
      <c r="A1354" s="5">
        <v>1293</v>
      </c>
      <c r="B1354" s="138">
        <f>'Expenditures 15-22'!F182</f>
        <v>71198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71198</v>
      </c>
      <c r="C1358" s="2" t="s">
        <v>594</v>
      </c>
      <c r="D1358" s="2" t="str">
        <f t="shared" si="20"/>
        <v>Error?</v>
      </c>
    </row>
    <row r="1359" spans="1:4" x14ac:dyDescent="0.2">
      <c r="A1359" s="5">
        <v>1298</v>
      </c>
      <c r="B1359" s="138">
        <f>'Expenditures 15-22'!F210</f>
        <v>71198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630723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630723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630723</v>
      </c>
      <c r="C1388" s="2" t="s">
        <v>594</v>
      </c>
      <c r="D1388" s="2" t="str">
        <f t="shared" si="20"/>
        <v>Error?</v>
      </c>
    </row>
    <row r="1389" spans="1:4" x14ac:dyDescent="0.2">
      <c r="A1389" s="5">
        <v>1328</v>
      </c>
      <c r="B1389" s="138">
        <f>'Expenditures 15-22'!K211</f>
        <v>158560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3022</v>
      </c>
      <c r="D1407" s="2" t="str">
        <f t="shared" ref="D1407:D1470" si="21">IF(ISBLANK(B1407),"OK",IF(A1407-B1407=0,"OK","Error?"))</f>
        <v>Error?</v>
      </c>
    </row>
    <row r="1408" spans="1:4" x14ac:dyDescent="0.2">
      <c r="A1408" s="5">
        <v>1347</v>
      </c>
      <c r="B1408" s="138">
        <f>'Expenditures 15-22'!D223</f>
        <v>5967</v>
      </c>
      <c r="D1408" s="2" t="str">
        <f t="shared" si="21"/>
        <v>Error?</v>
      </c>
    </row>
    <row r="1409" spans="1:4" x14ac:dyDescent="0.2">
      <c r="A1409" s="5">
        <v>1348</v>
      </c>
      <c r="B1409" s="138">
        <f>'Expenditures 15-22'!D224</f>
        <v>28</v>
      </c>
      <c r="D1409" s="2" t="str">
        <f t="shared" si="21"/>
        <v>Error?</v>
      </c>
    </row>
    <row r="1410" spans="1:4" x14ac:dyDescent="0.2">
      <c r="A1410" s="5">
        <v>1349</v>
      </c>
      <c r="B1410" s="138">
        <f>'Expenditures 15-22'!D229</f>
        <v>85873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1141</v>
      </c>
      <c r="D1412" s="2" t="str">
        <f t="shared" si="21"/>
        <v>Error?</v>
      </c>
    </row>
    <row r="1413" spans="1:4" x14ac:dyDescent="0.2">
      <c r="A1413" s="5">
        <v>1352</v>
      </c>
      <c r="B1413" s="138">
        <f>'Expenditures 15-22'!D234</f>
        <v>5403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729</v>
      </c>
      <c r="D1416" s="2" t="str">
        <f t="shared" si="21"/>
        <v>Error?</v>
      </c>
    </row>
    <row r="1417" spans="1:4" x14ac:dyDescent="0.2">
      <c r="A1417" s="5">
        <v>1356</v>
      </c>
      <c r="B1417" s="138">
        <f>'Expenditures 15-22'!D238</f>
        <v>7273</v>
      </c>
      <c r="C1417" s="2" t="s">
        <v>594</v>
      </c>
      <c r="D1417" s="2" t="str">
        <f t="shared" si="21"/>
        <v>Error?</v>
      </c>
    </row>
    <row r="1418" spans="1:4" x14ac:dyDescent="0.2">
      <c r="A1418" s="5">
        <v>1357</v>
      </c>
      <c r="B1418" s="138">
        <f>'Expenditures 15-22'!D240</f>
        <v>44</v>
      </c>
      <c r="D1418" s="2" t="str">
        <f t="shared" si="21"/>
        <v>Error?</v>
      </c>
    </row>
    <row r="1419" spans="1:4" x14ac:dyDescent="0.2">
      <c r="A1419" s="5">
        <v>1358</v>
      </c>
      <c r="B1419" s="138">
        <f>'Expenditures 15-22'!D241</f>
        <v>5529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5573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1335</v>
      </c>
      <c r="D1423" s="2" t="str">
        <f t="shared" si="21"/>
        <v>Error?</v>
      </c>
    </row>
    <row r="1424" spans="1:4" x14ac:dyDescent="0.2">
      <c r="A1424" s="5">
        <v>1363</v>
      </c>
      <c r="B1424" s="138">
        <f>'Expenditures 15-22'!D257</f>
        <v>1482</v>
      </c>
      <c r="C1424" s="2" t="s">
        <v>594</v>
      </c>
      <c r="D1424" s="2" t="str">
        <f t="shared" si="21"/>
        <v>Error?</v>
      </c>
    </row>
    <row r="1425" spans="1:4" x14ac:dyDescent="0.2">
      <c r="A1425" s="5">
        <v>1364</v>
      </c>
      <c r="B1425" s="138">
        <f>'Expenditures 15-22'!D259</f>
        <v>22022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22022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55744</v>
      </c>
      <c r="D1431" s="2" t="str">
        <f t="shared" si="21"/>
        <v>Error?</v>
      </c>
    </row>
    <row r="1432" spans="1:4" x14ac:dyDescent="0.2">
      <c r="A1432" s="5">
        <v>1371</v>
      </c>
      <c r="B1432" s="138">
        <f>'Expenditures 15-22'!D267</f>
        <v>34698</v>
      </c>
      <c r="D1432" s="2" t="str">
        <f t="shared" si="21"/>
        <v>Error?</v>
      </c>
    </row>
    <row r="1433" spans="1:4" x14ac:dyDescent="0.2">
      <c r="A1433" s="5">
        <v>1372</v>
      </c>
      <c r="B1433" s="138">
        <f>'Expenditures 15-22'!D268</f>
        <v>22023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120181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156531</v>
      </c>
      <c r="C1446" s="2" t="s">
        <v>594</v>
      </c>
      <c r="D1446" s="2" t="str">
        <f t="shared" si="21"/>
        <v>Error?</v>
      </c>
    </row>
    <row r="1447" spans="1:4" x14ac:dyDescent="0.2">
      <c r="A1447" s="5">
        <v>1386</v>
      </c>
      <c r="B1447" s="138">
        <f>'Expenditures 15-22'!D280</f>
        <v>1180</v>
      </c>
      <c r="D1447" s="2" t="str">
        <f t="shared" si="21"/>
        <v>Error?</v>
      </c>
    </row>
    <row r="1448" spans="1:4" x14ac:dyDescent="0.2">
      <c r="A1448" s="5">
        <v>1387</v>
      </c>
      <c r="B1448" s="138">
        <f>'Expenditures 15-22'!D295</f>
        <v>243584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3022</v>
      </c>
      <c r="C1471" s="2" t="s">
        <v>594</v>
      </c>
      <c r="D1471" s="2" t="str">
        <f t="shared" ref="D1471:D1534" si="22">IF(ISBLANK(B1471),"OK",IF(A1471-B1471=0,"OK","Error?"))</f>
        <v>Error?</v>
      </c>
    </row>
    <row r="1472" spans="1:4" x14ac:dyDescent="0.2">
      <c r="A1472" s="5">
        <v>1411</v>
      </c>
      <c r="B1472" s="138">
        <f>'Expenditures 15-22'!K223</f>
        <v>5967</v>
      </c>
      <c r="C1472" s="2" t="s">
        <v>594</v>
      </c>
      <c r="D1472" s="2" t="str">
        <f t="shared" si="22"/>
        <v>Error?</v>
      </c>
    </row>
    <row r="1473" spans="1:4" x14ac:dyDescent="0.2">
      <c r="A1473" s="5">
        <v>1412</v>
      </c>
      <c r="B1473" s="138">
        <f>'Expenditures 15-22'!K224</f>
        <v>28</v>
      </c>
      <c r="C1473" s="2" t="s">
        <v>594</v>
      </c>
      <c r="D1473" s="2" t="str">
        <f t="shared" si="22"/>
        <v>Error?</v>
      </c>
    </row>
    <row r="1474" spans="1:4" x14ac:dyDescent="0.2">
      <c r="A1474" s="5">
        <v>1413</v>
      </c>
      <c r="B1474" s="138">
        <f>'Expenditures 15-22'!K229</f>
        <v>85873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1141</v>
      </c>
      <c r="C1476" s="2" t="s">
        <v>594</v>
      </c>
      <c r="D1476" s="2" t="str">
        <f t="shared" si="22"/>
        <v>Error?</v>
      </c>
    </row>
    <row r="1477" spans="1:4" x14ac:dyDescent="0.2">
      <c r="A1477" s="5">
        <v>1416</v>
      </c>
      <c r="B1477" s="138">
        <f>'Expenditures 15-22'!K234</f>
        <v>5403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729</v>
      </c>
      <c r="C1480" s="2" t="s">
        <v>594</v>
      </c>
      <c r="D1480" s="2" t="str">
        <f t="shared" si="22"/>
        <v>Error?</v>
      </c>
    </row>
    <row r="1481" spans="1:4" x14ac:dyDescent="0.2">
      <c r="A1481" s="5">
        <v>1420</v>
      </c>
      <c r="B1481" s="138">
        <f>'Expenditures 15-22'!K238</f>
        <v>7273</v>
      </c>
      <c r="C1481" s="2" t="s">
        <v>594</v>
      </c>
      <c r="D1481" s="2" t="str">
        <f t="shared" si="22"/>
        <v>Error?</v>
      </c>
    </row>
    <row r="1482" spans="1:4" x14ac:dyDescent="0.2">
      <c r="A1482" s="5">
        <v>1421</v>
      </c>
      <c r="B1482" s="138">
        <f>'Expenditures 15-22'!K240</f>
        <v>44</v>
      </c>
      <c r="C1482" s="2" t="s">
        <v>594</v>
      </c>
      <c r="D1482" s="2" t="str">
        <f t="shared" si="22"/>
        <v>Error?</v>
      </c>
    </row>
    <row r="1483" spans="1:4" x14ac:dyDescent="0.2">
      <c r="A1483" s="5">
        <v>1422</v>
      </c>
      <c r="B1483" s="138">
        <f>'Expenditures 15-22'!K241</f>
        <v>5529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5573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1335</v>
      </c>
      <c r="C1487" s="2" t="s">
        <v>594</v>
      </c>
      <c r="D1487" s="2" t="str">
        <f t="shared" si="22"/>
        <v>Error?</v>
      </c>
    </row>
    <row r="1488" spans="1:4" x14ac:dyDescent="0.2">
      <c r="A1488" s="5">
        <v>1427</v>
      </c>
      <c r="B1488" s="138">
        <f>'Expenditures 15-22'!K257</f>
        <v>1482</v>
      </c>
      <c r="C1488" s="2" t="s">
        <v>594</v>
      </c>
      <c r="D1488" s="2" t="str">
        <f t="shared" si="22"/>
        <v>Error?</v>
      </c>
    </row>
    <row r="1489" spans="1:4" x14ac:dyDescent="0.2">
      <c r="A1489" s="5">
        <v>1428</v>
      </c>
      <c r="B1489" s="138">
        <f>'Expenditures 15-22'!K259</f>
        <v>22022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22022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7716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55744</v>
      </c>
      <c r="C1495" s="2" t="s">
        <v>594</v>
      </c>
      <c r="D1495" s="2" t="str">
        <f t="shared" si="22"/>
        <v>Error?</v>
      </c>
    </row>
    <row r="1496" spans="1:4" x14ac:dyDescent="0.2">
      <c r="A1496" s="5">
        <v>1435</v>
      </c>
      <c r="B1496" s="138">
        <f>'Expenditures 15-22'!K267</f>
        <v>34698</v>
      </c>
      <c r="C1496" s="2" t="s">
        <v>594</v>
      </c>
      <c r="D1496" s="2" t="str">
        <f t="shared" si="22"/>
        <v>Error?</v>
      </c>
    </row>
    <row r="1497" spans="1:4" x14ac:dyDescent="0.2">
      <c r="A1497" s="5">
        <v>1436</v>
      </c>
      <c r="B1497" s="138">
        <f>'Expenditures 15-22'!K268</f>
        <v>22023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120181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156531</v>
      </c>
      <c r="C1510" s="2" t="s">
        <v>594</v>
      </c>
      <c r="D1510" s="2" t="str">
        <f t="shared" si="22"/>
        <v>Error?</v>
      </c>
    </row>
    <row r="1511" spans="1:4" x14ac:dyDescent="0.2">
      <c r="A1511" s="5">
        <v>1450</v>
      </c>
      <c r="B1511" s="138">
        <f>'Expenditures 15-22'!K280</f>
        <v>1180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243584</v>
      </c>
      <c r="C1517" s="2" t="s">
        <v>594</v>
      </c>
      <c r="D1517" s="2" t="str">
        <f t="shared" si="22"/>
        <v>Error?</v>
      </c>
    </row>
    <row r="1518" spans="1:4" x14ac:dyDescent="0.2">
      <c r="A1518" s="5">
        <v>1457</v>
      </c>
      <c r="B1518" s="138">
        <f>'Expenditures 15-22'!K296</f>
        <v>61529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4618436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4618436</v>
      </c>
      <c r="C1547" s="2" t="s">
        <v>594</v>
      </c>
      <c r="D1547" s="2" t="str">
        <f t="shared" si="23"/>
        <v>Error?</v>
      </c>
    </row>
    <row r="1548" spans="1:4" x14ac:dyDescent="0.2">
      <c r="A1548" s="5">
        <v>1487</v>
      </c>
      <c r="B1548" s="138">
        <f>'Expenditures 15-22'!G312</f>
        <v>4618436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4618436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4618436</v>
      </c>
      <c r="C1559" s="2" t="s">
        <v>594</v>
      </c>
      <c r="D1559" s="2" t="str">
        <f t="shared" si="23"/>
        <v>Error?</v>
      </c>
    </row>
    <row r="1560" spans="1:4" x14ac:dyDescent="0.2">
      <c r="A1560" s="5">
        <v>1499</v>
      </c>
      <c r="B1560" s="138">
        <f>'Expenditures 15-22'!K312</f>
        <v>4618436</v>
      </c>
      <c r="C1560" s="2" t="s">
        <v>594</v>
      </c>
      <c r="D1560" s="2" t="str">
        <f t="shared" si="23"/>
        <v>Error?</v>
      </c>
    </row>
    <row r="1561" spans="1:4" x14ac:dyDescent="0.2">
      <c r="A1561" s="5">
        <v>1500</v>
      </c>
      <c r="B1561" s="138">
        <f>'Expenditures 15-22'!K313</f>
        <v>-4604094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881471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1305631</v>
      </c>
      <c r="C1630" s="2" t="s">
        <v>594</v>
      </c>
      <c r="D1630" s="2" t="str">
        <f t="shared" si="24"/>
        <v>Error?</v>
      </c>
    </row>
    <row r="1631" spans="1:4" x14ac:dyDescent="0.2">
      <c r="A1631" s="5">
        <v>1570</v>
      </c>
      <c r="B1631" s="138">
        <f>'Acct Summary 7-8'!D79</f>
        <v>1885587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2182387</v>
      </c>
      <c r="C1644" s="2" t="s">
        <v>594</v>
      </c>
      <c r="D1644" s="2" t="str">
        <f t="shared" si="24"/>
        <v>Error?</v>
      </c>
    </row>
    <row r="1645" spans="1:4" x14ac:dyDescent="0.2">
      <c r="A1645" s="5">
        <v>1584</v>
      </c>
      <c r="B1645" s="138">
        <f>'Acct Summary 7-8'!E79</f>
        <v>367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782322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940882</v>
      </c>
      <c r="C1672" s="2" t="s">
        <v>594</v>
      </c>
      <c r="D1672" s="2" t="str">
        <f t="shared" si="25"/>
        <v>Error?</v>
      </c>
    </row>
    <row r="1673" spans="1:4" x14ac:dyDescent="0.2">
      <c r="A1673" s="5">
        <v>1612</v>
      </c>
      <c r="B1673" s="138">
        <f>'Acct Summary 7-8'!G79</f>
        <v>137442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198971</v>
      </c>
      <c r="C1686" s="2" t="s">
        <v>594</v>
      </c>
      <c r="D1686" s="2" t="str">
        <f t="shared" si="25"/>
        <v>Error?</v>
      </c>
    </row>
    <row r="1687" spans="1:4" x14ac:dyDescent="0.2">
      <c r="A1687" s="5">
        <v>1626</v>
      </c>
      <c r="B1687" s="138">
        <f>'Acct Summary 7-8'!H79</f>
        <v>4604094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3064916</v>
      </c>
      <c r="C1744" s="2" t="s">
        <v>594</v>
      </c>
      <c r="D1744" s="2" t="str">
        <f t="shared" si="26"/>
        <v>Error?</v>
      </c>
    </row>
    <row r="1745" spans="1:5" x14ac:dyDescent="0.2">
      <c r="A1745" s="5">
        <v>1684</v>
      </c>
      <c r="B1745" s="138">
        <f>'Tax Sched 23'!B5</f>
        <v>835886</v>
      </c>
      <c r="C1745" s="2" t="s">
        <v>594</v>
      </c>
      <c r="D1745" s="2" t="str">
        <f t="shared" si="26"/>
        <v>Error?</v>
      </c>
    </row>
    <row r="1746" spans="1:5" x14ac:dyDescent="0.2">
      <c r="A1746" s="5">
        <v>1685</v>
      </c>
      <c r="B1746" s="138">
        <f>'Tax Sched 23'!B6</f>
        <v>732072</v>
      </c>
      <c r="C1746" s="2" t="s">
        <v>594</v>
      </c>
      <c r="D1746" s="2" t="str">
        <f t="shared" si="26"/>
        <v>Error?</v>
      </c>
    </row>
    <row r="1747" spans="1:5" x14ac:dyDescent="0.2">
      <c r="A1747" s="5">
        <v>1686</v>
      </c>
      <c r="B1747" s="138">
        <f>'Tax Sched 23'!B7</f>
        <v>390080</v>
      </c>
      <c r="C1747" s="2" t="s">
        <v>594</v>
      </c>
      <c r="D1747" s="2" t="str">
        <f t="shared" si="26"/>
        <v>Error?</v>
      </c>
    </row>
    <row r="1748" spans="1:5" x14ac:dyDescent="0.2">
      <c r="A1748" s="5">
        <v>1687</v>
      </c>
      <c r="B1748" s="138">
        <f>'Tax Sched 23'!B8</f>
        <v>149870</v>
      </c>
      <c r="C1748" s="2" t="s">
        <v>594</v>
      </c>
      <c r="D1748" s="2" t="str">
        <f t="shared" si="26"/>
        <v>Error?</v>
      </c>
    </row>
    <row r="1749" spans="1:5" x14ac:dyDescent="0.2">
      <c r="A1749" s="5">
        <v>1688</v>
      </c>
      <c r="B1749" s="138">
        <f>'Tax Sched 23'!B10</f>
        <v>55726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414278</v>
      </c>
      <c r="C1752" s="2" t="s">
        <v>594</v>
      </c>
      <c r="D1752" s="2" t="str">
        <f t="shared" si="26"/>
        <v>Error?</v>
      </c>
    </row>
    <row r="1753" spans="1:5" x14ac:dyDescent="0.2">
      <c r="A1753" s="5">
        <v>1692</v>
      </c>
      <c r="B1753" s="138">
        <f>'Tax Sched 23'!B12</f>
        <v>55726</v>
      </c>
      <c r="C1753" s="2" t="s">
        <v>594</v>
      </c>
      <c r="D1753" s="2" t="str">
        <f t="shared" si="26"/>
        <v>Error?</v>
      </c>
    </row>
    <row r="1754" spans="1:5" x14ac:dyDescent="0.2">
      <c r="A1754" s="5">
        <v>1693</v>
      </c>
      <c r="B1754" s="138">
        <f>'Tax Sched 23'!B14</f>
        <v>44580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5948730</v>
      </c>
      <c r="C1759" s="2" t="s">
        <v>594</v>
      </c>
      <c r="D1759" s="2" t="str">
        <f t="shared" si="26"/>
        <v>Error?</v>
      </c>
    </row>
    <row r="1760" spans="1:5" x14ac:dyDescent="0.2">
      <c r="A1760" s="5">
        <v>1699</v>
      </c>
      <c r="B1760" s="138">
        <f>'Tax Sched 23'!D4</f>
        <v>3064916</v>
      </c>
      <c r="C1760" s="2" t="s">
        <v>594</v>
      </c>
      <c r="D1760" s="2" t="str">
        <f t="shared" si="26"/>
        <v>Error?</v>
      </c>
    </row>
    <row r="1761" spans="1:5" x14ac:dyDescent="0.2">
      <c r="A1761" s="5">
        <v>1700</v>
      </c>
      <c r="B1761" s="138">
        <f>'Tax Sched 23'!D5</f>
        <v>835886</v>
      </c>
      <c r="C1761" s="2" t="s">
        <v>594</v>
      </c>
      <c r="D1761" s="2" t="str">
        <f t="shared" si="26"/>
        <v>Error?</v>
      </c>
    </row>
    <row r="1762" spans="1:5" s="8" customFormat="1" x14ac:dyDescent="0.2">
      <c r="A1762" s="5">
        <v>1701</v>
      </c>
      <c r="B1762" s="138">
        <f>'Tax Sched 23'!D6</f>
        <v>732072</v>
      </c>
      <c r="C1762" s="2" t="s">
        <v>594</v>
      </c>
      <c r="D1762" s="2" t="str">
        <f t="shared" si="26"/>
        <v>Error?</v>
      </c>
      <c r="E1762" s="9"/>
    </row>
    <row r="1763" spans="1:5" x14ac:dyDescent="0.2">
      <c r="A1763" s="5">
        <v>1702</v>
      </c>
      <c r="B1763" s="138">
        <f>'Tax Sched 23'!D7</f>
        <v>390080</v>
      </c>
      <c r="C1763" s="2" t="s">
        <v>594</v>
      </c>
      <c r="D1763" s="2" t="str">
        <f t="shared" si="26"/>
        <v>Error?</v>
      </c>
    </row>
    <row r="1764" spans="1:5" x14ac:dyDescent="0.2">
      <c r="A1764" s="5">
        <v>1703</v>
      </c>
      <c r="B1764" s="138">
        <f>'Tax Sched 23'!D8</f>
        <v>149870</v>
      </c>
      <c r="C1764" s="2" t="s">
        <v>594</v>
      </c>
      <c r="D1764" s="2" t="str">
        <f t="shared" si="26"/>
        <v>Error?</v>
      </c>
    </row>
    <row r="1765" spans="1:5" x14ac:dyDescent="0.2">
      <c r="A1765" s="5">
        <v>1704</v>
      </c>
      <c r="B1765" s="138">
        <f>'Tax Sched 23'!D10</f>
        <v>55726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414278</v>
      </c>
      <c r="C1768" s="2" t="s">
        <v>594</v>
      </c>
      <c r="D1768" s="2" t="str">
        <f t="shared" si="26"/>
        <v>Error?</v>
      </c>
    </row>
    <row r="1769" spans="1:5" x14ac:dyDescent="0.2">
      <c r="A1769" s="5">
        <v>1708</v>
      </c>
      <c r="B1769" s="138">
        <f>'Tax Sched 23'!D12</f>
        <v>55726</v>
      </c>
      <c r="C1769" s="2" t="s">
        <v>594</v>
      </c>
      <c r="D1769" s="2" t="str">
        <f t="shared" si="26"/>
        <v>Error?</v>
      </c>
    </row>
    <row r="1770" spans="1:5" x14ac:dyDescent="0.2">
      <c r="A1770" s="5">
        <v>1709</v>
      </c>
      <c r="B1770" s="138">
        <f>'Tax Sched 23'!D14</f>
        <v>44580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5948730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3055939</v>
      </c>
      <c r="C1792" s="2" t="s">
        <v>594</v>
      </c>
      <c r="D1792" s="2" t="str">
        <f t="shared" si="27"/>
        <v>Error?</v>
      </c>
    </row>
    <row r="1793" spans="1:4" x14ac:dyDescent="0.2">
      <c r="A1793" s="5">
        <v>1732</v>
      </c>
      <c r="B1793" s="138">
        <f>'Tax Sched 23'!F5</f>
        <v>833438</v>
      </c>
      <c r="C1793" s="2" t="s">
        <v>594</v>
      </c>
      <c r="D1793" s="2" t="str">
        <f t="shared" si="27"/>
        <v>Error?</v>
      </c>
    </row>
    <row r="1794" spans="1:4" x14ac:dyDescent="0.2">
      <c r="A1794" s="5">
        <v>1733</v>
      </c>
      <c r="B1794" s="138">
        <f>'Tax Sched 23'!F6</f>
        <v>737215</v>
      </c>
      <c r="C1794" s="2" t="s">
        <v>594</v>
      </c>
      <c r="D1794" s="2" t="str">
        <f t="shared" si="27"/>
        <v>Error?</v>
      </c>
    </row>
    <row r="1795" spans="1:4" x14ac:dyDescent="0.2">
      <c r="A1795" s="5">
        <v>1734</v>
      </c>
      <c r="B1795" s="138">
        <f>'Tax Sched 23'!F7</f>
        <v>388938</v>
      </c>
      <c r="C1795" s="2" t="s">
        <v>594</v>
      </c>
      <c r="D1795" s="2" t="str">
        <f t="shared" si="27"/>
        <v>Error?</v>
      </c>
    </row>
    <row r="1796" spans="1:4" x14ac:dyDescent="0.2">
      <c r="A1796" s="5">
        <v>1735</v>
      </c>
      <c r="B1796" s="138">
        <f>'Tax Sched 23'!F8</f>
        <v>120004</v>
      </c>
      <c r="C1796" s="2" t="s">
        <v>594</v>
      </c>
      <c r="D1796" s="2" t="str">
        <f t="shared" si="27"/>
        <v>Error?</v>
      </c>
    </row>
    <row r="1797" spans="1:4" x14ac:dyDescent="0.2">
      <c r="A1797" s="5">
        <v>1736</v>
      </c>
      <c r="B1797" s="138">
        <f>'Tax Sched 23'!F10</f>
        <v>55563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420008</v>
      </c>
      <c r="C1800" s="2" t="s">
        <v>594</v>
      </c>
      <c r="D1800" s="2" t="str">
        <f t="shared" si="27"/>
        <v>Error?</v>
      </c>
    </row>
    <row r="1801" spans="1:4" x14ac:dyDescent="0.2">
      <c r="A1801" s="5">
        <v>1740</v>
      </c>
      <c r="B1801" s="138">
        <f>'Tax Sched 23'!F12</f>
        <v>55563</v>
      </c>
      <c r="C1801" s="2" t="s">
        <v>594</v>
      </c>
      <c r="D1801" s="2" t="str">
        <f t="shared" si="27"/>
        <v>Error?</v>
      </c>
    </row>
    <row r="1802" spans="1:4" x14ac:dyDescent="0.2">
      <c r="A1802" s="5">
        <v>1741</v>
      </c>
      <c r="B1802" s="138">
        <f>'Tax Sched 23'!F14</f>
        <v>44450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5886685</v>
      </c>
      <c r="C1807" s="2" t="s">
        <v>594</v>
      </c>
      <c r="D1807" s="2" t="str">
        <f t="shared" si="27"/>
        <v>Error?</v>
      </c>
    </row>
    <row r="1808" spans="1:4" x14ac:dyDescent="0.2">
      <c r="A1808" s="5">
        <v>1747</v>
      </c>
      <c r="B1808" s="138">
        <f>'Tax Sched 23'!E4</f>
        <v>3055939</v>
      </c>
      <c r="D1808" s="2" t="str">
        <f t="shared" si="27"/>
        <v>Error?</v>
      </c>
    </row>
    <row r="1809" spans="1:4" x14ac:dyDescent="0.2">
      <c r="A1809" s="5">
        <v>1748</v>
      </c>
      <c r="B1809" s="138">
        <f>'Tax Sched 23'!E5</f>
        <v>833438</v>
      </c>
      <c r="D1809" s="2" t="str">
        <f t="shared" si="27"/>
        <v>Error?</v>
      </c>
    </row>
    <row r="1810" spans="1:4" x14ac:dyDescent="0.2">
      <c r="A1810" s="5">
        <v>1749</v>
      </c>
      <c r="B1810" s="138">
        <f>'Tax Sched 23'!E6</f>
        <v>737215</v>
      </c>
      <c r="D1810" s="2" t="str">
        <f t="shared" si="27"/>
        <v>Error?</v>
      </c>
    </row>
    <row r="1811" spans="1:4" x14ac:dyDescent="0.2">
      <c r="A1811" s="5">
        <v>1750</v>
      </c>
      <c r="B1811" s="138">
        <f>'Tax Sched 23'!E7</f>
        <v>388938</v>
      </c>
      <c r="D1811" s="2" t="str">
        <f t="shared" si="27"/>
        <v>Error?</v>
      </c>
    </row>
    <row r="1812" spans="1:4" x14ac:dyDescent="0.2">
      <c r="A1812" s="5">
        <v>1751</v>
      </c>
      <c r="B1812" s="138">
        <f>'Tax Sched 23'!E8</f>
        <v>120004</v>
      </c>
      <c r="D1812" s="2" t="str">
        <f t="shared" si="27"/>
        <v>Error?</v>
      </c>
    </row>
    <row r="1813" spans="1:4" x14ac:dyDescent="0.2">
      <c r="A1813" s="5">
        <v>1752</v>
      </c>
      <c r="B1813" s="138">
        <f>'Tax Sched 23'!E10</f>
        <v>55563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420008</v>
      </c>
      <c r="D1816" s="2" t="str">
        <f t="shared" si="27"/>
        <v>Error?</v>
      </c>
    </row>
    <row r="1817" spans="1:4" x14ac:dyDescent="0.2">
      <c r="A1817" s="5">
        <v>1756</v>
      </c>
      <c r="B1817" s="138">
        <f>'Tax Sched 23'!E12</f>
        <v>55563</v>
      </c>
      <c r="D1817" s="2" t="str">
        <f t="shared" si="27"/>
        <v>Error?</v>
      </c>
    </row>
    <row r="1818" spans="1:4" x14ac:dyDescent="0.2">
      <c r="A1818" s="5">
        <v>1757</v>
      </c>
      <c r="B1818" s="138">
        <f>'Tax Sched 23'!E14</f>
        <v>44450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5886685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10110000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44580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44580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44580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23296</v>
      </c>
      <c r="D2008" s="2" t="str">
        <f t="shared" si="30"/>
        <v>Error?</v>
      </c>
    </row>
    <row r="2009" spans="1:4" x14ac:dyDescent="0.2">
      <c r="A2009" s="5">
        <v>1948</v>
      </c>
      <c r="B2009" s="138">
        <f>'Cap Outlay Deprec 26'!C8</f>
        <v>9958941</v>
      </c>
      <c r="D2009" s="2" t="str">
        <f t="shared" si="30"/>
        <v>Error?</v>
      </c>
    </row>
    <row r="2010" spans="1:4" x14ac:dyDescent="0.2">
      <c r="A2010" s="5">
        <v>1949</v>
      </c>
      <c r="B2010" s="138">
        <f>'Cap Outlay Deprec 26'!C10</f>
        <v>157422</v>
      </c>
      <c r="D2010" s="2" t="str">
        <f t="shared" si="30"/>
        <v>Error?</v>
      </c>
    </row>
    <row r="2011" spans="1:4" x14ac:dyDescent="0.2">
      <c r="A2011" s="5">
        <v>1950</v>
      </c>
      <c r="B2011" s="138">
        <f>'Cap Outlay Deprec 26'!C12</f>
        <v>907822</v>
      </c>
      <c r="D2011" s="2" t="str">
        <f t="shared" si="30"/>
        <v>Error?</v>
      </c>
    </row>
    <row r="2012" spans="1:4" x14ac:dyDescent="0.2">
      <c r="A2012" s="5">
        <v>1951</v>
      </c>
      <c r="B2012" s="138">
        <f>'Cap Outlay Deprec 26'!C13</f>
        <v>279093</v>
      </c>
      <c r="D2012" s="2" t="str">
        <f t="shared" si="30"/>
        <v>Error?</v>
      </c>
    </row>
    <row r="2013" spans="1:4" x14ac:dyDescent="0.2">
      <c r="A2013" s="5">
        <v>1952</v>
      </c>
      <c r="B2013" s="138">
        <f>'Cap Outlay Deprec 26'!C16</f>
        <v>16983579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9945006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19443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9964999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19697</v>
      </c>
      <c r="D2022" s="2" t="str">
        <f t="shared" si="30"/>
        <v>Error?</v>
      </c>
    </row>
    <row r="2023" spans="1:4" x14ac:dyDescent="0.2">
      <c r="A2023" s="5">
        <v>1962</v>
      </c>
      <c r="B2023" s="138">
        <f>'Cap Outlay Deprec 26'!E12</f>
        <v>183767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5725723</v>
      </c>
      <c r="C2025" s="2" t="s">
        <v>594</v>
      </c>
      <c r="D2025" s="2" t="str">
        <f t="shared" si="30"/>
        <v>Error?</v>
      </c>
    </row>
    <row r="2026" spans="1:4" x14ac:dyDescent="0.2">
      <c r="A2026" s="5">
        <v>1965</v>
      </c>
      <c r="B2026" s="138">
        <f>'Cap Outlay Deprec 26'!F5</f>
        <v>23296</v>
      </c>
      <c r="C2026" s="2" t="s">
        <v>594</v>
      </c>
      <c r="D2026" s="2" t="str">
        <f t="shared" si="30"/>
        <v>Error?</v>
      </c>
    </row>
    <row r="2027" spans="1:4" x14ac:dyDescent="0.2">
      <c r="A2027" s="5">
        <v>1966</v>
      </c>
      <c r="B2027" s="138">
        <f>'Cap Outlay Deprec 26'!F8</f>
        <v>19903947</v>
      </c>
      <c r="C2027" s="2" t="s">
        <v>594</v>
      </c>
      <c r="D2027" s="2" t="str">
        <f t="shared" si="30"/>
        <v>Error?</v>
      </c>
    </row>
    <row r="2028" spans="1:4" x14ac:dyDescent="0.2">
      <c r="A2028" s="5">
        <v>1967</v>
      </c>
      <c r="B2028" s="138">
        <f>'Cap Outlay Deprec 26'!F10</f>
        <v>137725</v>
      </c>
      <c r="C2028" s="2" t="s">
        <v>594</v>
      </c>
      <c r="D2028" s="2" t="str">
        <f t="shared" si="30"/>
        <v>Error?</v>
      </c>
    </row>
    <row r="2029" spans="1:4" x14ac:dyDescent="0.2">
      <c r="A2029" s="5">
        <v>1968</v>
      </c>
      <c r="B2029" s="138">
        <f>'Cap Outlay Deprec 26'!F12</f>
        <v>743498</v>
      </c>
      <c r="C2029" s="2" t="s">
        <v>594</v>
      </c>
      <c r="D2029" s="2" t="str">
        <f t="shared" si="30"/>
        <v>Error?</v>
      </c>
    </row>
    <row r="2030" spans="1:4" x14ac:dyDescent="0.2">
      <c r="A2030" s="5">
        <v>1969</v>
      </c>
      <c r="B2030" s="138">
        <f>'Cap Outlay Deprec 26'!F13</f>
        <v>279093</v>
      </c>
      <c r="C2030" s="2" t="s">
        <v>594</v>
      </c>
      <c r="D2030" s="2" t="str">
        <f t="shared" si="30"/>
        <v>Error?</v>
      </c>
    </row>
    <row r="2031" spans="1:4" x14ac:dyDescent="0.2">
      <c r="A2031" s="5">
        <v>1970</v>
      </c>
      <c r="B2031" s="138">
        <f>'Cap Outlay Deprec 26'!F16</f>
        <v>21222855</v>
      </c>
      <c r="C2031" s="2" t="s">
        <v>594</v>
      </c>
      <c r="D2031" s="2" t="str">
        <f t="shared" si="30"/>
        <v>Error?</v>
      </c>
    </row>
    <row r="2032" spans="1:4" x14ac:dyDescent="0.2">
      <c r="A2032" s="10">
        <v>1971</v>
      </c>
      <c r="D2032" s="2" t="str">
        <f t="shared" si="30"/>
        <v>OK</v>
      </c>
    </row>
    <row r="2033" spans="1:4" x14ac:dyDescent="0.2">
      <c r="A2033" s="5">
        <v>1972</v>
      </c>
      <c r="B2033" s="138">
        <f>'Cap Outlay Deprec 26'!H8</f>
        <v>5172364</v>
      </c>
      <c r="D2033" s="2" t="str">
        <f t="shared" si="30"/>
        <v>Error?</v>
      </c>
    </row>
    <row r="2034" spans="1:4" x14ac:dyDescent="0.2">
      <c r="A2034" s="5">
        <v>1973</v>
      </c>
      <c r="B2034" s="138">
        <f>'Cap Outlay Deprec 26'!H10</f>
        <v>100002</v>
      </c>
      <c r="D2034" s="2" t="str">
        <f t="shared" si="30"/>
        <v>Error?</v>
      </c>
    </row>
    <row r="2035" spans="1:4" x14ac:dyDescent="0.2">
      <c r="A2035" s="5">
        <v>1974</v>
      </c>
      <c r="B2035" s="138">
        <f>'Cap Outlay Deprec 26'!H12</f>
        <v>553051</v>
      </c>
      <c r="D2035" s="2" t="str">
        <f t="shared" si="30"/>
        <v>Error?</v>
      </c>
    </row>
    <row r="2036" spans="1:4" x14ac:dyDescent="0.2">
      <c r="A2036" s="5">
        <v>1975</v>
      </c>
      <c r="B2036" s="138">
        <f>'Cap Outlay Deprec 26'!H13</f>
        <v>278489</v>
      </c>
      <c r="D2036" s="2" t="str">
        <f t="shared" si="30"/>
        <v>Error?</v>
      </c>
    </row>
    <row r="2037" spans="1:4" x14ac:dyDescent="0.2">
      <c r="A2037" s="5">
        <v>1976</v>
      </c>
      <c r="B2037" s="138">
        <f>'Cap Outlay Deprec 26'!H16</f>
        <v>6410163</v>
      </c>
      <c r="C2037" s="2" t="s">
        <v>594</v>
      </c>
      <c r="D2037" s="2" t="str">
        <f t="shared" si="30"/>
        <v>Error?</v>
      </c>
    </row>
    <row r="2038" spans="1:4" x14ac:dyDescent="0.2">
      <c r="A2038" s="10">
        <v>1977</v>
      </c>
      <c r="D2038" s="2" t="str">
        <f t="shared" si="30"/>
        <v>OK</v>
      </c>
    </row>
    <row r="2039" spans="1:4" x14ac:dyDescent="0.2">
      <c r="A2039" s="5">
        <v>1978</v>
      </c>
      <c r="B2039" s="138">
        <f>'Cap Outlay Deprec 26'!I8</f>
        <v>348358</v>
      </c>
      <c r="D2039" s="2" t="str">
        <f t="shared" si="30"/>
        <v>Error?</v>
      </c>
    </row>
    <row r="2040" spans="1:4" x14ac:dyDescent="0.2">
      <c r="A2040" s="5">
        <v>1979</v>
      </c>
      <c r="B2040" s="138">
        <f>'Cap Outlay Deprec 26'!I10</f>
        <v>6887</v>
      </c>
      <c r="D2040" s="2" t="str">
        <f t="shared" si="30"/>
        <v>Error?</v>
      </c>
    </row>
    <row r="2041" spans="1:4" x14ac:dyDescent="0.2">
      <c r="A2041" s="5">
        <v>1980</v>
      </c>
      <c r="B2041" s="138">
        <f>'Cap Outlay Deprec 26'!I12</f>
        <v>78295</v>
      </c>
      <c r="D2041" s="2" t="str">
        <f t="shared" si="30"/>
        <v>Error?</v>
      </c>
    </row>
    <row r="2042" spans="1:4" x14ac:dyDescent="0.2">
      <c r="A2042" s="5">
        <v>1981</v>
      </c>
      <c r="B2042" s="138">
        <f>'Cap Outlay Deprec 26'!I13</f>
        <v>69</v>
      </c>
      <c r="D2042" s="2" t="str">
        <f t="shared" si="30"/>
        <v>Error?</v>
      </c>
    </row>
    <row r="2043" spans="1:4" x14ac:dyDescent="0.2">
      <c r="A2043" s="5">
        <v>1982</v>
      </c>
      <c r="B2043" s="138">
        <f>'Cap Outlay Deprec 26'!I16</f>
        <v>609379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19697</v>
      </c>
      <c r="D2046" s="2" t="str">
        <f t="shared" si="30"/>
        <v>Error?</v>
      </c>
    </row>
    <row r="2047" spans="1:4" x14ac:dyDescent="0.2">
      <c r="A2047" s="5">
        <v>1986</v>
      </c>
      <c r="B2047" s="138">
        <f>'Cap Outlay Deprec 26'!J12</f>
        <v>183767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595478</v>
      </c>
      <c r="C2049" s="2" t="s">
        <v>594</v>
      </c>
      <c r="D2049" s="2" t="str">
        <f t="shared" si="31"/>
        <v>Error?</v>
      </c>
    </row>
    <row r="2050" spans="1:4" x14ac:dyDescent="0.2">
      <c r="A2050" s="10">
        <v>1989</v>
      </c>
      <c r="D2050" s="2" t="str">
        <f t="shared" si="31"/>
        <v>OK</v>
      </c>
    </row>
    <row r="2051" spans="1:4" x14ac:dyDescent="0.2">
      <c r="A2051" s="5">
        <v>1990</v>
      </c>
      <c r="B2051" s="138">
        <f>'Cap Outlay Deprec 26'!K8</f>
        <v>5520722</v>
      </c>
      <c r="C2051" s="2" t="s">
        <v>594</v>
      </c>
      <c r="D2051" s="2" t="str">
        <f t="shared" si="31"/>
        <v>Error?</v>
      </c>
    </row>
    <row r="2052" spans="1:4" x14ac:dyDescent="0.2">
      <c r="A2052" s="5">
        <v>1991</v>
      </c>
      <c r="B2052" s="138">
        <f>'Cap Outlay Deprec 26'!K10</f>
        <v>87192</v>
      </c>
      <c r="C2052" s="2" t="s">
        <v>594</v>
      </c>
      <c r="D2052" s="2" t="str">
        <f t="shared" si="31"/>
        <v>Error?</v>
      </c>
    </row>
    <row r="2053" spans="1:4" x14ac:dyDescent="0.2">
      <c r="A2053" s="5">
        <v>1992</v>
      </c>
      <c r="B2053" s="138">
        <f>'Cap Outlay Deprec 26'!K12</f>
        <v>447579</v>
      </c>
      <c r="C2053" s="2" t="s">
        <v>594</v>
      </c>
      <c r="D2053" s="2" t="str">
        <f t="shared" si="31"/>
        <v>Error?</v>
      </c>
    </row>
    <row r="2054" spans="1:4" x14ac:dyDescent="0.2">
      <c r="A2054" s="5">
        <v>1993</v>
      </c>
      <c r="B2054" s="138">
        <f>'Cap Outlay Deprec 26'!K13</f>
        <v>278558</v>
      </c>
      <c r="C2054" s="2" t="s">
        <v>594</v>
      </c>
      <c r="D2054" s="2" t="str">
        <f t="shared" si="31"/>
        <v>Error?</v>
      </c>
    </row>
    <row r="2055" spans="1:4" x14ac:dyDescent="0.2">
      <c r="A2055" s="5">
        <v>1994</v>
      </c>
      <c r="B2055" s="138">
        <f>'Cap Outlay Deprec 26'!K16</f>
        <v>6424064</v>
      </c>
      <c r="C2055" s="2" t="s">
        <v>594</v>
      </c>
      <c r="D2055" s="2" t="str">
        <f t="shared" si="31"/>
        <v>Error?</v>
      </c>
    </row>
    <row r="2056" spans="1:4" x14ac:dyDescent="0.2">
      <c r="A2056" s="5">
        <v>1995</v>
      </c>
      <c r="B2056" s="138">
        <f>'Cap Outlay Deprec 26'!L5</f>
        <v>23296</v>
      </c>
      <c r="C2056" s="2" t="s">
        <v>594</v>
      </c>
      <c r="D2056" s="2" t="str">
        <f t="shared" si="31"/>
        <v>Error?</v>
      </c>
    </row>
    <row r="2057" spans="1:4" x14ac:dyDescent="0.2">
      <c r="A2057" s="5">
        <v>1996</v>
      </c>
      <c r="B2057" s="138">
        <f>'Cap Outlay Deprec 26'!L8</f>
        <v>14383225</v>
      </c>
      <c r="C2057" s="2" t="s">
        <v>594</v>
      </c>
      <c r="D2057" s="2" t="str">
        <f t="shared" si="31"/>
        <v>Error?</v>
      </c>
    </row>
    <row r="2058" spans="1:4" x14ac:dyDescent="0.2">
      <c r="A2058" s="5">
        <v>1997</v>
      </c>
      <c r="B2058" s="138">
        <f>'Cap Outlay Deprec 26'!L10</f>
        <v>50533</v>
      </c>
      <c r="C2058" s="2" t="s">
        <v>594</v>
      </c>
      <c r="D2058" s="2" t="str">
        <f t="shared" si="31"/>
        <v>Error?</v>
      </c>
    </row>
    <row r="2059" spans="1:4" x14ac:dyDescent="0.2">
      <c r="A2059" s="5">
        <v>1998</v>
      </c>
      <c r="B2059" s="138">
        <f>'Cap Outlay Deprec 26'!L12</f>
        <v>295919</v>
      </c>
      <c r="C2059" s="2" t="s">
        <v>594</v>
      </c>
      <c r="D2059" s="2" t="str">
        <f t="shared" si="31"/>
        <v>Error?</v>
      </c>
    </row>
    <row r="2060" spans="1:4" x14ac:dyDescent="0.2">
      <c r="A2060" s="5">
        <v>1999</v>
      </c>
      <c r="B2060" s="138">
        <f>'Cap Outlay Deprec 26'!L13</f>
        <v>535</v>
      </c>
      <c r="C2060" s="2" t="s">
        <v>594</v>
      </c>
      <c r="D2060" s="2" t="str">
        <f t="shared" si="31"/>
        <v>Error?</v>
      </c>
    </row>
    <row r="2061" spans="1:4" x14ac:dyDescent="0.2">
      <c r="A2061" s="5">
        <v>2000</v>
      </c>
      <c r="B2061" s="138">
        <f>'Cap Outlay Deprec 26'!L16</f>
        <v>14798791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98868</v>
      </c>
      <c r="C2088" s="2" t="s">
        <v>594</v>
      </c>
      <c r="D2088" s="2" t="str">
        <f t="shared" si="31"/>
        <v>Error?</v>
      </c>
    </row>
    <row r="2089" spans="1:4" x14ac:dyDescent="0.2">
      <c r="A2089" s="5">
        <v>2028</v>
      </c>
      <c r="B2089" s="138">
        <f>'Expenditures 15-22'!K92</f>
        <v>210450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1738</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128355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62643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3358247</v>
      </c>
      <c r="C2551" s="2" t="s">
        <v>594</v>
      </c>
      <c r="D2551" s="2" t="str">
        <f t="shared" si="38"/>
        <v>Error?</v>
      </c>
    </row>
    <row r="2552" spans="1:4" x14ac:dyDescent="0.2">
      <c r="A2552" s="10">
        <v>2491</v>
      </c>
      <c r="D2552" s="2" t="str">
        <f t="shared" si="38"/>
        <v>OK</v>
      </c>
    </row>
    <row r="2553" spans="1:4" x14ac:dyDescent="0.2">
      <c r="A2553" s="5">
        <v>2492</v>
      </c>
      <c r="B2553" s="138">
        <f>'Acct Summary 7-8'!C6</f>
        <v>1568249</v>
      </c>
      <c r="C2553" s="2" t="s">
        <v>594</v>
      </c>
      <c r="D2553" s="2" t="str">
        <f t="shared" si="38"/>
        <v>Error?</v>
      </c>
    </row>
    <row r="2554" spans="1:4" x14ac:dyDescent="0.2">
      <c r="A2554" s="5">
        <v>2493</v>
      </c>
      <c r="B2554" s="138">
        <f>'Acct Summary 7-8'!C7</f>
        <v>459385</v>
      </c>
      <c r="C2554" s="2" t="s">
        <v>594</v>
      </c>
      <c r="D2554" s="2" t="str">
        <f t="shared" si="38"/>
        <v>Error?</v>
      </c>
    </row>
    <row r="2555" spans="1:4" x14ac:dyDescent="0.2">
      <c r="A2555" s="5">
        <v>2494</v>
      </c>
      <c r="B2555" s="138">
        <f>'Acct Summary 7-8'!C8</f>
        <v>5385881</v>
      </c>
      <c r="C2555" s="2" t="s">
        <v>594</v>
      </c>
      <c r="D2555" s="2" t="str">
        <f t="shared" si="38"/>
        <v>Error?</v>
      </c>
    </row>
    <row r="2556" spans="1:4" x14ac:dyDescent="0.2">
      <c r="A2556" s="5">
        <v>2495</v>
      </c>
      <c r="B2556" s="138">
        <f>'Acct Summary 7-8'!C12</f>
        <v>3316295</v>
      </c>
      <c r="C2556" s="2" t="s">
        <v>594</v>
      </c>
      <c r="D2556" s="2" t="str">
        <f t="shared" si="38"/>
        <v>Error?</v>
      </c>
    </row>
    <row r="2557" spans="1:4" x14ac:dyDescent="0.2">
      <c r="A2557" s="5">
        <v>2496</v>
      </c>
      <c r="B2557" s="138">
        <f>'Acct Summary 7-8'!C13</f>
        <v>1318257</v>
      </c>
      <c r="C2557" s="2" t="s">
        <v>594</v>
      </c>
      <c r="D2557" s="2" t="str">
        <f t="shared" si="38"/>
        <v>Error?</v>
      </c>
    </row>
    <row r="2558" spans="1:4" x14ac:dyDescent="0.2">
      <c r="A2558" s="5">
        <v>2497</v>
      </c>
      <c r="B2558" s="138">
        <f>'Acct Summary 7-8'!C14</f>
        <v>17851</v>
      </c>
      <c r="C2558" s="2" t="s">
        <v>594</v>
      </c>
      <c r="D2558" s="2" t="str">
        <f t="shared" si="38"/>
        <v>Error?</v>
      </c>
    </row>
    <row r="2559" spans="1:4" x14ac:dyDescent="0.2">
      <c r="A2559" s="5">
        <v>2498</v>
      </c>
      <c r="B2559" s="138">
        <f>'Acct Summary 7-8'!C15</f>
        <v>309318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4961721</v>
      </c>
      <c r="C2561" s="2" t="s">
        <v>594</v>
      </c>
      <c r="D2561" s="2" t="str">
        <f t="shared" si="39"/>
        <v>Error?</v>
      </c>
    </row>
    <row r="2562" spans="1:4" x14ac:dyDescent="0.2">
      <c r="A2562" s="5">
        <v>2501</v>
      </c>
      <c r="B2562" s="138">
        <f>'Acct Summary 7-8'!C20</f>
        <v>424160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1133409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1133409</v>
      </c>
      <c r="C2568" s="2" t="s">
        <v>594</v>
      </c>
      <c r="D2568" s="2" t="str">
        <f t="shared" si="39"/>
        <v>Error?</v>
      </c>
    </row>
    <row r="2569" spans="1:4" x14ac:dyDescent="0.2">
      <c r="A2569" s="5">
        <v>2508</v>
      </c>
      <c r="B2569" s="138">
        <f>'Acct Summary 7-8'!D13</f>
        <v>836609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836609</v>
      </c>
      <c r="C2573" s="2" t="s">
        <v>594</v>
      </c>
      <c r="D2573" s="2" t="str">
        <f t="shared" si="39"/>
        <v>Error?</v>
      </c>
    </row>
    <row r="2574" spans="1:4" x14ac:dyDescent="0.2">
      <c r="A2574" s="5">
        <v>2513</v>
      </c>
      <c r="B2574" s="138">
        <f>'Acct Summary 7-8'!D20</f>
        <v>296800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401454</v>
      </c>
      <c r="C2591" s="2" t="s">
        <v>594</v>
      </c>
      <c r="D2591" s="2" t="str">
        <f t="shared" si="39"/>
        <v>Error?</v>
      </c>
    </row>
    <row r="2592" spans="1:4" x14ac:dyDescent="0.2">
      <c r="A2592" s="10">
        <v>2531</v>
      </c>
      <c r="D2592" s="2" t="str">
        <f t="shared" si="39"/>
        <v>OK</v>
      </c>
    </row>
    <row r="2593" spans="1:4" x14ac:dyDescent="0.2">
      <c r="A2593" s="5">
        <v>2532</v>
      </c>
      <c r="B2593" s="138">
        <f>'Acct Summary 7-8'!F6</f>
        <v>387829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789283</v>
      </c>
      <c r="C2595" s="2" t="s">
        <v>594</v>
      </c>
      <c r="D2595" s="2" t="str">
        <f t="shared" si="39"/>
        <v>Error?</v>
      </c>
    </row>
    <row r="2596" spans="1:4" x14ac:dyDescent="0.2">
      <c r="A2596" s="5">
        <v>2535</v>
      </c>
      <c r="B2596" s="138">
        <f>'Acct Summary 7-8'!F13</f>
        <v>630723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630723</v>
      </c>
      <c r="C2600" s="2" t="s">
        <v>594</v>
      </c>
      <c r="D2600" s="2" t="str">
        <f t="shared" si="39"/>
        <v>Error?</v>
      </c>
    </row>
    <row r="2601" spans="1:4" x14ac:dyDescent="0.2">
      <c r="A2601" s="5">
        <v>2540</v>
      </c>
      <c r="B2601" s="138">
        <f>'Acct Summary 7-8'!F20</f>
        <v>158560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305113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305113</v>
      </c>
      <c r="C2606" s="2" t="s">
        <v>594</v>
      </c>
      <c r="D2606" s="2" t="str">
        <f t="shared" si="39"/>
        <v>Error?</v>
      </c>
    </row>
    <row r="2607" spans="1:4" x14ac:dyDescent="0.2">
      <c r="A2607" s="5">
        <v>2546</v>
      </c>
      <c r="B2607" s="138">
        <f>'Acct Summary 7-8'!G12</f>
        <v>85873</v>
      </c>
      <c r="C2607" s="2" t="s">
        <v>594</v>
      </c>
      <c r="D2607" s="2" t="str">
        <f t="shared" si="39"/>
        <v>Error?</v>
      </c>
    </row>
    <row r="2608" spans="1:4" x14ac:dyDescent="0.2">
      <c r="A2608" s="5">
        <v>2547</v>
      </c>
      <c r="B2608" s="138">
        <f>'Acct Summary 7-8'!G13</f>
        <v>156531</v>
      </c>
      <c r="C2608" s="2" t="s">
        <v>594</v>
      </c>
      <c r="D2608" s="2" t="str">
        <f t="shared" si="39"/>
        <v>Error?</v>
      </c>
    </row>
    <row r="2609" spans="1:4" x14ac:dyDescent="0.2">
      <c r="A2609" s="5">
        <v>2548</v>
      </c>
      <c r="B2609" s="138">
        <f>'Acct Summary 7-8'!G14</f>
        <v>1180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243584</v>
      </c>
      <c r="C2612" s="2" t="s">
        <v>594</v>
      </c>
      <c r="D2612" s="2" t="str">
        <f t="shared" si="39"/>
        <v>Error?</v>
      </c>
    </row>
    <row r="2613" spans="1:4" x14ac:dyDescent="0.2">
      <c r="A2613" s="5">
        <v>2552</v>
      </c>
      <c r="B2613" s="138">
        <f>'Acct Summary 7-8'!G20</f>
        <v>61529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733903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733903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736008</v>
      </c>
      <c r="C2634" s="2" t="s">
        <v>594</v>
      </c>
      <c r="D2634" s="2" t="str">
        <f t="shared" si="40"/>
        <v>Error?</v>
      </c>
    </row>
    <row r="2635" spans="1:4" x14ac:dyDescent="0.2">
      <c r="A2635" s="5">
        <v>2574</v>
      </c>
      <c r="B2635" s="138">
        <f>'Acct Summary 7-8'!E17</f>
        <v>736008</v>
      </c>
      <c r="C2635" s="2" t="s">
        <v>594</v>
      </c>
      <c r="D2635" s="2" t="str">
        <f t="shared" si="40"/>
        <v>Error?</v>
      </c>
    </row>
    <row r="2636" spans="1:4" x14ac:dyDescent="0.2">
      <c r="A2636" s="5">
        <v>2575</v>
      </c>
      <c r="B2636" s="138">
        <f>'Acct Summary 7-8'!E20</f>
        <v>-2105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14342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14342</v>
      </c>
      <c r="C2658" s="2" t="s">
        <v>594</v>
      </c>
      <c r="D2658" s="2" t="str">
        <f t="shared" si="40"/>
        <v>Error?</v>
      </c>
    </row>
    <row r="2659" spans="1:4" x14ac:dyDescent="0.2">
      <c r="A2659" s="5">
        <v>2598</v>
      </c>
      <c r="B2659" s="138">
        <f>'Acct Summary 7-8'!H13</f>
        <v>4618436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4618436</v>
      </c>
      <c r="C2661" s="2" t="s">
        <v>594</v>
      </c>
      <c r="D2661" s="2" t="str">
        <f t="shared" si="40"/>
        <v>Error?</v>
      </c>
    </row>
    <row r="2662" spans="1:4" x14ac:dyDescent="0.2">
      <c r="A2662" s="5">
        <v>2601</v>
      </c>
      <c r="B2662" s="138">
        <f>'Acct Summary 7-8'!H20</f>
        <v>-4604094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709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709</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98868</v>
      </c>
      <c r="C2789" s="2" t="s">
        <v>594</v>
      </c>
      <c r="D2789" s="2" t="str">
        <f t="shared" si="42"/>
        <v>Error?</v>
      </c>
    </row>
    <row r="2790" spans="1:4" x14ac:dyDescent="0.2">
      <c r="A2790" s="5">
        <v>2729</v>
      </c>
      <c r="B2790" s="138">
        <f>'Expenditures 15-22'!E102</f>
        <v>98868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570053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126069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570053</v>
      </c>
      <c r="D2912" s="2" t="str">
        <f t="shared" si="44"/>
        <v>Error?</v>
      </c>
    </row>
    <row r="2913" spans="1:4" x14ac:dyDescent="0.2">
      <c r="A2913" s="5">
        <v>2852</v>
      </c>
      <c r="B2913" s="138">
        <f>'Assets-Liab 5-6'!I41</f>
        <v>570053</v>
      </c>
      <c r="C2913" s="2" t="s">
        <v>594</v>
      </c>
      <c r="D2913" s="2" t="str">
        <f t="shared" si="44"/>
        <v>Error?</v>
      </c>
    </row>
    <row r="2914" spans="1:4" x14ac:dyDescent="0.2">
      <c r="A2914" s="5">
        <v>2853</v>
      </c>
      <c r="B2914" s="138">
        <f>'Assets-Liab 5-6'!L33</f>
        <v>126069</v>
      </c>
      <c r="D2914" s="2" t="str">
        <f t="shared" si="44"/>
        <v>Error?</v>
      </c>
    </row>
    <row r="2915" spans="1:4" x14ac:dyDescent="0.2">
      <c r="A2915" s="10">
        <v>2854</v>
      </c>
      <c r="D2915" s="2" t="str">
        <f t="shared" si="44"/>
        <v>OK</v>
      </c>
    </row>
    <row r="2916" spans="1:4" x14ac:dyDescent="0.2">
      <c r="A2916" s="5">
        <v>2855</v>
      </c>
      <c r="B2916" s="138">
        <f>'Assets-Liab 5-6'!L34</f>
        <v>126069</v>
      </c>
      <c r="C2916" s="2" t="s">
        <v>594</v>
      </c>
      <c r="D2916" s="2" t="str">
        <f t="shared" si="44"/>
        <v>Error?</v>
      </c>
    </row>
    <row r="2917" spans="1:4" x14ac:dyDescent="0.2">
      <c r="A2917" s="5">
        <v>2856</v>
      </c>
      <c r="B2917" s="138">
        <f>'Assets-Liab 5-6'!L41</f>
        <v>126069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98868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98868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50102</v>
      </c>
      <c r="D3055" s="2" t="str">
        <f t="shared" si="46"/>
        <v>Error?</v>
      </c>
    </row>
    <row r="3056" spans="1:4" x14ac:dyDescent="0.2">
      <c r="A3056" s="5">
        <v>2995</v>
      </c>
      <c r="B3056" s="138">
        <f>'Expenditures 15-22'!D10</f>
        <v>11769</v>
      </c>
      <c r="D3056" s="2" t="str">
        <f t="shared" si="46"/>
        <v>Error?</v>
      </c>
    </row>
    <row r="3057" spans="1:4" x14ac:dyDescent="0.2">
      <c r="A3057" s="5">
        <v>2996</v>
      </c>
      <c r="B3057" s="138">
        <f>'Expenditures 15-22'!E10</f>
        <v>5270</v>
      </c>
      <c r="D3057" s="2" t="str">
        <f t="shared" si="46"/>
        <v>Error?</v>
      </c>
    </row>
    <row r="3058" spans="1:4" x14ac:dyDescent="0.2">
      <c r="A3058" s="5">
        <v>2997</v>
      </c>
      <c r="B3058" s="138">
        <f>'Expenditures 15-22'!F10</f>
        <v>38644</v>
      </c>
      <c r="D3058" s="2" t="str">
        <f t="shared" si="46"/>
        <v>Error?</v>
      </c>
    </row>
    <row r="3059" spans="1:4" x14ac:dyDescent="0.2">
      <c r="A3059" s="5">
        <v>2998</v>
      </c>
      <c r="B3059" s="138">
        <f>'Expenditures 15-22'!G10</f>
        <v>2508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108293</v>
      </c>
      <c r="C3062" s="2" t="s">
        <v>594</v>
      </c>
      <c r="D3062" s="2" t="str">
        <f t="shared" si="46"/>
        <v>Error?</v>
      </c>
    </row>
    <row r="3063" spans="1:4" x14ac:dyDescent="0.2">
      <c r="A3063" s="10">
        <v>3002</v>
      </c>
      <c r="D3063" s="2" t="str">
        <f t="shared" si="46"/>
        <v>OK</v>
      </c>
    </row>
    <row r="3064" spans="1:4" x14ac:dyDescent="0.2">
      <c r="A3064" s="5">
        <v>3003</v>
      </c>
      <c r="B3064" s="138">
        <f>'Expenditures 15-22'!D219</f>
        <v>727</v>
      </c>
      <c r="D3064" s="2" t="str">
        <f t="shared" si="46"/>
        <v>Error?</v>
      </c>
    </row>
    <row r="3065" spans="1:4" x14ac:dyDescent="0.2">
      <c r="A3065" s="5">
        <v>3004</v>
      </c>
      <c r="B3065" s="138">
        <f>'Expenditures 15-22'!K219</f>
        <v>727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62682</v>
      </c>
      <c r="C3225" s="2" t="s">
        <v>594</v>
      </c>
      <c r="D3225" s="2" t="str">
        <f t="shared" si="49"/>
        <v>Error?</v>
      </c>
    </row>
    <row r="3226" spans="1:4" x14ac:dyDescent="0.2">
      <c r="A3226" s="5">
        <v>3165</v>
      </c>
      <c r="B3226" s="138">
        <f>'Acct Summary 7-8'!I8</f>
        <v>62682</v>
      </c>
      <c r="C3226" s="2" t="s">
        <v>594</v>
      </c>
      <c r="D3226" s="2" t="str">
        <f t="shared" si="49"/>
        <v>Error?</v>
      </c>
    </row>
    <row r="3227" spans="1:4" x14ac:dyDescent="0.2">
      <c r="A3227" s="5">
        <v>3166</v>
      </c>
      <c r="B3227" s="138">
        <f>'Acct Summary 7-8'!I20</f>
        <v>62682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424160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296800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158560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61529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1738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1738</v>
      </c>
      <c r="C3277" s="2" t="s">
        <v>594</v>
      </c>
      <c r="D3277" s="2" t="str">
        <f t="shared" si="50"/>
        <v>Error?</v>
      </c>
    </row>
    <row r="3278" spans="1:4" x14ac:dyDescent="0.2">
      <c r="A3278" s="5">
        <v>3217</v>
      </c>
      <c r="B3278" s="138">
        <f>'Acct Summary 7-8'!E78</f>
        <v>-367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-4604094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1738</v>
      </c>
      <c r="C3318" s="2" t="s">
        <v>594</v>
      </c>
      <c r="D3318" s="2" t="str">
        <f t="shared" si="50"/>
        <v>Error?</v>
      </c>
    </row>
    <row r="3319" spans="1:4" x14ac:dyDescent="0.2">
      <c r="A3319" s="5">
        <v>3258</v>
      </c>
      <c r="B3319" s="138">
        <f>'Acct Summary 7-8'!I77</f>
        <v>-1738</v>
      </c>
      <c r="C3319" s="2" t="s">
        <v>594</v>
      </c>
      <c r="D3319" s="2" t="str">
        <f t="shared" si="50"/>
        <v>Error?</v>
      </c>
    </row>
    <row r="3320" spans="1:4" x14ac:dyDescent="0.2">
      <c r="A3320" s="5">
        <v>3259</v>
      </c>
      <c r="B3320" s="138">
        <f>'Acct Summary 7-8'!I78</f>
        <v>60944</v>
      </c>
      <c r="C3320" s="2" t="s">
        <v>594</v>
      </c>
      <c r="D3320" s="2" t="str">
        <f t="shared" si="50"/>
        <v>Error?</v>
      </c>
    </row>
    <row r="3321" spans="1:4" x14ac:dyDescent="0.2">
      <c r="A3321" s="5">
        <v>3260</v>
      </c>
      <c r="B3321" s="138">
        <f>'Acct Summary 7-8'!I79</f>
        <v>509109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570053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484455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81698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5823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1445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574353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23166</v>
      </c>
      <c r="D3387" s="2" t="str">
        <f t="shared" si="51"/>
        <v>Error?</v>
      </c>
    </row>
    <row r="3388" spans="1:4" x14ac:dyDescent="0.2">
      <c r="A3388" s="5">
        <v>3327</v>
      </c>
      <c r="B3388" s="138">
        <f>'Expenditures 15-22'!D217</f>
        <v>49374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23166</v>
      </c>
      <c r="C3390" s="2" t="s">
        <v>594</v>
      </c>
      <c r="D3390" s="2" t="str">
        <f t="shared" si="51"/>
        <v>Error?</v>
      </c>
    </row>
    <row r="3391" spans="1:4" x14ac:dyDescent="0.2">
      <c r="A3391" s="5">
        <v>3330</v>
      </c>
      <c r="B3391" s="138">
        <f>'Expenditures 15-22'!K217</f>
        <v>49374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385719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275637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789824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198971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570053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121069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149870</v>
      </c>
      <c r="C3446" s="2" t="s">
        <v>594</v>
      </c>
      <c r="D3446" s="2" t="str">
        <f t="shared" si="52"/>
        <v>Error?</v>
      </c>
    </row>
    <row r="3447" spans="1:4" x14ac:dyDescent="0.2">
      <c r="A3447" s="5">
        <v>3386</v>
      </c>
      <c r="B3447" s="138">
        <f>'Tax Sched 23'!D16</f>
        <v>149870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120004</v>
      </c>
      <c r="C3449" s="2" t="s">
        <v>594</v>
      </c>
      <c r="D3449" s="2" t="str">
        <f t="shared" si="52"/>
        <v>Error?</v>
      </c>
    </row>
    <row r="3450" spans="1:4" x14ac:dyDescent="0.2">
      <c r="A3450" s="5">
        <v>3389</v>
      </c>
      <c r="B3450" s="138">
        <f>'Tax Sched 23'!E16</f>
        <v>120004</v>
      </c>
      <c r="D3450" s="2" t="str">
        <f t="shared" si="52"/>
        <v>Error?</v>
      </c>
    </row>
    <row r="3451" spans="1:4" x14ac:dyDescent="0.2">
      <c r="A3451" s="5">
        <v>3390</v>
      </c>
      <c r="B3451" s="138">
        <f>'Cap Outlay Deprec 26'!C15</f>
        <v>5130245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5130245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1738</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268571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5126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273697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273697</v>
      </c>
      <c r="D3567" s="2" t="str">
        <f t="shared" si="54"/>
        <v>Error?</v>
      </c>
    </row>
    <row r="3568" spans="1:4" x14ac:dyDescent="0.2">
      <c r="A3568" s="5">
        <v>3507</v>
      </c>
      <c r="B3568" s="138">
        <f>'Assets-Liab 5-6'!K41</f>
        <v>273697</v>
      </c>
      <c r="C3568" s="2" t="s">
        <v>594</v>
      </c>
      <c r="D3568" s="2" t="str">
        <f t="shared" si="54"/>
        <v>Error?</v>
      </c>
    </row>
    <row r="3569" spans="1:4" x14ac:dyDescent="0.2">
      <c r="A3569" s="5">
        <v>3508</v>
      </c>
      <c r="B3569" s="138">
        <f>'Acct Summary 7-8'!K4</f>
        <v>59119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59119</v>
      </c>
      <c r="C3571" s="2" t="s">
        <v>594</v>
      </c>
      <c r="D3571" s="2" t="str">
        <f t="shared" si="54"/>
        <v>Error?</v>
      </c>
    </row>
    <row r="3572" spans="1:4" x14ac:dyDescent="0.2">
      <c r="A3572" s="5">
        <v>3511</v>
      </c>
      <c r="B3572" s="138">
        <f>'Acct Summary 7-8'!K13</f>
        <v>35398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35398</v>
      </c>
      <c r="C3575" s="2" t="s">
        <v>594</v>
      </c>
      <c r="D3575" s="2" t="str">
        <f t="shared" si="54"/>
        <v>Error?</v>
      </c>
    </row>
    <row r="3576" spans="1:4" x14ac:dyDescent="0.2">
      <c r="A3576" s="5">
        <v>3515</v>
      </c>
      <c r="B3576" s="138">
        <f>'Acct Summary 7-8'!K20</f>
        <v>23721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23721</v>
      </c>
      <c r="C3588" s="2" t="s">
        <v>594</v>
      </c>
      <c r="D3588" s="2" t="str">
        <f t="shared" si="55"/>
        <v>Error?</v>
      </c>
    </row>
    <row r="3589" spans="1:4" x14ac:dyDescent="0.2">
      <c r="A3589" s="5">
        <v>3528</v>
      </c>
      <c r="B3589" s="138">
        <f>'Acct Summary 7-8'!K79</f>
        <v>249976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273697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28910</v>
      </c>
      <c r="D3632" s="2" t="str">
        <f t="shared" si="55"/>
        <v>Error?</v>
      </c>
    </row>
    <row r="3633" spans="1:4" x14ac:dyDescent="0.2">
      <c r="A3633" s="5">
        <v>3572</v>
      </c>
      <c r="B3633" s="138">
        <f>'Expenditures 15-22'!E350</f>
        <v>28910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28910</v>
      </c>
      <c r="C3635" s="2" t="s">
        <v>594</v>
      </c>
      <c r="D3635" s="2" t="str">
        <f t="shared" si="55"/>
        <v>Error?</v>
      </c>
    </row>
    <row r="3636" spans="1:4" x14ac:dyDescent="0.2">
      <c r="A3636" s="5">
        <v>3575</v>
      </c>
      <c r="B3636" s="138">
        <f>'Expenditures 15-22'!E367</f>
        <v>28910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6488</v>
      </c>
      <c r="D3646" s="2" t="str">
        <f t="shared" si="55"/>
        <v>Error?</v>
      </c>
    </row>
    <row r="3647" spans="1:4" x14ac:dyDescent="0.2">
      <c r="A3647" s="5">
        <v>3586</v>
      </c>
      <c r="B3647" s="138">
        <f>'Expenditures 15-22'!G350</f>
        <v>6488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6488</v>
      </c>
      <c r="C3649" s="2" t="s">
        <v>594</v>
      </c>
      <c r="D3649" s="2" t="str">
        <f t="shared" si="56"/>
        <v>Error?</v>
      </c>
    </row>
    <row r="3650" spans="1:4" x14ac:dyDescent="0.2">
      <c r="A3650" s="5">
        <v>3589</v>
      </c>
      <c r="B3650" s="138">
        <f>'Expenditures 15-22'!G367</f>
        <v>6488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35398</v>
      </c>
      <c r="C3669" s="2" t="s">
        <v>594</v>
      </c>
      <c r="D3669" s="2" t="str">
        <f t="shared" si="56"/>
        <v>Error?</v>
      </c>
    </row>
    <row r="3670" spans="1:4" x14ac:dyDescent="0.2">
      <c r="A3670" s="5">
        <v>3609</v>
      </c>
      <c r="B3670" s="138">
        <f>'Expenditures 15-22'!K350</f>
        <v>35398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35398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35398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23721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55726</v>
      </c>
      <c r="C3725" s="2" t="s">
        <v>594</v>
      </c>
      <c r="D3725" s="2" t="str">
        <f t="shared" si="57"/>
        <v>Error?</v>
      </c>
    </row>
    <row r="3726" spans="1:4" x14ac:dyDescent="0.2">
      <c r="A3726" s="5">
        <v>3665</v>
      </c>
      <c r="B3726" s="138">
        <f>'Tax Sched 23'!D13</f>
        <v>55726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55563</v>
      </c>
      <c r="C3728" s="2" t="s">
        <v>594</v>
      </c>
      <c r="D3728" s="2" t="str">
        <f t="shared" si="57"/>
        <v>Error?</v>
      </c>
    </row>
    <row r="3729" spans="1:4" x14ac:dyDescent="0.2">
      <c r="A3729" s="5">
        <v>3668</v>
      </c>
      <c r="B3729" s="138">
        <f>'Tax Sched 23'!E13</f>
        <v>55563</v>
      </c>
      <c r="D3729" s="2" t="str">
        <f t="shared" si="57"/>
        <v>Error?</v>
      </c>
    </row>
    <row r="3730" spans="1:4" x14ac:dyDescent="0.2">
      <c r="A3730" s="5">
        <v>3669</v>
      </c>
      <c r="B3730" s="138">
        <f>'ICR Computation 30'!E10</f>
        <v>155844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2104022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7489903</v>
      </c>
      <c r="C4122" s="2" t="s">
        <v>594</v>
      </c>
      <c r="D4122" s="2" t="str">
        <f t="shared" si="63"/>
        <v>Error?</v>
      </c>
    </row>
    <row r="4123" spans="1:4" x14ac:dyDescent="0.2">
      <c r="A4123" s="5">
        <v>4062</v>
      </c>
      <c r="B4123" s="138">
        <f>'Acct Summary 7-8'!D10</f>
        <v>1133409</v>
      </c>
      <c r="C4123" s="2" t="s">
        <v>594</v>
      </c>
      <c r="D4123" s="2" t="str">
        <f t="shared" si="63"/>
        <v>Error?</v>
      </c>
    </row>
    <row r="4124" spans="1:4" x14ac:dyDescent="0.2">
      <c r="A4124" s="5">
        <v>4063</v>
      </c>
      <c r="B4124" s="138">
        <f>'Acct Summary 7-8'!E10</f>
        <v>733903</v>
      </c>
      <c r="C4124" s="2" t="s">
        <v>594</v>
      </c>
      <c r="D4124" s="2" t="str">
        <f t="shared" si="63"/>
        <v>Error?</v>
      </c>
    </row>
    <row r="4125" spans="1:4" x14ac:dyDescent="0.2">
      <c r="A4125" s="5">
        <v>4064</v>
      </c>
      <c r="B4125" s="138">
        <f>'Acct Summary 7-8'!F10</f>
        <v>789283</v>
      </c>
      <c r="C4125" s="2" t="s">
        <v>594</v>
      </c>
      <c r="D4125" s="2" t="str">
        <f t="shared" si="63"/>
        <v>Error?</v>
      </c>
    </row>
    <row r="4126" spans="1:4" x14ac:dyDescent="0.2">
      <c r="A4126" s="5">
        <v>4065</v>
      </c>
      <c r="B4126" s="138">
        <f>'Acct Summary 7-8'!G10</f>
        <v>305113</v>
      </c>
      <c r="C4126" s="2" t="s">
        <v>594</v>
      </c>
      <c r="D4126" s="2" t="str">
        <f t="shared" si="63"/>
        <v>Error?</v>
      </c>
    </row>
    <row r="4127" spans="1:4" x14ac:dyDescent="0.2">
      <c r="A4127" s="5">
        <v>4066</v>
      </c>
      <c r="B4127" s="138">
        <f>'Acct Summary 7-8'!H10</f>
        <v>14342</v>
      </c>
      <c r="C4127" s="2" t="s">
        <v>594</v>
      </c>
      <c r="D4127" s="2" t="str">
        <f t="shared" si="63"/>
        <v>Error?</v>
      </c>
    </row>
    <row r="4128" spans="1:4" x14ac:dyDescent="0.2">
      <c r="A4128" s="5">
        <v>4067</v>
      </c>
      <c r="B4128" s="138">
        <f>'Acct Summary 7-8'!I10</f>
        <v>62682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59119</v>
      </c>
      <c r="C4130" s="2" t="s">
        <v>594</v>
      </c>
      <c r="D4130" s="2" t="str">
        <f t="shared" si="63"/>
        <v>Error?</v>
      </c>
    </row>
    <row r="4131" spans="1:4" x14ac:dyDescent="0.2">
      <c r="A4131" s="5">
        <v>4070</v>
      </c>
      <c r="B4131" s="138">
        <f>'Acct Summary 7-8'!C18</f>
        <v>2104022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7065743</v>
      </c>
      <c r="C4136" s="2" t="s">
        <v>594</v>
      </c>
      <c r="D4136" s="2" t="str">
        <f t="shared" si="63"/>
        <v>Error?</v>
      </c>
    </row>
    <row r="4137" spans="1:4" x14ac:dyDescent="0.2">
      <c r="A4137" s="5">
        <v>4076</v>
      </c>
      <c r="B4137" s="138">
        <f>'Acct Summary 7-8'!D19</f>
        <v>836609</v>
      </c>
      <c r="C4137" s="2" t="s">
        <v>594</v>
      </c>
      <c r="D4137" s="2" t="str">
        <f t="shared" si="63"/>
        <v>Error?</v>
      </c>
    </row>
    <row r="4138" spans="1:4" x14ac:dyDescent="0.2">
      <c r="A4138" s="5">
        <v>4077</v>
      </c>
      <c r="B4138" s="138">
        <f>'Acct Summary 7-8'!E19</f>
        <v>736008</v>
      </c>
      <c r="C4138" s="2" t="s">
        <v>594</v>
      </c>
      <c r="D4138" s="2" t="str">
        <f t="shared" si="63"/>
        <v>Error?</v>
      </c>
    </row>
    <row r="4139" spans="1:4" x14ac:dyDescent="0.2">
      <c r="A4139" s="5">
        <v>4078</v>
      </c>
      <c r="B4139" s="138">
        <f>'Acct Summary 7-8'!F19</f>
        <v>630723</v>
      </c>
      <c r="C4139" s="2" t="s">
        <v>594</v>
      </c>
      <c r="D4139" s="2" t="str">
        <f t="shared" si="63"/>
        <v>Error?</v>
      </c>
    </row>
    <row r="4140" spans="1:4" x14ac:dyDescent="0.2">
      <c r="A4140" s="5">
        <v>4079</v>
      </c>
      <c r="B4140" s="138">
        <f>'Acct Summary 7-8'!G19</f>
        <v>243584</v>
      </c>
      <c r="C4140" s="2" t="s">
        <v>594</v>
      </c>
      <c r="D4140" s="2" t="str">
        <f t="shared" si="63"/>
        <v>Error?</v>
      </c>
    </row>
    <row r="4141" spans="1:4" x14ac:dyDescent="0.2">
      <c r="A4141" s="5">
        <v>4080</v>
      </c>
      <c r="B4141" s="138">
        <f>'Acct Summary 7-8'!H19</f>
        <v>4618436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35398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9715000</v>
      </c>
      <c r="C4171" s="2" t="s">
        <v>594</v>
      </c>
      <c r="D4171" s="2" t="str">
        <f t="shared" si="64"/>
        <v>Error?</v>
      </c>
    </row>
    <row r="4172" spans="1:4" x14ac:dyDescent="0.2">
      <c r="A4172" s="5">
        <v>4111</v>
      </c>
      <c r="B4172" s="138">
        <f>'Short-Term Long-Term Debt 24'!J49</f>
        <v>9715000</v>
      </c>
      <c r="C4172" s="2" t="s">
        <v>594</v>
      </c>
      <c r="D4172" s="2" t="str">
        <f t="shared" si="64"/>
        <v>Error?</v>
      </c>
    </row>
    <row r="4173" spans="1:4" x14ac:dyDescent="0.2">
      <c r="A4173" s="5">
        <v>4112</v>
      </c>
      <c r="B4173" s="138">
        <f>'Short-Term Long-Term Debt 24'!H49</f>
        <v>395000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2750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350</v>
      </c>
      <c r="C4267" s="2" t="s">
        <v>594</v>
      </c>
      <c r="D4267" s="2" t="str">
        <f t="shared" si="65"/>
        <v>Error?</v>
      </c>
      <c r="E4267" s="128"/>
    </row>
    <row r="4268" spans="1:5" x14ac:dyDescent="0.2">
      <c r="A4268" s="12">
        <v>4207</v>
      </c>
      <c r="B4268" s="138">
        <f>('FP Info 3'!J10)*100000</f>
        <v>3850</v>
      </c>
      <c r="C4268" s="2" t="s">
        <v>594</v>
      </c>
      <c r="D4268" s="2" t="str">
        <f t="shared" si="65"/>
        <v>Error?</v>
      </c>
    </row>
    <row r="4269" spans="1:5" x14ac:dyDescent="0.2">
      <c r="A4269" s="12">
        <v>4208</v>
      </c>
      <c r="B4269" s="138">
        <f>'FP Info 3'!J16</f>
        <v>4998953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10493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99199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32290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1679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134514192</v>
      </c>
      <c r="D4995" s="2" t="str">
        <f t="shared" si="77"/>
        <v>Error?</v>
      </c>
    </row>
    <row r="4996" spans="1:4" x14ac:dyDescent="0.2">
      <c r="A4996" s="12">
        <v>4935</v>
      </c>
      <c r="B4996" s="138">
        <f>'FP Info 3'!H31</f>
        <v>18562958.496000003</v>
      </c>
      <c r="D4996" s="2" t="str">
        <f t="shared" si="77"/>
        <v>Error?</v>
      </c>
    </row>
    <row r="4997" spans="1:4" x14ac:dyDescent="0.2">
      <c r="A4997" s="12">
        <v>4936</v>
      </c>
      <c r="B4997" s="138">
        <f>'FP Info 3'!H37</f>
        <v>9715000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55726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3064916</v>
      </c>
      <c r="D5061" s="2" t="str">
        <f t="shared" si="78"/>
        <v>Error?</v>
      </c>
    </row>
    <row r="5062" spans="1:4" x14ac:dyDescent="0.2">
      <c r="A5062" s="10">
        <v>5001</v>
      </c>
      <c r="D5062" s="2" t="str">
        <f t="shared" si="78"/>
        <v>OK</v>
      </c>
    </row>
    <row r="5063" spans="1:4" x14ac:dyDescent="0.2">
      <c r="A5063" s="5">
        <v>5002</v>
      </c>
      <c r="B5063" s="138">
        <f>'Revenues 9-14'!C7</f>
        <v>44580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3165222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5678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5678</v>
      </c>
      <c r="C5087" s="2" t="s">
        <v>594</v>
      </c>
      <c r="D5087" s="2" t="str">
        <f t="shared" si="78"/>
        <v>Error?</v>
      </c>
    </row>
    <row r="5088" spans="1:4" x14ac:dyDescent="0.2">
      <c r="A5088" s="5">
        <v>5027</v>
      </c>
      <c r="B5088" s="138">
        <f>'Revenues 9-14'!C65</f>
        <v>24931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24931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1472</v>
      </c>
      <c r="D5093" s="2" t="str">
        <f t="shared" si="78"/>
        <v>Error?</v>
      </c>
    </row>
    <row r="5094" spans="1:4" x14ac:dyDescent="0.2">
      <c r="A5094" s="5">
        <v>5033</v>
      </c>
      <c r="B5094" s="138">
        <f>'Revenues 9-14'!C73</f>
        <v>5407</v>
      </c>
      <c r="D5094" s="2" t="str">
        <f t="shared" si="78"/>
        <v>Error?</v>
      </c>
    </row>
    <row r="5095" spans="1:4" x14ac:dyDescent="0.2">
      <c r="A5095" s="5">
        <v>5034</v>
      </c>
      <c r="B5095" s="138">
        <f>'Revenues 9-14'!C74</f>
        <v>15</v>
      </c>
      <c r="D5095" s="2" t="str">
        <f t="shared" si="78"/>
        <v>Error?</v>
      </c>
    </row>
    <row r="5096" spans="1:4" x14ac:dyDescent="0.2">
      <c r="A5096" s="5">
        <v>5035</v>
      </c>
      <c r="B5096" s="138">
        <f>'Revenues 9-14'!C75</f>
        <v>87698</v>
      </c>
      <c r="C5096" s="2" t="s">
        <v>594</v>
      </c>
      <c r="D5096" s="2" t="str">
        <f t="shared" si="78"/>
        <v>Error?</v>
      </c>
    </row>
    <row r="5097" spans="1:4" x14ac:dyDescent="0.2">
      <c r="A5097" s="5">
        <v>5036</v>
      </c>
      <c r="B5097" s="138">
        <f>'Revenues 9-14'!C77</f>
        <v>18730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6484</v>
      </c>
      <c r="D5101" s="2" t="str">
        <f t="shared" si="78"/>
        <v>Error?</v>
      </c>
    </row>
    <row r="5102" spans="1:4" x14ac:dyDescent="0.2">
      <c r="A5102" s="5">
        <v>5041</v>
      </c>
      <c r="B5102" s="138">
        <f>'Revenues 9-14'!C82</f>
        <v>25214</v>
      </c>
      <c r="C5102" s="2" t="s">
        <v>594</v>
      </c>
      <c r="D5102" s="2" t="str">
        <f t="shared" si="78"/>
        <v>Error?</v>
      </c>
    </row>
    <row r="5103" spans="1:4" x14ac:dyDescent="0.2">
      <c r="A5103" s="5">
        <v>5042</v>
      </c>
      <c r="B5103" s="138">
        <f>'Revenues 9-14'!C84</f>
        <v>24941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24941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7108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4776</v>
      </c>
      <c r="D5119" s="2" t="str">
        <f t="shared" ref="D5119:D5182" si="79">IF(ISBLANK(B5119),"OK",IF(A5119-B5119=0,"OK","Error?"))</f>
        <v>Error?</v>
      </c>
    </row>
    <row r="5120" spans="1:4" x14ac:dyDescent="0.2">
      <c r="A5120" s="5">
        <v>5059</v>
      </c>
      <c r="B5120" s="138">
        <f>'Revenues 9-14'!C108</f>
        <v>24563</v>
      </c>
      <c r="C5120" s="2" t="s">
        <v>594</v>
      </c>
      <c r="D5120" s="2" t="str">
        <f t="shared" si="79"/>
        <v>Error?</v>
      </c>
    </row>
    <row r="5121" spans="1:4" x14ac:dyDescent="0.2">
      <c r="A5121" s="5">
        <v>5060</v>
      </c>
      <c r="B5121" s="138">
        <f>'Revenues 9-14'!C109</f>
        <v>3358247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1134247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1134247</v>
      </c>
      <c r="C5132" s="2" t="s">
        <v>594</v>
      </c>
      <c r="D5132" s="2" t="str">
        <f t="shared" si="79"/>
        <v>Error?</v>
      </c>
    </row>
    <row r="5133" spans="1:4" x14ac:dyDescent="0.2">
      <c r="A5133" s="5">
        <v>5072</v>
      </c>
      <c r="B5133" s="138">
        <f>'Revenues 9-14'!C124</f>
        <v>105734</v>
      </c>
      <c r="D5133" s="2" t="str">
        <f t="shared" si="79"/>
        <v>Error?</v>
      </c>
    </row>
    <row r="5134" spans="1:4" x14ac:dyDescent="0.2">
      <c r="A5134" s="5">
        <v>5073</v>
      </c>
      <c r="B5134" s="138">
        <f>'Revenues 9-14'!C125</f>
        <v>44110</v>
      </c>
      <c r="D5134" s="2" t="str">
        <f t="shared" si="79"/>
        <v>Error?</v>
      </c>
    </row>
    <row r="5135" spans="1:4" x14ac:dyDescent="0.2">
      <c r="A5135" s="5">
        <v>5074</v>
      </c>
      <c r="B5135" s="138">
        <f>'Revenues 9-14'!C126</f>
        <v>73692</v>
      </c>
      <c r="D5135" s="2" t="str">
        <f t="shared" si="79"/>
        <v>Error?</v>
      </c>
    </row>
    <row r="5136" spans="1:4" x14ac:dyDescent="0.2">
      <c r="A5136" s="10">
        <v>5075</v>
      </c>
      <c r="D5136" s="2" t="str">
        <f t="shared" si="79"/>
        <v>OK</v>
      </c>
    </row>
    <row r="5137" spans="1:4" x14ac:dyDescent="0.2">
      <c r="A5137" s="5">
        <v>5076</v>
      </c>
      <c r="B5137" s="138">
        <f>'Revenues 9-14'!C127</f>
        <v>4756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228292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24627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38866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3121</v>
      </c>
      <c r="D5167" s="2" t="str">
        <f t="shared" si="79"/>
        <v>Error?</v>
      </c>
    </row>
    <row r="5168" spans="1:4" x14ac:dyDescent="0.2">
      <c r="A5168" s="5">
        <v>5107</v>
      </c>
      <c r="B5168" s="138">
        <f>'Revenues 9-14'!C147</f>
        <v>9848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153125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434002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1568249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132175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46168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178343</v>
      </c>
      <c r="C5246" s="2" t="s">
        <v>594</v>
      </c>
      <c r="D5246" s="2" t="str">
        <f t="shared" si="80"/>
        <v>Error?</v>
      </c>
    </row>
    <row r="5247" spans="1:4" x14ac:dyDescent="0.2">
      <c r="A5247" s="5">
        <v>5186</v>
      </c>
      <c r="B5247" s="138">
        <f>'Revenues 9-14'!C203</f>
        <v>139060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139060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459385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459385</v>
      </c>
      <c r="C5326" s="2" t="s">
        <v>594</v>
      </c>
      <c r="D5326" s="2" t="str">
        <f t="shared" si="82"/>
        <v>Error?</v>
      </c>
    </row>
    <row r="5327" spans="1:4" x14ac:dyDescent="0.2">
      <c r="A5327" s="5">
        <v>5266</v>
      </c>
      <c r="B5327" s="138">
        <f>'Revenues 9-14'!C275</f>
        <v>5385881</v>
      </c>
      <c r="C5327" s="2" t="s">
        <v>594</v>
      </c>
      <c r="D5327" s="2" t="str">
        <f t="shared" si="82"/>
        <v>Error?</v>
      </c>
    </row>
    <row r="5328" spans="1:4" x14ac:dyDescent="0.2">
      <c r="A5328" s="5">
        <v>5267</v>
      </c>
      <c r="B5328" s="138">
        <f>'Revenues 9-14'!D5</f>
        <v>835886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835886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118821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118821</v>
      </c>
      <c r="C5339" s="2" t="s">
        <v>594</v>
      </c>
      <c r="D5339" s="2" t="str">
        <f t="shared" si="82"/>
        <v>Error?</v>
      </c>
    </row>
    <row r="5340" spans="1:4" x14ac:dyDescent="0.2">
      <c r="A5340" s="5">
        <v>5279</v>
      </c>
      <c r="B5340" s="138">
        <f>'Revenues 9-14'!D65</f>
        <v>28745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28745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1219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149957</v>
      </c>
      <c r="C5355" s="2" t="s">
        <v>594</v>
      </c>
      <c r="D5355" s="2" t="str">
        <f t="shared" si="82"/>
        <v>Error?</v>
      </c>
    </row>
    <row r="5356" spans="1:4" x14ac:dyDescent="0.2">
      <c r="A5356" s="5">
        <v>5295</v>
      </c>
      <c r="B5356" s="138">
        <f>'Revenues 9-14'!D109</f>
        <v>1133409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1133409</v>
      </c>
      <c r="C5508" s="2" t="s">
        <v>594</v>
      </c>
      <c r="D5508" s="2" t="str">
        <f t="shared" si="85"/>
        <v>Error?</v>
      </c>
    </row>
    <row r="5509" spans="1:4" x14ac:dyDescent="0.2">
      <c r="A5509" s="5">
        <v>5448</v>
      </c>
      <c r="B5509" s="138">
        <f>'Revenues 9-14'!E5</f>
        <v>732072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732072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1831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1831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733903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733903</v>
      </c>
      <c r="C5552" s="2" t="s">
        <v>594</v>
      </c>
      <c r="D5552" s="2" t="str">
        <f t="shared" si="85"/>
        <v>Error?</v>
      </c>
    </row>
    <row r="5553" spans="1:4" x14ac:dyDescent="0.2">
      <c r="A5553" s="5">
        <v>5492</v>
      </c>
      <c r="B5553" s="138">
        <f>'Revenues 9-14'!F5</f>
        <v>390080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390080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10860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10860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514</v>
      </c>
      <c r="D5586" s="2" t="str">
        <f t="shared" si="86"/>
        <v>Error?</v>
      </c>
    </row>
    <row r="5587" spans="1:4" x14ac:dyDescent="0.2">
      <c r="A5587" s="5">
        <v>5526</v>
      </c>
      <c r="B5587" s="138">
        <f>'Revenues 9-14'!F108</f>
        <v>514</v>
      </c>
      <c r="C5587" s="2" t="s">
        <v>594</v>
      </c>
      <c r="D5587" s="2" t="str">
        <f t="shared" si="86"/>
        <v>Error?</v>
      </c>
    </row>
    <row r="5588" spans="1:4" x14ac:dyDescent="0.2">
      <c r="A5588" s="5">
        <v>5527</v>
      </c>
      <c r="B5588" s="138">
        <f>'Revenues 9-14'!F109</f>
        <v>401454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163418</v>
      </c>
      <c r="D5615" s="2" t="str">
        <f t="shared" si="86"/>
        <v>Error?</v>
      </c>
    </row>
    <row r="5616" spans="1:4" x14ac:dyDescent="0.2">
      <c r="A5616" s="10">
        <v>5555</v>
      </c>
      <c r="D5616" s="2" t="str">
        <f t="shared" si="86"/>
        <v>OK</v>
      </c>
    </row>
    <row r="5617" spans="1:4" x14ac:dyDescent="0.2">
      <c r="A5617" s="5">
        <v>5556</v>
      </c>
      <c r="B5617" s="138">
        <f>'Revenues 9-14'!F152</f>
        <v>184411</v>
      </c>
      <c r="D5617" s="2" t="str">
        <f t="shared" si="86"/>
        <v>Error?</v>
      </c>
    </row>
    <row r="5618" spans="1:4" x14ac:dyDescent="0.2">
      <c r="A5618" s="5">
        <v>5557</v>
      </c>
      <c r="B5618" s="138">
        <f>'Revenues 9-14'!F154</f>
        <v>347829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40000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387829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387829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789283</v>
      </c>
      <c r="C5720" s="2" t="s">
        <v>594</v>
      </c>
      <c r="D5720" s="2" t="str">
        <f t="shared" si="88"/>
        <v>Error?</v>
      </c>
    </row>
    <row r="5721" spans="1:4" x14ac:dyDescent="0.2">
      <c r="A5721" s="5">
        <v>5660</v>
      </c>
      <c r="B5721" s="138">
        <f>'Revenues 9-14'!G5</f>
        <v>149870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149870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299740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594</v>
      </c>
      <c r="D5730" s="2" t="str">
        <f t="shared" si="88"/>
        <v>Error?</v>
      </c>
    </row>
    <row r="5731" spans="1:4" x14ac:dyDescent="0.2">
      <c r="A5731" s="5">
        <v>5670</v>
      </c>
      <c r="B5731" s="138">
        <f>'Revenues 9-14'!G65</f>
        <v>3373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3373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305113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14342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14342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14342</v>
      </c>
      <c r="C5915" s="2" t="s">
        <v>594</v>
      </c>
      <c r="D5915" s="2" t="str">
        <f t="shared" si="91"/>
        <v>Error?</v>
      </c>
    </row>
    <row r="5916" spans="1:4" x14ac:dyDescent="0.2">
      <c r="A5916" s="5">
        <v>5855</v>
      </c>
      <c r="B5916" s="138">
        <f>'Revenues 9-14'!I5</f>
        <v>55726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55726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6956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6956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62682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55726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55726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3393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3393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59119</v>
      </c>
      <c r="C6023" s="2" t="s">
        <v>594</v>
      </c>
      <c r="D6023" s="2" t="str">
        <f t="shared" si="93"/>
        <v>Error?</v>
      </c>
    </row>
    <row r="6024" spans="1:5" x14ac:dyDescent="0.2">
      <c r="A6024" s="5">
        <v>5963</v>
      </c>
      <c r="B6024" s="138">
        <f>'Revenues 9-14'!G109</f>
        <v>305113</v>
      </c>
      <c r="C6024" s="2" t="s">
        <v>594</v>
      </c>
      <c r="D6024" s="2" t="str">
        <f t="shared" si="93"/>
        <v>Error?</v>
      </c>
    </row>
    <row r="6025" spans="1:5" x14ac:dyDescent="0.2">
      <c r="A6025" s="5">
        <v>5964</v>
      </c>
      <c r="B6025" s="138">
        <f>'Revenues 9-14'!H109</f>
        <v>14342</v>
      </c>
      <c r="C6025" s="2" t="s">
        <v>594</v>
      </c>
      <c r="D6025" s="2" t="str">
        <f t="shared" si="93"/>
        <v>Error?</v>
      </c>
    </row>
    <row r="6026" spans="1:5" x14ac:dyDescent="0.2">
      <c r="A6026" s="5">
        <v>5965</v>
      </c>
      <c r="B6026" s="138">
        <f>'Revenues 9-14'!I109</f>
        <v>62682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59119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80804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25555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637.45000000000005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303470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-687</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303470</v>
      </c>
      <c r="D6215" s="2" t="str">
        <f t="shared" si="96"/>
        <v>Error?</v>
      </c>
      <c r="E6215" s="2" t="s">
        <v>199</v>
      </c>
    </row>
    <row r="6216" spans="1:5" x14ac:dyDescent="0.2">
      <c r="A6216">
        <v>6155</v>
      </c>
      <c r="B6216" s="138">
        <f>'Assets-Liab 5-6'!J41</f>
        <v>303470</v>
      </c>
      <c r="D6216" s="2" t="str">
        <f t="shared" si="96"/>
        <v>Error?</v>
      </c>
      <c r="E6216" s="2" t="s">
        <v>199</v>
      </c>
    </row>
    <row r="6217" spans="1:5" x14ac:dyDescent="0.2">
      <c r="A6217">
        <v>6156</v>
      </c>
      <c r="B6217" s="138">
        <f>'Assets-Liab 5-6'!J4</f>
        <v>303470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418311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418311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418311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217989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217989</v>
      </c>
      <c r="D6229" s="2" t="str">
        <f t="shared" si="96"/>
        <v>Error?</v>
      </c>
      <c r="E6229" s="2" t="s">
        <v>199</v>
      </c>
    </row>
    <row r="6230" spans="1:5" x14ac:dyDescent="0.2">
      <c r="A6230">
        <v>6169</v>
      </c>
      <c r="B6230" s="138">
        <f>'Acct Summary 7-8'!J20</f>
        <v>200322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200322</v>
      </c>
      <c r="D6263" s="2" t="str">
        <f t="shared" si="96"/>
        <v>Error?</v>
      </c>
      <c r="E6263" s="2" t="s">
        <v>199</v>
      </c>
    </row>
    <row r="6264" spans="1:5" x14ac:dyDescent="0.2">
      <c r="A6264">
        <v>6203</v>
      </c>
      <c r="B6264" s="138">
        <f>'Acct Summary 7-8'!J79</f>
        <v>103148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303470</v>
      </c>
      <c r="D6266" s="2" t="str">
        <f t="shared" si="96"/>
        <v>Error?</v>
      </c>
      <c r="E6266" s="2" t="s">
        <v>199</v>
      </c>
    </row>
    <row r="6267" spans="1:5" x14ac:dyDescent="0.2">
      <c r="A6267">
        <v>6206</v>
      </c>
      <c r="B6267" s="138">
        <f>'Acct Summary 7-8'!C82</f>
        <v>424160</v>
      </c>
      <c r="D6267" s="2" t="str">
        <f t="shared" si="96"/>
        <v>Error?</v>
      </c>
      <c r="E6267" s="2" t="s">
        <v>199</v>
      </c>
    </row>
    <row r="6268" spans="1:5" x14ac:dyDescent="0.2">
      <c r="A6268">
        <v>6207</v>
      </c>
      <c r="B6268" s="138">
        <f>'Acct Summary 7-8'!D82</f>
        <v>296800</v>
      </c>
      <c r="D6268" s="2" t="str">
        <f t="shared" si="96"/>
        <v>Error?</v>
      </c>
      <c r="E6268" s="2" t="s">
        <v>199</v>
      </c>
    </row>
    <row r="6269" spans="1:5" x14ac:dyDescent="0.2">
      <c r="A6269">
        <v>6208</v>
      </c>
      <c r="B6269" s="138">
        <f>'Acct Summary 7-8'!E82</f>
        <v>-367</v>
      </c>
      <c r="D6269" s="2" t="str">
        <f t="shared" si="96"/>
        <v>Error?</v>
      </c>
      <c r="E6269" s="2" t="s">
        <v>199</v>
      </c>
    </row>
    <row r="6270" spans="1:5" x14ac:dyDescent="0.2">
      <c r="A6270">
        <v>6209</v>
      </c>
      <c r="B6270" s="138">
        <f>'Acct Summary 7-8'!F82</f>
        <v>158560</v>
      </c>
      <c r="D6270" s="2" t="str">
        <f t="shared" si="96"/>
        <v>Error?</v>
      </c>
      <c r="E6270" s="2" t="s">
        <v>199</v>
      </c>
    </row>
    <row r="6271" spans="1:5" x14ac:dyDescent="0.2">
      <c r="A6271">
        <v>6210</v>
      </c>
      <c r="B6271" s="138">
        <f>'Acct Summary 7-8'!G82</f>
        <v>61529</v>
      </c>
      <c r="D6271" s="2" t="str">
        <f t="shared" ref="D6271:D6334" si="97">IF(ISBLANK(B6271),"OK",IF(A6271-B6271=0,"OK","Error?"))</f>
        <v>Error?</v>
      </c>
      <c r="E6271" s="2" t="s">
        <v>199</v>
      </c>
    </row>
    <row r="6272" spans="1:5" x14ac:dyDescent="0.2">
      <c r="A6272">
        <v>6211</v>
      </c>
      <c r="B6272" s="138">
        <f>'Acct Summary 7-8'!H82</f>
        <v>-4604094</v>
      </c>
      <c r="D6272" s="2" t="str">
        <f t="shared" si="97"/>
        <v>Error?</v>
      </c>
      <c r="E6272" s="2" t="s">
        <v>199</v>
      </c>
    </row>
    <row r="6273" spans="1:5" x14ac:dyDescent="0.2">
      <c r="A6273">
        <v>6212</v>
      </c>
      <c r="B6273" s="138">
        <f>'Acct Summary 7-8'!I82</f>
        <v>60944</v>
      </c>
      <c r="D6273" s="2" t="str">
        <f t="shared" si="97"/>
        <v>Error?</v>
      </c>
      <c r="E6273" s="2" t="s">
        <v>199</v>
      </c>
    </row>
    <row r="6274" spans="1:5" x14ac:dyDescent="0.2">
      <c r="A6274">
        <v>6213</v>
      </c>
      <c r="B6274" s="138">
        <f>'Acct Summary 7-8'!J82</f>
        <v>200322</v>
      </c>
      <c r="D6274" s="2" t="str">
        <f t="shared" si="97"/>
        <v>Error?</v>
      </c>
      <c r="E6274" s="2" t="s">
        <v>199</v>
      </c>
    </row>
    <row r="6275" spans="1:5" x14ac:dyDescent="0.2">
      <c r="A6275">
        <v>6214</v>
      </c>
      <c r="B6275" s="138">
        <f>'Acct Summary 7-8'!K82</f>
        <v>23721</v>
      </c>
      <c r="D6275" s="2" t="str">
        <f t="shared" si="97"/>
        <v>Error?</v>
      </c>
      <c r="E6275" s="2" t="s">
        <v>199</v>
      </c>
    </row>
    <row r="6276" spans="1:5" x14ac:dyDescent="0.2">
      <c r="A6276">
        <v>6215</v>
      </c>
      <c r="B6276" s="138">
        <f>'Acct Summary 7-8'!C83</f>
        <v>0.32486973731475433</v>
      </c>
      <c r="D6276" s="2" t="str">
        <f t="shared" si="97"/>
        <v>Error?</v>
      </c>
      <c r="E6276" s="2" t="s">
        <v>199</v>
      </c>
    </row>
    <row r="6277" spans="1:5" x14ac:dyDescent="0.2">
      <c r="A6277">
        <v>6216</v>
      </c>
      <c r="B6277" s="138">
        <f>'Acct Summary 7-8'!D83</f>
        <v>0.13599787755333953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0.16852272654806874</v>
      </c>
      <c r="D6279" s="2" t="str">
        <f t="shared" si="97"/>
        <v>Error?</v>
      </c>
      <c r="E6279" s="2" t="s">
        <v>199</v>
      </c>
    </row>
    <row r="6280" spans="1:5" x14ac:dyDescent="0.2">
      <c r="A6280">
        <v>6219</v>
      </c>
      <c r="B6280" s="138">
        <f>'Acct Summary 7-8'!G83</f>
        <v>0.30923601931939831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0.10690935755096456</v>
      </c>
      <c r="D6282" s="2" t="str">
        <f t="shared" si="97"/>
        <v>Error?</v>
      </c>
      <c r="E6282" s="2" t="s">
        <v>199</v>
      </c>
    </row>
    <row r="6283" spans="1:5" x14ac:dyDescent="0.2">
      <c r="A6283">
        <v>6222</v>
      </c>
      <c r="B6283" s="138">
        <f>'Acct Summary 7-8'!J83</f>
        <v>0.66010478795268068</v>
      </c>
      <c r="D6283" s="2" t="str">
        <f t="shared" si="97"/>
        <v>Error?</v>
      </c>
      <c r="E6283" s="2" t="s">
        <v>199</v>
      </c>
    </row>
    <row r="6284" spans="1:5" x14ac:dyDescent="0.2">
      <c r="A6284">
        <v>6223</v>
      </c>
      <c r="B6284" s="138">
        <f>'Acct Summary 7-8'!K83</f>
        <v>8.6668834514079432E-2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414278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414278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4033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4033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148738</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7500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418311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14239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57289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87477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488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210450</v>
      </c>
      <c r="D6983" s="2" t="str">
        <f t="shared" si="108"/>
        <v>Error?</v>
      </c>
    </row>
    <row r="6984" spans="1:4" x14ac:dyDescent="0.2">
      <c r="A6984">
        <v>6923</v>
      </c>
      <c r="B6984" s="138">
        <f>'Expenditures 15-22'!K86</f>
        <v>210450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210450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217989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418311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3584</v>
      </c>
      <c r="D7073" s="2" t="str">
        <f t="shared" si="109"/>
        <v>Error?</v>
      </c>
    </row>
    <row r="7074" spans="1:4" x14ac:dyDescent="0.2">
      <c r="A7074">
        <v>7013</v>
      </c>
      <c r="B7074" s="138">
        <f>'Expenditures 15-22'!K216</f>
        <v>3584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v>
      </c>
      <c r="D7079" s="2" t="str">
        <f t="shared" si="109"/>
        <v>Error?</v>
      </c>
    </row>
    <row r="7080" spans="1:4" x14ac:dyDescent="0.2">
      <c r="A7080">
        <v>7019</v>
      </c>
      <c r="B7080" s="138">
        <f>'Expenditures 15-22'!K226</f>
        <v>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147</v>
      </c>
      <c r="D7093" s="2" t="str">
        <f t="shared" si="109"/>
        <v>Error?</v>
      </c>
    </row>
    <row r="7094" spans="1:4" x14ac:dyDescent="0.2">
      <c r="A7094">
        <v>7033</v>
      </c>
      <c r="B7094" s="138">
        <f>'Expenditures 15-22'!K254</f>
        <v>147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61311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61311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94966</v>
      </c>
      <c r="D7147" s="2" t="str">
        <f t="shared" si="110"/>
        <v>Error?</v>
      </c>
    </row>
    <row r="7148" spans="1:4" x14ac:dyDescent="0.2">
      <c r="A7148">
        <v>7087</v>
      </c>
      <c r="B7148" s="138">
        <f>'Expenditures 15-22'!F322</f>
        <v>1461</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96427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10150</v>
      </c>
      <c r="D7172" s="2" t="str">
        <f t="shared" si="111"/>
        <v>Error?</v>
      </c>
    </row>
    <row r="7173" spans="1:4" x14ac:dyDescent="0.2">
      <c r="A7173">
        <v>7112</v>
      </c>
      <c r="B7173" s="138">
        <f>'Expenditures 15-22'!D325</f>
        <v>2276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12426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45685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45685</v>
      </c>
      <c r="D7198" s="2" t="str">
        <f t="shared" si="111"/>
        <v>Error?</v>
      </c>
    </row>
    <row r="7199" spans="1:4" x14ac:dyDescent="0.2">
      <c r="A7199">
        <v>7138</v>
      </c>
      <c r="B7199" s="138">
        <f>'Expenditures 15-22'!C330</f>
        <v>10150</v>
      </c>
      <c r="D7199" s="2" t="str">
        <f t="shared" si="111"/>
        <v>Error?</v>
      </c>
    </row>
    <row r="7200" spans="1:4" x14ac:dyDescent="0.2">
      <c r="A7200">
        <v>7139</v>
      </c>
      <c r="B7200" s="138">
        <f>'Expenditures 15-22'!D330</f>
        <v>2276</v>
      </c>
      <c r="D7200" s="2" t="str">
        <f t="shared" si="111"/>
        <v>Error?</v>
      </c>
    </row>
    <row r="7201" spans="1:4" x14ac:dyDescent="0.2">
      <c r="A7201">
        <v>7140</v>
      </c>
      <c r="B7201" s="138">
        <f>'Expenditures 15-22'!E330</f>
        <v>204102</v>
      </c>
      <c r="D7201" s="2" t="str">
        <f t="shared" si="111"/>
        <v>Error?</v>
      </c>
    </row>
    <row r="7202" spans="1:4" x14ac:dyDescent="0.2">
      <c r="A7202">
        <v>7141</v>
      </c>
      <c r="B7202" s="138">
        <f>'Expenditures 15-22'!F330</f>
        <v>1461</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217989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10150</v>
      </c>
      <c r="D7216" s="2" t="str">
        <f t="shared" si="111"/>
        <v>Error?</v>
      </c>
    </row>
    <row r="7217" spans="1:4" x14ac:dyDescent="0.2">
      <c r="A7217">
        <v>7156</v>
      </c>
      <c r="B7217" s="138">
        <f>'Expenditures 15-22'!D342</f>
        <v>2276</v>
      </c>
      <c r="D7217" s="2" t="str">
        <f t="shared" si="111"/>
        <v>Error?</v>
      </c>
    </row>
    <row r="7218" spans="1:4" x14ac:dyDescent="0.2">
      <c r="A7218">
        <v>7157</v>
      </c>
      <c r="B7218" s="138">
        <f>'Expenditures 15-22'!E342</f>
        <v>204102</v>
      </c>
      <c r="D7218" s="2" t="str">
        <f t="shared" si="111"/>
        <v>Error?</v>
      </c>
    </row>
    <row r="7219" spans="1:4" x14ac:dyDescent="0.2">
      <c r="A7219">
        <v>7158</v>
      </c>
      <c r="B7219" s="138">
        <f>'Expenditures 15-22'!F342</f>
        <v>1461</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217989</v>
      </c>
      <c r="D7224" s="2" t="str">
        <f t="shared" si="111"/>
        <v>Error?</v>
      </c>
    </row>
    <row r="7225" spans="1:4" x14ac:dyDescent="0.2">
      <c r="A7225">
        <v>7164</v>
      </c>
      <c r="B7225" s="138">
        <f>'Expenditures 15-22'!K343</f>
        <v>200322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8066</v>
      </c>
      <c r="D7246" s="2" t="str">
        <f t="shared" si="112"/>
        <v>Error?</v>
      </c>
    </row>
    <row r="7247" spans="1:4" x14ac:dyDescent="0.2">
      <c r="A7247">
        <f t="shared" si="113"/>
        <v>7186</v>
      </c>
      <c r="B7247" s="138">
        <f>'Expenditures 15-22'!E7</f>
        <v>1088</v>
      </c>
      <c r="D7247" s="2" t="str">
        <f t="shared" si="112"/>
        <v>Error?</v>
      </c>
    </row>
    <row r="7248" spans="1:4" x14ac:dyDescent="0.2">
      <c r="A7248">
        <f t="shared" si="113"/>
        <v>7187</v>
      </c>
      <c r="B7248" s="138">
        <f>'Expenditures 15-22'!F7</f>
        <v>15285</v>
      </c>
      <c r="D7248" s="2" t="str">
        <f t="shared" si="112"/>
        <v>Error?</v>
      </c>
    </row>
    <row r="7249" spans="1:4" x14ac:dyDescent="0.2">
      <c r="A7249">
        <f t="shared" si="113"/>
        <v>7188</v>
      </c>
      <c r="B7249" s="138">
        <f>'Expenditures 15-22'!G7</f>
        <v>5749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338</v>
      </c>
      <c r="D7263" s="2" t="str">
        <f t="shared" si="112"/>
        <v>Error?</v>
      </c>
    </row>
    <row r="7264" spans="1:4" x14ac:dyDescent="0.2">
      <c r="A7264">
        <f t="shared" si="113"/>
        <v>7203</v>
      </c>
      <c r="B7264" s="138">
        <f>'Expenditures 15-22'!D17</f>
        <v>43</v>
      </c>
      <c r="D7264" s="2" t="str">
        <f t="shared" si="112"/>
        <v>Error?</v>
      </c>
    </row>
    <row r="7265" spans="1:5" x14ac:dyDescent="0.2">
      <c r="A7265">
        <f t="shared" si="113"/>
        <v>7204</v>
      </c>
      <c r="B7265" s="138">
        <f>'Expenditures 15-22'!E17</f>
        <v>97</v>
      </c>
      <c r="D7265" s="2" t="str">
        <f t="shared" si="112"/>
        <v>Error?</v>
      </c>
    </row>
    <row r="7266" spans="1:5" x14ac:dyDescent="0.2">
      <c r="A7266">
        <f t="shared" si="113"/>
        <v>7205</v>
      </c>
      <c r="B7266" s="138">
        <f>'Expenditures 15-22'!F17</f>
        <v>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526760</v>
      </c>
      <c r="D7615" s="2" t="str">
        <f t="shared" ref="D7615:D7678" si="124">IF(ISBLANK(B7615),"OK",IF(A7615-B7615=0,"OK","Error?"))</f>
        <v>Error?</v>
      </c>
      <c r="E7615" s="2" t="s">
        <v>19</v>
      </c>
    </row>
    <row r="7616" spans="1:5" x14ac:dyDescent="0.2">
      <c r="A7616">
        <f t="shared" si="123"/>
        <v>7555</v>
      </c>
      <c r="B7616" s="138">
        <f>'Cap Outlay Deprec 26'!D14</f>
        <v>550</v>
      </c>
      <c r="D7616" s="2" t="str">
        <f t="shared" si="124"/>
        <v>Error?</v>
      </c>
      <c r="E7616" s="2" t="s">
        <v>19</v>
      </c>
    </row>
    <row r="7617" spans="1:5" x14ac:dyDescent="0.2">
      <c r="A7617">
        <f t="shared" si="123"/>
        <v>7556</v>
      </c>
      <c r="B7617" s="138">
        <f>'Cap Outlay Deprec 26'!E14</f>
        <v>392014</v>
      </c>
      <c r="D7617" s="2" t="str">
        <f t="shared" si="124"/>
        <v>Error?</v>
      </c>
      <c r="E7617" s="2" t="s">
        <v>19</v>
      </c>
    </row>
    <row r="7618" spans="1:5" x14ac:dyDescent="0.2">
      <c r="A7618">
        <f t="shared" si="123"/>
        <v>7557</v>
      </c>
      <c r="B7618" s="138">
        <f>'Cap Outlay Deprec 26'!F14</f>
        <v>135296</v>
      </c>
      <c r="D7618" s="2" t="str">
        <f t="shared" si="124"/>
        <v>Error?</v>
      </c>
      <c r="E7618" s="2" t="s">
        <v>19</v>
      </c>
    </row>
    <row r="7619" spans="1:5" x14ac:dyDescent="0.2">
      <c r="A7619">
        <f t="shared" si="123"/>
        <v>7558</v>
      </c>
      <c r="B7619" s="138">
        <f>'Cap Outlay Deprec 26'!H14</f>
        <v>306257</v>
      </c>
      <c r="D7619" s="2" t="str">
        <f t="shared" si="124"/>
        <v>Error?</v>
      </c>
      <c r="E7619" s="2" t="s">
        <v>19</v>
      </c>
    </row>
    <row r="7620" spans="1:5" x14ac:dyDescent="0.2">
      <c r="A7620">
        <f t="shared" si="123"/>
        <v>7559</v>
      </c>
      <c r="B7620" s="138">
        <f>'Cap Outlay Deprec 26'!I14</f>
        <v>175770</v>
      </c>
      <c r="D7620" s="2" t="str">
        <f t="shared" si="124"/>
        <v>Error?</v>
      </c>
      <c r="E7620" s="2" t="s">
        <v>19</v>
      </c>
    </row>
    <row r="7621" spans="1:5" x14ac:dyDescent="0.2">
      <c r="A7621">
        <f t="shared" si="123"/>
        <v>7560</v>
      </c>
      <c r="B7621" s="138">
        <f>'Cap Outlay Deprec 26'!J14</f>
        <v>392014</v>
      </c>
      <c r="D7621" s="2" t="str">
        <f t="shared" si="124"/>
        <v>Error?</v>
      </c>
      <c r="E7621" s="2" t="s">
        <v>19</v>
      </c>
    </row>
    <row r="7622" spans="1:5" x14ac:dyDescent="0.2">
      <c r="A7622">
        <f t="shared" si="123"/>
        <v>7561</v>
      </c>
      <c r="B7622" s="138">
        <f>'Cap Outlay Deprec 26'!K14</f>
        <v>90013</v>
      </c>
      <c r="D7622" s="2" t="str">
        <f t="shared" si="124"/>
        <v>Error?</v>
      </c>
      <c r="E7622" s="2" t="s">
        <v>19</v>
      </c>
    </row>
    <row r="7623" spans="1:5" x14ac:dyDescent="0.2">
      <c r="A7623">
        <f t="shared" si="123"/>
        <v>7562</v>
      </c>
      <c r="B7623" s="138">
        <f>'Cap Outlay Deprec 26'!L14</f>
        <v>45283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609379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7500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7500</v>
      </c>
      <c r="D7719" s="2" t="str">
        <f t="shared" si="126"/>
        <v>Error?</v>
      </c>
      <c r="E7719" s="2" t="s">
        <v>881</v>
      </c>
    </row>
    <row r="7720" spans="1:6" x14ac:dyDescent="0.2">
      <c r="A7720">
        <v>7659</v>
      </c>
      <c r="B7720" s="138">
        <f>'Rest Tax Levies-Tort Im 25'!H14</f>
        <v>44580</v>
      </c>
      <c r="D7720" s="2" t="str">
        <f t="shared" si="126"/>
        <v>Error?</v>
      </c>
      <c r="E7720" s="2" t="s">
        <v>881</v>
      </c>
    </row>
    <row r="7721" spans="1:6" x14ac:dyDescent="0.2">
      <c r="A7721">
        <v>7660</v>
      </c>
      <c r="B7721" s="138">
        <f>'Rest Tax Levies-Tort Im 25'!K14</f>
        <v>7500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187688</v>
      </c>
      <c r="D7797" s="2" t="str">
        <f t="shared" si="127"/>
        <v>Error?</v>
      </c>
      <c r="E7797" s="4" t="s">
        <v>2020</v>
      </c>
    </row>
    <row r="7798" spans="1:5" x14ac:dyDescent="0.2">
      <c r="A7798">
        <v>7737</v>
      </c>
      <c r="B7798" s="138">
        <f>'Contracts Paid in CY 29'!F141</f>
        <v>90332</v>
      </c>
      <c r="D7798" s="2" t="str">
        <f t="shared" si="127"/>
        <v>Error?</v>
      </c>
      <c r="E7798" s="4" t="s">
        <v>2020</v>
      </c>
    </row>
    <row r="7799" spans="1:5" x14ac:dyDescent="0.2">
      <c r="A7799">
        <v>7738</v>
      </c>
      <c r="B7799" s="138">
        <f>'Contracts Paid in CY 29'!G141</f>
        <v>97356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G12" sqref="G12:L1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1" t="s">
        <v>1252</v>
      </c>
      <c r="B3" s="2411"/>
      <c r="C3" s="2411"/>
      <c r="D3" s="2411"/>
      <c r="E3" s="2411"/>
      <c r="F3" s="2411"/>
      <c r="G3" s="2411"/>
      <c r="H3" s="2411"/>
      <c r="I3" s="2411"/>
      <c r="J3" s="2411"/>
      <c r="K3" s="2411"/>
      <c r="L3" s="2411"/>
    </row>
    <row r="4" spans="1:29" ht="13.5" customHeight="1" x14ac:dyDescent="0.2">
      <c r="A4" s="2425" t="s">
        <v>1799</v>
      </c>
      <c r="B4" s="2442"/>
      <c r="C4" s="2442"/>
      <c r="D4" s="2442"/>
      <c r="E4" s="2442"/>
      <c r="F4" s="2442"/>
      <c r="G4" s="2442"/>
      <c r="H4" s="2442"/>
      <c r="I4" s="2442"/>
      <c r="J4" s="2442"/>
      <c r="K4" s="2442"/>
      <c r="L4" s="244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5" t="str">
        <f>COVER!A17</f>
        <v>Midland CUSD 7</v>
      </c>
      <c r="B7" s="2406"/>
      <c r="C7" s="2406"/>
      <c r="D7" s="2443"/>
      <c r="E7" s="2444">
        <f>COVER!A13</f>
        <v>35059007026</v>
      </c>
      <c r="F7" s="2445"/>
      <c r="G7" s="2412" t="str">
        <f>COVER!T23</f>
        <v>066-005055</v>
      </c>
      <c r="H7" s="2413"/>
      <c r="I7" s="2413"/>
      <c r="J7" s="2413"/>
      <c r="K7" s="2413"/>
      <c r="L7" s="241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5"/>
      <c r="B9" s="2416"/>
      <c r="C9" s="2416"/>
      <c r="D9" s="2416"/>
      <c r="E9" s="2416"/>
      <c r="F9" s="2417"/>
      <c r="G9" s="2418" t="str">
        <f>COVER!T13</f>
        <v>Ginoli &amp; Company Ltd</v>
      </c>
      <c r="H9" s="2419"/>
      <c r="I9" s="2419"/>
      <c r="J9" s="2419"/>
      <c r="K9" s="2419"/>
      <c r="L9" s="2420"/>
    </row>
    <row r="10" spans="1:29" ht="13.5" customHeight="1" x14ac:dyDescent="0.2">
      <c r="A10" s="2402" t="str">
        <f>COVER!A38</f>
        <v>William Wrenn</v>
      </c>
      <c r="B10" s="2403"/>
      <c r="C10" s="2403"/>
      <c r="D10" s="2403"/>
      <c r="E10" s="2403"/>
      <c r="F10" s="2404"/>
      <c r="G10" s="2418" t="str">
        <f>COVER!T17</f>
        <v>7625 N University Street, Suite A</v>
      </c>
      <c r="H10" s="2431"/>
      <c r="I10" s="2431"/>
      <c r="J10" s="2431"/>
      <c r="K10" s="2431"/>
      <c r="L10" s="2432"/>
    </row>
    <row r="11" spans="1:29" ht="13.5" customHeight="1" x14ac:dyDescent="0.2">
      <c r="A11" s="1185" t="s">
        <v>1599</v>
      </c>
      <c r="B11" s="1186"/>
      <c r="C11" s="1187"/>
      <c r="D11" s="1192"/>
      <c r="E11" s="1187"/>
      <c r="F11" s="1191"/>
      <c r="G11" s="2418" t="str">
        <f>COVER!T19</f>
        <v>Peoria</v>
      </c>
      <c r="H11" s="2431"/>
      <c r="I11" s="2431"/>
      <c r="J11" s="2431"/>
      <c r="K11" s="2431"/>
      <c r="L11" s="2432"/>
    </row>
    <row r="12" spans="1:29" ht="13.5" customHeight="1" x14ac:dyDescent="0.2">
      <c r="A12" s="2436" t="s">
        <v>1598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1600</v>
      </c>
      <c r="H13" s="2427"/>
      <c r="I13" s="2439" t="str">
        <f>COVER!T25</f>
        <v>mreinken@ginolicpa.com</v>
      </c>
      <c r="J13" s="2440"/>
      <c r="K13" s="2440"/>
      <c r="L13" s="2441"/>
    </row>
    <row r="14" spans="1:29" ht="13.5" customHeight="1" x14ac:dyDescent="0.2">
      <c r="A14" s="2418" t="str">
        <f>COVER!A19</f>
        <v>901 Hilltop Drive</v>
      </c>
      <c r="B14" s="2431"/>
      <c r="C14" s="2431"/>
      <c r="D14" s="2431"/>
      <c r="E14" s="2431"/>
      <c r="F14" s="2432"/>
      <c r="G14" s="1196" t="s">
        <v>1247</v>
      </c>
      <c r="H14" s="1194"/>
      <c r="I14" s="1194"/>
      <c r="J14" s="1194"/>
      <c r="K14" s="1194"/>
      <c r="L14" s="1195"/>
    </row>
    <row r="15" spans="1:29" ht="13.5" customHeight="1" x14ac:dyDescent="0.2">
      <c r="A15" s="2418" t="str">
        <f>COVER!A21</f>
        <v>Sparland</v>
      </c>
      <c r="B15" s="2431"/>
      <c r="C15" s="2431"/>
      <c r="D15" s="2431"/>
      <c r="E15" s="2431"/>
      <c r="F15" s="2432"/>
      <c r="G15" s="2428" t="str">
        <f>COVER!T15</f>
        <v>Mark D Reinken</v>
      </c>
      <c r="H15" s="2429"/>
      <c r="I15" s="2429"/>
      <c r="J15" s="2429"/>
      <c r="K15" s="2429"/>
      <c r="L15" s="2430"/>
    </row>
    <row r="16" spans="1:29" ht="12.2" customHeight="1" x14ac:dyDescent="0.2">
      <c r="A16" s="2408" t="str">
        <f>COVER!A25</f>
        <v>61565-9792</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6" t="s">
        <v>1246</v>
      </c>
      <c r="H17" s="1194"/>
      <c r="I17" s="1194"/>
      <c r="J17" s="1194"/>
      <c r="K17" s="1198" t="s">
        <v>1245</v>
      </c>
      <c r="L17" s="1191"/>
      <c r="M17" s="1184"/>
    </row>
    <row r="18" spans="1:13" ht="12.2" customHeight="1" x14ac:dyDescent="0.2">
      <c r="A18" s="2402"/>
      <c r="B18" s="2403"/>
      <c r="C18" s="2403"/>
      <c r="D18" s="2403"/>
      <c r="E18" s="2403"/>
      <c r="F18" s="2404"/>
      <c r="G18" s="2405" t="str">
        <f>COVER!T21</f>
        <v>(309) 671-2350</v>
      </c>
      <c r="H18" s="2406"/>
      <c r="I18" s="2406"/>
      <c r="J18" s="2406"/>
      <c r="K18" s="2405" t="str">
        <f>COVER!X21</f>
        <v>(309) 671-5459</v>
      </c>
      <c r="L18" s="240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34" sqref="D3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Midland CUSD 7</v>
      </c>
      <c r="B1" s="2442"/>
      <c r="C1" s="2442"/>
      <c r="D1" s="2442"/>
    </row>
    <row r="2" spans="1:11" s="1215" customFormat="1" ht="12.75" x14ac:dyDescent="0.2">
      <c r="A2" s="2447">
        <f>'Single Audit Cover'!E7</f>
        <v>35059007026</v>
      </c>
      <c r="B2" s="2448"/>
      <c r="C2" s="2448"/>
      <c r="D2" s="2448"/>
    </row>
    <row r="3" spans="1:11" s="1215" customFormat="1" ht="12.75" x14ac:dyDescent="0.2">
      <c r="A3" s="2446" t="s">
        <v>1593</v>
      </c>
      <c r="B3" s="2442"/>
      <c r="C3" s="2442"/>
      <c r="D3" s="244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Midland CUSD 7</v>
      </c>
      <c r="B1" s="2450"/>
      <c r="C1" s="2450"/>
      <c r="D1" s="2450"/>
      <c r="E1" s="2450"/>
    </row>
    <row r="2" spans="1:5" x14ac:dyDescent="0.2">
      <c r="A2" s="2451">
        <f>'Single Audit Cover'!E7</f>
        <v>35059007026</v>
      </c>
      <c r="B2" s="2451"/>
      <c r="C2" s="2451"/>
      <c r="D2" s="2451"/>
      <c r="E2" s="2451"/>
    </row>
    <row r="3" spans="1:5" ht="4.5" customHeight="1" x14ac:dyDescent="0.2"/>
    <row r="4" spans="1:5" x14ac:dyDescent="0.2">
      <c r="A4" s="2450" t="s">
        <v>1307</v>
      </c>
      <c r="B4" s="2450"/>
      <c r="C4" s="2450"/>
      <c r="D4" s="2450"/>
      <c r="E4" s="2450"/>
    </row>
    <row r="5" spans="1:5" x14ac:dyDescent="0.2">
      <c r="A5" s="2453" t="str">
        <f>'Single Audit Cover'!A4</f>
        <v>Year Ending June 30, 2018</v>
      </c>
      <c r="B5" s="2453"/>
      <c r="C5" s="2453"/>
      <c r="D5" s="2453"/>
      <c r="E5" s="2453"/>
    </row>
    <row r="6" spans="1:5" x14ac:dyDescent="0.2">
      <c r="A6" s="2450" t="s">
        <v>1306</v>
      </c>
      <c r="B6" s="2450"/>
      <c r="C6" s="2450"/>
      <c r="D6" s="2450"/>
      <c r="E6" s="2450"/>
    </row>
    <row r="8" spans="1:5" x14ac:dyDescent="0.2">
      <c r="A8" s="1260" t="s">
        <v>1305</v>
      </c>
    </row>
    <row r="10" spans="1:5" x14ac:dyDescent="0.2">
      <c r="A10" s="1261" t="s">
        <v>1304</v>
      </c>
      <c r="B10" s="1262" t="s">
        <v>1303</v>
      </c>
      <c r="C10" s="1262"/>
      <c r="D10" s="1263">
        <f>SUM('Acct Summary 7-8'!C7:K7)</f>
        <v>459385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25555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-99199</v>
      </c>
    </row>
    <row r="19" spans="1:4" ht="13.5" thickBot="1" x14ac:dyDescent="0.25">
      <c r="A19" s="1265" t="s">
        <v>1297</v>
      </c>
      <c r="D19" s="1266">
        <f>SUM(D10:D17)</f>
        <v>385741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1295</v>
      </c>
      <c r="D32" s="1263">
        <f>SUM(D19:D30)</f>
        <v>385741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9"/>
      <c r="B40" s="2449"/>
      <c r="D40" s="1268"/>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1289</v>
      </c>
      <c r="C47" s="1272"/>
      <c r="D47" s="1273">
        <f>SUM(D35:D45)</f>
        <v>0</v>
      </c>
    </row>
    <row r="49" spans="2:4" x14ac:dyDescent="0.2">
      <c r="B49" s="1272" t="s">
        <v>1288</v>
      </c>
      <c r="C49" s="1272"/>
      <c r="D49" s="1273">
        <f>D32-D47</f>
        <v>385741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Midland CUSD 7</v>
      </c>
      <c r="B1" s="2455"/>
      <c r="C1" s="2455"/>
      <c r="D1" s="2455"/>
      <c r="E1" s="2455"/>
      <c r="F1" s="2455"/>
    </row>
    <row r="2" spans="1:7" ht="13.5" customHeight="1" x14ac:dyDescent="0.2">
      <c r="A2" s="2456">
        <f>'Single Audit Cover'!E7</f>
        <v>35059007026</v>
      </c>
      <c r="B2" s="2456"/>
      <c r="C2" s="2456"/>
      <c r="D2" s="2456"/>
      <c r="E2" s="2456"/>
      <c r="F2" s="2456"/>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4" t="s">
        <v>1832</v>
      </c>
      <c r="B7" s="2454"/>
      <c r="C7" s="2454"/>
      <c r="D7" s="2454"/>
      <c r="E7" s="2454"/>
      <c r="F7" s="2454"/>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4" t="s">
        <v>1834</v>
      </c>
      <c r="B13" s="2454"/>
      <c r="C13" s="2454"/>
      <c r="D13" s="2454"/>
      <c r="E13" s="2454"/>
      <c r="F13" s="2454"/>
    </row>
    <row r="14" spans="1:7" ht="9.75" customHeight="1" x14ac:dyDescent="0.2">
      <c r="C14" s="1260"/>
      <c r="D14" s="1260"/>
    </row>
    <row r="15" spans="1:7" ht="13.5" customHeight="1" x14ac:dyDescent="0.2">
      <c r="C15" s="1871" t="s">
        <v>1332</v>
      </c>
      <c r="D15" s="2460" t="s">
        <v>1331</v>
      </c>
      <c r="E15" s="2460"/>
      <c r="F15" s="2460"/>
    </row>
    <row r="16" spans="1:7" ht="13.5" customHeight="1" x14ac:dyDescent="0.2">
      <c r="A16" s="1282"/>
      <c r="B16" s="1276" t="s">
        <v>1330</v>
      </c>
      <c r="C16" s="1871" t="s">
        <v>1329</v>
      </c>
      <c r="D16" s="2461" t="s">
        <v>1670</v>
      </c>
      <c r="E16" s="2461"/>
      <c r="F16" s="2461"/>
    </row>
    <row r="17" spans="1:6" ht="20.45" customHeight="1" x14ac:dyDescent="0.2">
      <c r="A17" s="1283"/>
      <c r="B17" s="1284"/>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3" t="s">
        <v>1835</v>
      </c>
      <c r="B32" s="2463"/>
      <c r="C32" s="2463"/>
      <c r="D32" s="2463"/>
      <c r="E32" s="2463"/>
      <c r="F32" s="246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4">
        <f>+C33+C34</f>
        <v>0</v>
      </c>
      <c r="F34" s="246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870"/>
      <c r="C50" s="1870"/>
      <c r="D50" s="1870"/>
      <c r="E50" s="1399"/>
    </row>
    <row r="51" spans="1:5" s="1300" customFormat="1" ht="20.25" customHeight="1" x14ac:dyDescent="0.2">
      <c r="A51" s="1301">
        <v>6</v>
      </c>
      <c r="B51" s="2462" t="s">
        <v>1632</v>
      </c>
      <c r="C51" s="2462"/>
      <c r="D51" s="2462"/>
    </row>
    <row r="52" spans="1:5" ht="14.25" customHeight="1" x14ac:dyDescent="0.2">
      <c r="A52" s="1301"/>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13" sqref="H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Midland CUSD 7</v>
      </c>
      <c r="C1" s="2467"/>
      <c r="D1" s="2467"/>
      <c r="E1" s="2467"/>
      <c r="F1" s="2467"/>
      <c r="G1" s="2467"/>
      <c r="H1" s="2467"/>
      <c r="I1" s="2467"/>
      <c r="J1" s="2467"/>
      <c r="K1" s="2467"/>
      <c r="L1" s="2467"/>
      <c r="M1" s="2467"/>
    </row>
    <row r="2" spans="2:14" ht="15" x14ac:dyDescent="0.2">
      <c r="B2" s="2456">
        <f>'Single Audit Cover'!E7</f>
        <v>35059007026</v>
      </c>
      <c r="C2" s="2456"/>
      <c r="D2" s="2456"/>
      <c r="E2" s="2456"/>
      <c r="F2" s="2456"/>
      <c r="G2" s="2456"/>
      <c r="H2" s="2456"/>
      <c r="I2" s="2456"/>
      <c r="J2" s="2456"/>
      <c r="K2" s="2456"/>
      <c r="L2" s="2456"/>
      <c r="M2" s="2456"/>
      <c r="N2" s="1302"/>
    </row>
    <row r="3" spans="2:14" ht="15" x14ac:dyDescent="0.2">
      <c r="B3" s="2468" t="s">
        <v>1281</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t="s">
        <v>2077</v>
      </c>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2133</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2134</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2129</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Midland CUSD 7</v>
      </c>
      <c r="C1" s="2475"/>
      <c r="D1" s="2475"/>
      <c r="E1" s="2475"/>
      <c r="F1" s="2475"/>
      <c r="G1" s="2475"/>
      <c r="H1" s="2475"/>
      <c r="I1" s="2475"/>
      <c r="J1" s="1422"/>
    </row>
    <row r="2" spans="2:10" s="317" customFormat="1" ht="12.75" customHeight="1" x14ac:dyDescent="0.2">
      <c r="B2" s="2476">
        <f>'Single Audit Cover'!E7</f>
        <v>35059007026</v>
      </c>
      <c r="C2" s="2477"/>
      <c r="D2" s="2477"/>
      <c r="E2" s="2477"/>
      <c r="F2" s="2477"/>
      <c r="G2" s="2477"/>
      <c r="H2" s="2477"/>
      <c r="I2" s="2477"/>
      <c r="J2" s="1422"/>
    </row>
    <row r="3" spans="2:10" s="317" customFormat="1" ht="12.75" customHeight="1" x14ac:dyDescent="0.2">
      <c r="B3" s="2478" t="s">
        <v>1347</v>
      </c>
      <c r="C3" s="2479"/>
      <c r="D3" s="2479"/>
      <c r="E3" s="2479"/>
      <c r="F3" s="2479"/>
      <c r="G3" s="2479"/>
      <c r="H3" s="2479"/>
      <c r="I3" s="2479"/>
      <c r="J3" s="1423"/>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8" t="s">
        <v>1346</v>
      </c>
      <c r="C7" s="2479"/>
      <c r="D7" s="2479"/>
      <c r="E7" s="2479"/>
      <c r="F7" s="2479"/>
      <c r="G7" s="2479"/>
      <c r="H7" s="2479"/>
      <c r="I7" s="247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0"/>
      <c r="D11" s="248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1"/>
      <c r="E29" s="2481"/>
      <c r="F29" s="2481"/>
      <c r="G29" s="2481"/>
      <c r="H29" s="2481"/>
      <c r="I29" s="2481"/>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2" t="s">
        <v>1854</v>
      </c>
      <c r="D37" s="2483"/>
      <c r="E37" s="2483"/>
      <c r="F37" s="2484"/>
      <c r="G37" s="2482" t="s">
        <v>1674</v>
      </c>
      <c r="H37" s="2483"/>
      <c r="I37" s="2484"/>
    </row>
    <row r="38" spans="2:9" ht="16.5" customHeight="1" x14ac:dyDescent="0.2">
      <c r="B38" s="1444"/>
      <c r="C38" s="2470"/>
      <c r="D38" s="2471"/>
      <c r="E38" s="2471"/>
      <c r="F38" s="2472"/>
      <c r="G38" s="2485"/>
      <c r="H38" s="2486"/>
      <c r="I38" s="2487"/>
    </row>
    <row r="39" spans="2:9" ht="16.5" customHeight="1" x14ac:dyDescent="0.2">
      <c r="B39" s="1444"/>
      <c r="C39" s="2470"/>
      <c r="D39" s="2471"/>
      <c r="E39" s="2471"/>
      <c r="F39" s="2472"/>
      <c r="G39" s="2473"/>
      <c r="H39" s="2473"/>
      <c r="I39" s="2473"/>
    </row>
    <row r="40" spans="2:9" ht="16.5" customHeight="1" x14ac:dyDescent="0.2">
      <c r="B40" s="1444"/>
      <c r="C40" s="2470"/>
      <c r="D40" s="2471"/>
      <c r="E40" s="2471"/>
      <c r="F40" s="2472"/>
      <c r="G40" s="2473"/>
      <c r="H40" s="2473"/>
      <c r="I40" s="2473"/>
    </row>
    <row r="41" spans="2:9" ht="16.5" customHeight="1" x14ac:dyDescent="0.2">
      <c r="B41" s="1444"/>
      <c r="C41" s="2470"/>
      <c r="D41" s="2471"/>
      <c r="E41" s="2471"/>
      <c r="F41" s="2472"/>
      <c r="G41" s="2473"/>
      <c r="H41" s="2473"/>
      <c r="I41" s="2473"/>
    </row>
    <row r="42" spans="2:9" ht="16.5" customHeight="1" x14ac:dyDescent="0.2">
      <c r="B42" s="1444"/>
      <c r="C42" s="2470"/>
      <c r="D42" s="2471"/>
      <c r="E42" s="2471"/>
      <c r="F42" s="2472"/>
      <c r="G42" s="2473"/>
      <c r="H42" s="2473"/>
      <c r="I42" s="2473"/>
    </row>
    <row r="43" spans="2:9" ht="16.5" customHeight="1" x14ac:dyDescent="0.2">
      <c r="B43" s="1444"/>
      <c r="C43" s="2488" t="s">
        <v>1675</v>
      </c>
      <c r="D43" s="2489"/>
      <c r="E43" s="2489"/>
      <c r="F43" s="2490"/>
      <c r="G43" s="2491">
        <f>SUM(G38:I42)</f>
        <v>0</v>
      </c>
      <c r="H43" s="2491"/>
      <c r="I43" s="2491"/>
    </row>
    <row r="44" spans="2:9" ht="12.75" customHeight="1" x14ac:dyDescent="0.2"/>
    <row r="45" spans="2:9" ht="12.75" customHeight="1" x14ac:dyDescent="0.2">
      <c r="B45" s="1435" t="s">
        <v>1952</v>
      </c>
      <c r="D45" s="2492">
        <v>0</v>
      </c>
      <c r="E45" s="249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4"/>
      <c r="F49" s="2494"/>
      <c r="G49" s="249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Midland CUSD 7</v>
      </c>
      <c r="C1" s="2474"/>
      <c r="D1" s="2474"/>
      <c r="E1" s="2474"/>
      <c r="F1" s="2474"/>
      <c r="G1" s="2474"/>
      <c r="H1" s="2474"/>
      <c r="I1" s="2474"/>
      <c r="J1" s="2474"/>
      <c r="K1" s="2474"/>
      <c r="L1" s="1374"/>
      <c r="M1" s="1374"/>
    </row>
    <row r="2" spans="1:13" ht="12" customHeight="1" x14ac:dyDescent="0.2">
      <c r="B2" s="2476">
        <f>'Single Audit Cover'!E7</f>
        <v>35059007026</v>
      </c>
      <c r="C2" s="2476"/>
      <c r="D2" s="2476"/>
      <c r="E2" s="2476"/>
      <c r="F2" s="2476"/>
      <c r="G2" s="2476"/>
      <c r="H2" s="2476"/>
      <c r="I2" s="2476"/>
      <c r="J2" s="2476"/>
      <c r="K2" s="2476"/>
      <c r="L2" s="1375"/>
      <c r="M2" s="1376"/>
    </row>
    <row r="3" spans="1:13" ht="10.35" customHeight="1" x14ac:dyDescent="0.2">
      <c r="B3" s="2497" t="s">
        <v>1347</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2097</v>
      </c>
      <c r="J10" s="1390" t="s">
        <v>1360</v>
      </c>
      <c r="K10" s="322"/>
      <c r="L10" s="1381"/>
    </row>
    <row r="11" spans="1:13" ht="13.5" customHeight="1" x14ac:dyDescent="0.2">
      <c r="B11" s="322"/>
      <c r="C11" s="322"/>
      <c r="D11" s="322"/>
      <c r="E11" s="322"/>
      <c r="F11" s="322"/>
      <c r="G11" s="1383"/>
      <c r="H11" s="322"/>
      <c r="I11" s="1391" t="s">
        <v>1359</v>
      </c>
      <c r="J11" s="322"/>
      <c r="K11" s="1392" t="s">
        <v>2098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6" t="s">
        <v>2099</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t="s">
        <v>2128</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t="s">
        <v>2100</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6" t="s">
        <v>2101</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5" t="s">
        <v>2135</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5" t="s">
        <v>2102</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9"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Midland CUSD 7</v>
      </c>
      <c r="C1" s="2474"/>
      <c r="D1" s="2474"/>
      <c r="E1" s="2474"/>
      <c r="F1" s="2474"/>
      <c r="G1" s="2474"/>
      <c r="H1" s="2474"/>
      <c r="I1" s="2474"/>
      <c r="J1" s="2474"/>
      <c r="K1" s="2474"/>
      <c r="L1" s="1374"/>
      <c r="M1" s="1374"/>
    </row>
    <row r="2" spans="1:13" ht="12" customHeight="1" x14ac:dyDescent="0.2">
      <c r="B2" s="2476">
        <f>'Single Audit Cover'!E7</f>
        <v>35059007026</v>
      </c>
      <c r="C2" s="2476"/>
      <c r="D2" s="2476"/>
      <c r="E2" s="2476"/>
      <c r="F2" s="2476"/>
      <c r="G2" s="2476"/>
      <c r="H2" s="2476"/>
      <c r="I2" s="2476"/>
      <c r="J2" s="2476"/>
      <c r="K2" s="2476"/>
      <c r="L2" s="1375"/>
      <c r="M2" s="1376"/>
    </row>
    <row r="3" spans="1:13" ht="10.35" customHeight="1" x14ac:dyDescent="0.2">
      <c r="B3" s="2497" t="s">
        <v>1347</v>
      </c>
      <c r="C3" s="2497"/>
      <c r="D3" s="2497"/>
      <c r="E3" s="2497"/>
      <c r="F3" s="2497"/>
      <c r="G3" s="2497"/>
      <c r="H3" s="2497"/>
      <c r="I3" s="2497"/>
      <c r="J3" s="2497"/>
      <c r="K3" s="2497"/>
      <c r="L3" s="1956"/>
      <c r="M3" s="1956"/>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1363</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t="s">
        <v>2097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68.25" customHeight="1" x14ac:dyDescent="0.2">
      <c r="B14" s="2496" t="s">
        <v>2109</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6" t="s">
        <v>2110</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24" customHeight="1" x14ac:dyDescent="0.2">
      <c r="B20" s="2500"/>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6" t="s">
        <v>2132</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33" customHeight="1" x14ac:dyDescent="0.2">
      <c r="B26" s="2496" t="s">
        <v>2111</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5.5" customHeight="1" x14ac:dyDescent="0.2">
      <c r="B29" s="2495" t="s">
        <v>2112</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4" customHeight="1" x14ac:dyDescent="0.2">
      <c r="B32" s="2495" t="s">
        <v>2136</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Midland CUSD 7</v>
      </c>
      <c r="C1" s="2501"/>
      <c r="D1" s="2501"/>
      <c r="E1" s="2501"/>
      <c r="F1" s="2501"/>
      <c r="G1" s="2501"/>
      <c r="H1" s="2501"/>
      <c r="I1" s="2501"/>
      <c r="J1" s="2501"/>
      <c r="K1" s="2501"/>
      <c r="L1" s="1465"/>
    </row>
    <row r="2" spans="1:12" ht="12.75" customHeight="1" x14ac:dyDescent="0.2">
      <c r="B2" s="2502">
        <f>'Single Audit Cover'!E7</f>
        <v>35059007026</v>
      </c>
      <c r="C2" s="2502"/>
      <c r="D2" s="2502"/>
      <c r="E2" s="2502"/>
      <c r="F2" s="2502"/>
      <c r="G2" s="2502"/>
      <c r="H2" s="2502"/>
      <c r="I2" s="2502"/>
      <c r="J2" s="2502"/>
      <c r="K2" s="2502"/>
      <c r="L2" s="1466"/>
    </row>
    <row r="3" spans="1:12" ht="12.75" customHeight="1" x14ac:dyDescent="0.2">
      <c r="B3" s="2497" t="s">
        <v>1347</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1"/>
      <c r="G12" s="2481"/>
      <c r="H12" s="2481"/>
      <c r="I12" s="2481"/>
      <c r="J12" s="2481"/>
      <c r="K12" s="248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c r="E14" s="2504"/>
      <c r="F14" s="2504"/>
      <c r="H14" s="1475" t="s">
        <v>1370</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5"/>
      <c r="E16" s="2505"/>
      <c r="F16" s="2505"/>
      <c r="G16" s="2505"/>
      <c r="H16" s="2505"/>
      <c r="I16" s="2505"/>
      <c r="J16" s="2505"/>
      <c r="K16" s="2505"/>
      <c r="L16" s="322"/>
    </row>
    <row r="17" spans="2:12" ht="13.5" customHeight="1" x14ac:dyDescent="0.2">
      <c r="B17" s="1387" t="s">
        <v>1368</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6"/>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I7" sqref="I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4" t="str">
        <f>'Single Audit Cover'!A7</f>
        <v>Midland CUSD 7</v>
      </c>
      <c r="C1" s="2474"/>
      <c r="D1" s="2474"/>
      <c r="E1" s="1491"/>
    </row>
    <row r="2" spans="2:5" s="1282" customFormat="1" ht="12.75" customHeight="1" x14ac:dyDescent="0.2">
      <c r="B2" s="2476">
        <f>'Single Audit Cover'!E7</f>
        <v>35059007026</v>
      </c>
      <c r="C2" s="2476"/>
      <c r="D2" s="2476"/>
      <c r="E2" s="1492"/>
    </row>
    <row r="3" spans="2:5" ht="12.75" customHeight="1" x14ac:dyDescent="0.2">
      <c r="B3" s="2497" t="s">
        <v>1869</v>
      </c>
      <c r="C3" s="2497"/>
      <c r="D3" s="2497"/>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1955"/>
      <c r="D7" s="324"/>
      <c r="E7" s="324"/>
    </row>
    <row r="8" spans="2:5" ht="13.5" customHeight="1" x14ac:dyDescent="0.2">
      <c r="B8" s="1496"/>
      <c r="C8" s="1955"/>
      <c r="D8" s="324"/>
      <c r="E8" s="324"/>
    </row>
    <row r="9" spans="2:5" ht="13.5" customHeight="1" x14ac:dyDescent="0.2">
      <c r="B9" s="1497"/>
      <c r="C9" s="1954"/>
      <c r="D9" s="323"/>
      <c r="E9" s="323"/>
    </row>
    <row r="10" spans="2:5" ht="13.5" customHeight="1" x14ac:dyDescent="0.2">
      <c r="B10" s="1496"/>
      <c r="C10" s="1954"/>
      <c r="D10" s="323"/>
      <c r="E10" s="323"/>
    </row>
    <row r="11" spans="2:5" ht="13.5" customHeight="1" x14ac:dyDescent="0.2">
      <c r="B11" s="1496"/>
      <c r="C11" s="1954"/>
      <c r="D11" s="323"/>
      <c r="E11" s="323"/>
    </row>
    <row r="12" spans="2:5" ht="13.5" customHeight="1" x14ac:dyDescent="0.2">
      <c r="B12" s="1496"/>
      <c r="C12" s="1954"/>
      <c r="D12" s="323"/>
      <c r="E12" s="323"/>
    </row>
    <row r="13" spans="2:5" ht="13.5" customHeight="1" x14ac:dyDescent="0.2">
      <c r="B13" s="1496"/>
      <c r="C13" s="1954"/>
      <c r="D13" s="324"/>
      <c r="E13" s="323"/>
    </row>
    <row r="14" spans="2:5" ht="13.5" customHeight="1" x14ac:dyDescent="0.2">
      <c r="B14" s="1496"/>
      <c r="C14" s="1954"/>
      <c r="D14" s="323"/>
      <c r="E14" s="323"/>
    </row>
    <row r="15" spans="2:5" ht="13.5" customHeight="1" x14ac:dyDescent="0.2">
      <c r="B15" s="1496"/>
      <c r="C15" s="1954"/>
      <c r="D15" s="323"/>
      <c r="E15" s="323"/>
    </row>
    <row r="16" spans="2:5" ht="13.5" customHeight="1" x14ac:dyDescent="0.2">
      <c r="B16" s="1496"/>
      <c r="C16" s="1954"/>
      <c r="D16" s="323"/>
      <c r="E16" s="323"/>
    </row>
    <row r="17" spans="2:5" ht="13.5" customHeight="1" x14ac:dyDescent="0.2">
      <c r="B17" s="1496"/>
      <c r="C17" s="1954"/>
      <c r="D17" s="323"/>
      <c r="E17" s="323"/>
    </row>
    <row r="18" spans="2:5" ht="13.5" customHeight="1" x14ac:dyDescent="0.2">
      <c r="B18" s="1496"/>
      <c r="C18" s="1954"/>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18" sqref="H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134514192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2.75E-2</v>
      </c>
      <c r="E10" s="356" t="s">
        <v>1062</v>
      </c>
      <c r="F10" s="355">
        <v>7.4999999999999997E-3</v>
      </c>
      <c r="G10" s="356" t="s">
        <v>1062</v>
      </c>
      <c r="H10" s="355">
        <v>3.5000000000000001E-3</v>
      </c>
      <c r="I10" s="356" t="s">
        <v>1063</v>
      </c>
      <c r="J10" s="1754">
        <f>ROUND(D10+F10+H10,5)</f>
        <v>3.85E-2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7371255</v>
      </c>
      <c r="E16" s="356"/>
      <c r="F16" s="1755">
        <f>SUM('Acct Summary 7-8'!C17,'Acct Summary 7-8'!D17,'Acct Summary 7-8'!F17)</f>
        <v>6429053</v>
      </c>
      <c r="G16" s="356"/>
      <c r="H16" s="1755">
        <f>SUM(D16-F16)</f>
        <v>942202</v>
      </c>
      <c r="I16" s="222"/>
      <c r="J16" s="1755">
        <f>SUM('Acct Summary 7-8'!C81,'Acct Summary 7-8'!D81,'Acct Summary 7-8'!F81,'Acct Summary 7-8'!I81)</f>
        <v>4998953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18562958.496000003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9715000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12" sqref="K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Midland CUSD 7</v>
      </c>
      <c r="E7" s="391"/>
      <c r="G7" s="252"/>
      <c r="H7" s="387"/>
      <c r="I7" s="387"/>
      <c r="J7" s="387"/>
      <c r="K7" s="387"/>
      <c r="L7" s="329"/>
      <c r="M7" s="329"/>
      <c r="N7" s="329"/>
      <c r="O7" s="329"/>
      <c r="P7" s="329"/>
    </row>
    <row r="8" spans="1:18" ht="12.75" x14ac:dyDescent="0.2">
      <c r="A8" s="329"/>
      <c r="B8" s="329"/>
      <c r="C8" s="389" t="s">
        <v>1187</v>
      </c>
      <c r="D8" s="392">
        <f>COVER!A13</f>
        <v>35059007026</v>
      </c>
      <c r="E8" s="393"/>
      <c r="G8" s="329"/>
      <c r="H8" s="329"/>
      <c r="I8" s="329"/>
      <c r="J8" s="329"/>
      <c r="K8" s="329"/>
      <c r="L8" s="329"/>
      <c r="M8" s="329"/>
      <c r="N8" s="329"/>
      <c r="O8" s="329"/>
      <c r="P8" s="329"/>
    </row>
    <row r="9" spans="1:18" ht="12.75" x14ac:dyDescent="0.2">
      <c r="A9" s="329"/>
      <c r="B9" s="329"/>
      <c r="C9" s="389" t="s">
        <v>737</v>
      </c>
      <c r="D9" s="394" t="str">
        <f>COVER!A15</f>
        <v>Marshall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4998953</v>
      </c>
      <c r="I12" s="404"/>
      <c r="J12" s="404"/>
      <c r="K12" s="405">
        <f>TRUNC((H12/H13*100000),5)/100000</f>
        <v>0.67816850719999999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7371255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6429053</v>
      </c>
      <c r="I17" s="404"/>
      <c r="J17" s="416"/>
      <c r="K17" s="405">
        <f>TRUNC((H17/H18*100000),5)/100000</f>
        <v>0.87217888939999999</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7371255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4998266</v>
      </c>
      <c r="I24" s="422"/>
      <c r="J24" s="422"/>
      <c r="K24" s="423">
        <f>TRUNC(((H24/H25*100000)/100000),2)</f>
        <v>279.88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17858.48056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4401976.9331999999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9715000</v>
      </c>
      <c r="I32" s="420"/>
      <c r="J32" s="420"/>
      <c r="K32" s="423">
        <f>TRUNC(100-((((H32/H33*100))*100)/100),2)</f>
        <v>47.66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18562958.496000003</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6"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f>23000+362719</f>
        <v>385719</v>
      </c>
      <c r="D4" s="466">
        <v>275637</v>
      </c>
      <c r="E4" s="466"/>
      <c r="F4" s="466">
        <v>789824</v>
      </c>
      <c r="G4" s="466">
        <v>198971</v>
      </c>
      <c r="H4" s="466"/>
      <c r="I4" s="466">
        <f>571791-1738</f>
        <v>570053</v>
      </c>
      <c r="J4" s="467">
        <v>303470</v>
      </c>
      <c r="K4" s="466">
        <v>268571</v>
      </c>
      <c r="L4" s="466">
        <v>121069</v>
      </c>
      <c r="M4" s="468"/>
      <c r="N4" s="469"/>
    </row>
    <row r="5" spans="1:14" x14ac:dyDescent="0.2">
      <c r="A5" s="463" t="s">
        <v>1049</v>
      </c>
      <c r="B5" s="470">
        <v>120</v>
      </c>
      <c r="C5" s="465">
        <f>915606+3619</f>
        <v>919225</v>
      </c>
      <c r="D5" s="466">
        <f>1440097+466653</f>
        <v>1906750</v>
      </c>
      <c r="E5" s="466">
        <v>0</v>
      </c>
      <c r="F5" s="466">
        <v>151058</v>
      </c>
      <c r="G5" s="466"/>
      <c r="H5" s="466"/>
      <c r="I5" s="466"/>
      <c r="J5" s="467"/>
      <c r="K5" s="471">
        <v>5126</v>
      </c>
      <c r="L5" s="472">
        <v>5000</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1304944</v>
      </c>
      <c r="D13" s="1759">
        <f t="shared" ref="D13:L13" si="0">SUM(D4:D12)</f>
        <v>2182387</v>
      </c>
      <c r="E13" s="1759">
        <f t="shared" si="0"/>
        <v>0</v>
      </c>
      <c r="F13" s="1759">
        <f t="shared" si="0"/>
        <v>940882</v>
      </c>
      <c r="G13" s="1759">
        <f t="shared" si="0"/>
        <v>198971</v>
      </c>
      <c r="H13" s="1759">
        <f t="shared" si="0"/>
        <v>0</v>
      </c>
      <c r="I13" s="1759">
        <f t="shared" si="0"/>
        <v>570053</v>
      </c>
      <c r="J13" s="1759">
        <f t="shared" si="0"/>
        <v>303470</v>
      </c>
      <c r="K13" s="1759">
        <f t="shared" si="0"/>
        <v>273697</v>
      </c>
      <c r="L13" s="1759">
        <f t="shared" si="0"/>
        <v>126069</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23296</v>
      </c>
      <c r="N16" s="484"/>
    </row>
    <row r="17" spans="1:14" s="485" customFormat="1" ht="12.75" customHeight="1" x14ac:dyDescent="0.2">
      <c r="A17" s="482" t="s">
        <v>1470</v>
      </c>
      <c r="B17" s="483">
        <v>230</v>
      </c>
      <c r="C17" s="477"/>
      <c r="D17" s="477"/>
      <c r="E17" s="477"/>
      <c r="F17" s="477"/>
      <c r="G17" s="477"/>
      <c r="H17" s="477"/>
      <c r="I17" s="477"/>
      <c r="J17" s="477"/>
      <c r="K17" s="477"/>
      <c r="L17" s="477"/>
      <c r="M17" s="467">
        <f>19903947+157422-19697</f>
        <v>20041672</v>
      </c>
      <c r="N17" s="484"/>
    </row>
    <row r="18" spans="1:14" s="485" customFormat="1" ht="12.75" customHeight="1" x14ac:dyDescent="0.2">
      <c r="A18" s="482" t="s">
        <v>1471</v>
      </c>
      <c r="B18" s="483">
        <v>240</v>
      </c>
      <c r="C18" s="477"/>
      <c r="D18" s="477"/>
      <c r="E18" s="477"/>
      <c r="F18" s="477"/>
      <c r="G18" s="477"/>
      <c r="H18" s="477"/>
      <c r="I18" s="477"/>
      <c r="J18" s="477"/>
      <c r="K18" s="477"/>
      <c r="L18" s="477"/>
      <c r="M18" s="467">
        <f>883134+527310+279093+44131-183767-392014</f>
        <v>1157887</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9715000</v>
      </c>
    </row>
    <row r="23" spans="1:14" ht="13.5" customHeight="1" thickBot="1" x14ac:dyDescent="0.25">
      <c r="A23" s="1758" t="s">
        <v>664</v>
      </c>
      <c r="B23" s="1763"/>
      <c r="C23" s="468"/>
      <c r="D23" s="468"/>
      <c r="E23" s="468"/>
      <c r="F23" s="468"/>
      <c r="G23" s="468"/>
      <c r="H23" s="468"/>
      <c r="I23" s="468"/>
      <c r="J23" s="468"/>
      <c r="K23" s="468"/>
      <c r="L23" s="468"/>
      <c r="M23" s="1710">
        <f>SUM(M15:M22)</f>
        <v>21222855</v>
      </c>
      <c r="N23" s="1710">
        <f>SUM(N21:N22)</f>
        <v>9715000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f>-80+7-615+1</f>
        <v>-687</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126069</v>
      </c>
      <c r="M33" s="468"/>
      <c r="N33" s="469"/>
    </row>
    <row r="34" spans="1:14" ht="13.5" customHeight="1" thickBot="1" x14ac:dyDescent="0.25">
      <c r="A34" s="1760" t="s">
        <v>675</v>
      </c>
      <c r="B34" s="1761"/>
      <c r="C34" s="1762">
        <f>SUM(C25:C33)</f>
        <v>-687</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126069</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9715000</v>
      </c>
    </row>
    <row r="37" spans="1:14" ht="13.5" thickBot="1" x14ac:dyDescent="0.25">
      <c r="A37" s="1758" t="s">
        <v>674</v>
      </c>
      <c r="B37" s="1763"/>
      <c r="C37" s="477"/>
      <c r="D37" s="477"/>
      <c r="E37" s="477"/>
      <c r="F37" s="477"/>
      <c r="G37" s="477"/>
      <c r="H37" s="477"/>
      <c r="I37" s="477"/>
      <c r="J37" s="477"/>
      <c r="K37" s="477"/>
      <c r="L37" s="480"/>
      <c r="M37" s="468"/>
      <c r="N37" s="1710">
        <f>SUM(N36:N36)</f>
        <v>9715000</v>
      </c>
    </row>
    <row r="38" spans="1:14" s="329" customFormat="1" ht="13.5" customHeight="1" thickTop="1" x14ac:dyDescent="0.2">
      <c r="A38" s="496" t="s">
        <v>440</v>
      </c>
      <c r="B38" s="483">
        <v>714</v>
      </c>
      <c r="C38" s="466">
        <v>128355</v>
      </c>
      <c r="D38" s="466"/>
      <c r="E38" s="466"/>
      <c r="F38" s="466"/>
      <c r="G38" s="466">
        <v>62643</v>
      </c>
      <c r="H38" s="466"/>
      <c r="I38" s="466"/>
      <c r="J38" s="467"/>
      <c r="K38" s="466"/>
      <c r="L38" s="481"/>
      <c r="M38" s="497"/>
      <c r="N38" s="497"/>
    </row>
    <row r="39" spans="1:14" s="329" customFormat="1" ht="13.5" customHeight="1" x14ac:dyDescent="0.2">
      <c r="A39" s="496" t="s">
        <v>360</v>
      </c>
      <c r="B39" s="483">
        <v>730</v>
      </c>
      <c r="C39" s="466">
        <f>881470+424161-128355</f>
        <v>1177276</v>
      </c>
      <c r="D39" s="466">
        <v>2182387</v>
      </c>
      <c r="E39" s="466"/>
      <c r="F39" s="466">
        <v>940882</v>
      </c>
      <c r="G39" s="466">
        <v>136328</v>
      </c>
      <c r="H39" s="466">
        <v>0</v>
      </c>
      <c r="I39" s="466">
        <v>570053</v>
      </c>
      <c r="J39" s="467">
        <v>303470</v>
      </c>
      <c r="K39" s="466">
        <v>273697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21222855</v>
      </c>
      <c r="N40" s="497"/>
    </row>
    <row r="41" spans="1:14" ht="13.5" customHeight="1" thickBot="1" x14ac:dyDescent="0.25">
      <c r="A41" s="1758" t="s">
        <v>676</v>
      </c>
      <c r="B41" s="1728"/>
      <c r="C41" s="1710">
        <f>(SUM(C34,C37,C38,C39))</f>
        <v>1304944</v>
      </c>
      <c r="D41" s="1710">
        <f t="shared" ref="D41:L41" si="2">SUM(D34,D37,D38:D39)</f>
        <v>2182387</v>
      </c>
      <c r="E41" s="1710">
        <f t="shared" si="2"/>
        <v>0</v>
      </c>
      <c r="F41" s="1710">
        <f t="shared" si="2"/>
        <v>940882</v>
      </c>
      <c r="G41" s="1710">
        <f t="shared" si="2"/>
        <v>198971</v>
      </c>
      <c r="H41" s="1710">
        <f t="shared" si="2"/>
        <v>0</v>
      </c>
      <c r="I41" s="1710">
        <f t="shared" si="2"/>
        <v>570053</v>
      </c>
      <c r="J41" s="1710">
        <f t="shared" si="2"/>
        <v>303470</v>
      </c>
      <c r="K41" s="1710">
        <f t="shared" si="2"/>
        <v>273697</v>
      </c>
      <c r="L41" s="1710">
        <f t="shared" si="2"/>
        <v>126069</v>
      </c>
      <c r="M41" s="1710">
        <f>SUM(M40)</f>
        <v>21222855</v>
      </c>
      <c r="N41" s="1710">
        <f>SUM(N37)</f>
        <v>9715000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to the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5" activePane="bottomLeft" state="frozenSplit"/>
      <selection activeCell="A47" sqref="A47"/>
      <selection pane="bottomLeft" activeCell="H54" sqref="H5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7" t="s">
        <v>1237</v>
      </c>
      <c r="B3" s="2148"/>
      <c r="C3" s="1595"/>
      <c r="D3" s="1596"/>
      <c r="E3" s="1596"/>
      <c r="F3" s="1596"/>
      <c r="G3" s="1596"/>
      <c r="H3" s="1596"/>
      <c r="I3" s="1596"/>
      <c r="J3" s="1596"/>
      <c r="K3" s="1597"/>
      <c r="L3" s="506"/>
    </row>
    <row r="4" spans="1:13" ht="15.75" customHeight="1" x14ac:dyDescent="0.2">
      <c r="A4" s="2149" t="s">
        <v>1579</v>
      </c>
      <c r="B4" s="2150"/>
      <c r="C4" s="1764">
        <f>'Revenues 9-14'!C109</f>
        <v>3358247</v>
      </c>
      <c r="D4" s="1764">
        <f>'Revenues 9-14'!D109</f>
        <v>1133409</v>
      </c>
      <c r="E4" s="1764">
        <f>'Revenues 9-14'!E109</f>
        <v>733903</v>
      </c>
      <c r="F4" s="1764">
        <f>'Revenues 9-14'!F109</f>
        <v>401454</v>
      </c>
      <c r="G4" s="1764">
        <f>'Revenues 9-14'!G109</f>
        <v>305113</v>
      </c>
      <c r="H4" s="1764">
        <f>'Revenues 9-14'!H109</f>
        <v>14342</v>
      </c>
      <c r="I4" s="1764">
        <f>'Revenues 9-14'!I109</f>
        <v>62682</v>
      </c>
      <c r="J4" s="1764">
        <f>'Revenues 9-14'!J109</f>
        <v>418311</v>
      </c>
      <c r="K4" s="1764">
        <f>'Revenues 9-14'!K109</f>
        <v>59119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1568249</v>
      </c>
      <c r="D6" s="1765">
        <f>'Revenues 9-14'!D173</f>
        <v>0</v>
      </c>
      <c r="E6" s="1765">
        <f>'Revenues 9-14'!E173</f>
        <v>0</v>
      </c>
      <c r="F6" s="1765">
        <f>'Revenues 9-14'!F173</f>
        <v>387829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459385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5385881</v>
      </c>
      <c r="D8" s="1710">
        <f t="shared" ref="D8:K8" si="0">SUM(D4:D7)</f>
        <v>1133409</v>
      </c>
      <c r="E8" s="1710">
        <f t="shared" si="0"/>
        <v>733903</v>
      </c>
      <c r="F8" s="1710">
        <f t="shared" si="0"/>
        <v>789283</v>
      </c>
      <c r="G8" s="1710">
        <f t="shared" si="0"/>
        <v>305113</v>
      </c>
      <c r="H8" s="1710">
        <f t="shared" si="0"/>
        <v>14342</v>
      </c>
      <c r="I8" s="1710">
        <f t="shared" si="0"/>
        <v>62682</v>
      </c>
      <c r="J8" s="1710">
        <f t="shared" si="0"/>
        <v>418311</v>
      </c>
      <c r="K8" s="1710">
        <f t="shared" si="0"/>
        <v>59119</v>
      </c>
      <c r="L8" s="347"/>
    </row>
    <row r="9" spans="1:13" ht="15.75" thickTop="1" x14ac:dyDescent="0.2">
      <c r="A9" s="514" t="s">
        <v>1752</v>
      </c>
      <c r="B9" s="515">
        <v>3998</v>
      </c>
      <c r="C9" s="481">
        <f>2070602+33420</f>
        <v>2104022</v>
      </c>
      <c r="D9" s="516"/>
      <c r="E9" s="481"/>
      <c r="F9" s="481"/>
      <c r="G9" s="517"/>
      <c r="H9" s="481"/>
      <c r="I9" s="509" t="s">
        <v>1231</v>
      </c>
      <c r="J9" s="478"/>
      <c r="K9" s="481"/>
      <c r="L9" s="347"/>
    </row>
    <row r="10" spans="1:13" s="519" customFormat="1" ht="13.5" thickBot="1" x14ac:dyDescent="0.25">
      <c r="A10" s="1758" t="s">
        <v>1235</v>
      </c>
      <c r="B10" s="1731"/>
      <c r="C10" s="1710">
        <f>SUM(C8:C9)</f>
        <v>7489903</v>
      </c>
      <c r="D10" s="1710">
        <f t="shared" ref="D10:K10" si="1">SUM(D8:D9)</f>
        <v>1133409</v>
      </c>
      <c r="E10" s="1710">
        <f t="shared" si="1"/>
        <v>733903</v>
      </c>
      <c r="F10" s="1710">
        <f t="shared" si="1"/>
        <v>789283</v>
      </c>
      <c r="G10" s="1710">
        <f t="shared" si="1"/>
        <v>305113</v>
      </c>
      <c r="H10" s="1710">
        <f t="shared" si="1"/>
        <v>14342</v>
      </c>
      <c r="I10" s="1710">
        <f t="shared" si="1"/>
        <v>62682</v>
      </c>
      <c r="J10" s="1710">
        <f t="shared" si="1"/>
        <v>418311</v>
      </c>
      <c r="K10" s="1710">
        <f t="shared" si="1"/>
        <v>59119</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3316295</v>
      </c>
      <c r="D12" s="520" t="s">
        <v>1231</v>
      </c>
      <c r="E12" s="468" t="s">
        <v>1231</v>
      </c>
      <c r="F12" s="468" t="s">
        <v>1231</v>
      </c>
      <c r="G12" s="1764">
        <f>'Expenditures 15-22'!K229</f>
        <v>85873</v>
      </c>
      <c r="H12" s="521"/>
      <c r="I12" s="468" t="s">
        <v>1231</v>
      </c>
      <c r="J12" s="468" t="s">
        <v>1231</v>
      </c>
      <c r="K12" s="521" t="s">
        <v>1231</v>
      </c>
      <c r="L12" s="347"/>
    </row>
    <row r="13" spans="1:13" ht="15.75" customHeight="1" x14ac:dyDescent="0.2">
      <c r="A13" s="1598" t="s">
        <v>477</v>
      </c>
      <c r="B13" s="1600">
        <v>2000</v>
      </c>
      <c r="C13" s="1765">
        <f>'Expenditures 15-22'!K74</f>
        <v>1318257</v>
      </c>
      <c r="D13" s="1765">
        <f>'Expenditures 15-22'!K129</f>
        <v>836609</v>
      </c>
      <c r="E13" s="469" t="s">
        <v>1231</v>
      </c>
      <c r="F13" s="1765">
        <f>'Expenditures 15-22'!K184</f>
        <v>630723</v>
      </c>
      <c r="G13" s="1765">
        <f>'Expenditures 15-22'!K279</f>
        <v>156531</v>
      </c>
      <c r="H13" s="1765">
        <f>'Expenditures 15-22'!K303</f>
        <v>4618436</v>
      </c>
      <c r="I13" s="468" t="s">
        <v>1231</v>
      </c>
      <c r="J13" s="1765">
        <f>'Expenditures 15-22'!K330</f>
        <v>217989</v>
      </c>
      <c r="K13" s="1769">
        <f>'Expenditures 15-22'!K352</f>
        <v>35398</v>
      </c>
      <c r="L13" s="347"/>
    </row>
    <row r="14" spans="1:13" ht="15.75" customHeight="1" x14ac:dyDescent="0.2">
      <c r="A14" s="1598" t="s">
        <v>469</v>
      </c>
      <c r="B14" s="1600">
        <v>3000</v>
      </c>
      <c r="C14" s="1765">
        <f>'Expenditures 15-22'!K75</f>
        <v>17851</v>
      </c>
      <c r="D14" s="1765">
        <f>'Expenditures 15-22'!K130</f>
        <v>0</v>
      </c>
      <c r="E14" s="520" t="s">
        <v>1231</v>
      </c>
      <c r="F14" s="1765">
        <f>'Expenditures 15-22'!K185</f>
        <v>0</v>
      </c>
      <c r="G14" s="1765">
        <f>'Expenditures 15-22'!K280</f>
        <v>1180</v>
      </c>
      <c r="H14" s="512"/>
      <c r="I14" s="468" t="s">
        <v>1231</v>
      </c>
      <c r="J14" s="468" t="s">
        <v>1231</v>
      </c>
      <c r="K14" s="512" t="s">
        <v>1231</v>
      </c>
      <c r="L14" s="347"/>
    </row>
    <row r="15" spans="1:13" ht="15.75" customHeight="1" x14ac:dyDescent="0.2">
      <c r="A15" s="1598" t="s">
        <v>109</v>
      </c>
      <c r="B15" s="1600">
        <v>4000</v>
      </c>
      <c r="C15" s="1765">
        <f>'Expenditures 15-22'!K102</f>
        <v>309318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736008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4961721</v>
      </c>
      <c r="D17" s="1710">
        <f t="shared" si="2"/>
        <v>836609</v>
      </c>
      <c r="E17" s="1710">
        <f t="shared" si="2"/>
        <v>736008</v>
      </c>
      <c r="F17" s="1710">
        <f t="shared" si="2"/>
        <v>630723</v>
      </c>
      <c r="G17" s="1710">
        <f t="shared" si="2"/>
        <v>243584</v>
      </c>
      <c r="H17" s="1710">
        <f t="shared" si="2"/>
        <v>4618436</v>
      </c>
      <c r="I17" s="468"/>
      <c r="J17" s="1710">
        <f>SUM(J12:J16)</f>
        <v>217989</v>
      </c>
      <c r="K17" s="1710">
        <f>SUM(K12:K16)</f>
        <v>35398</v>
      </c>
      <c r="L17" s="347"/>
    </row>
    <row r="18" spans="1:12" ht="15" customHeight="1" thickTop="1" x14ac:dyDescent="0.2">
      <c r="A18" s="1766" t="s">
        <v>1753</v>
      </c>
      <c r="B18" s="1767">
        <v>4180</v>
      </c>
      <c r="C18" s="1764">
        <f t="shared" ref="C18:H18" si="3">C9</f>
        <v>2104022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7065743</v>
      </c>
      <c r="D19" s="1710">
        <f t="shared" si="4"/>
        <v>836609</v>
      </c>
      <c r="E19" s="1710">
        <f t="shared" si="4"/>
        <v>736008</v>
      </c>
      <c r="F19" s="1710">
        <f t="shared" si="4"/>
        <v>630723</v>
      </c>
      <c r="G19" s="1710">
        <f t="shared" si="4"/>
        <v>243584</v>
      </c>
      <c r="H19" s="1710">
        <f t="shared" si="4"/>
        <v>4618436</v>
      </c>
      <c r="I19" s="468"/>
      <c r="J19" s="1710">
        <f>SUM(J17:J18)</f>
        <v>217989</v>
      </c>
      <c r="K19" s="1710">
        <f>SUM(K17:K18)</f>
        <v>35398</v>
      </c>
      <c r="L19" s="347"/>
    </row>
    <row r="20" spans="1:12" ht="16.5" thickTop="1" thickBot="1" x14ac:dyDescent="0.25">
      <c r="A20" s="2137" t="s">
        <v>1754</v>
      </c>
      <c r="B20" s="2138"/>
      <c r="C20" s="1768">
        <f>C8-C17</f>
        <v>424160</v>
      </c>
      <c r="D20" s="1768">
        <f t="shared" ref="D20:K20" si="5">D8-D17</f>
        <v>296800</v>
      </c>
      <c r="E20" s="1768">
        <f t="shared" si="5"/>
        <v>-2105</v>
      </c>
      <c r="F20" s="1768">
        <f t="shared" si="5"/>
        <v>158560</v>
      </c>
      <c r="G20" s="1768">
        <f t="shared" si="5"/>
        <v>61529</v>
      </c>
      <c r="H20" s="1768">
        <f t="shared" si="5"/>
        <v>-4604094</v>
      </c>
      <c r="I20" s="1768">
        <f t="shared" si="5"/>
        <v>62682</v>
      </c>
      <c r="J20" s="1768">
        <f t="shared" si="5"/>
        <v>200322</v>
      </c>
      <c r="K20" s="1768">
        <f t="shared" si="5"/>
        <v>23721</v>
      </c>
      <c r="L20" s="347"/>
    </row>
    <row r="21" spans="1:12" ht="16.7" customHeight="1" thickTop="1" x14ac:dyDescent="0.2">
      <c r="A21" s="2151" t="s">
        <v>616</v>
      </c>
      <c r="B21" s="2152"/>
      <c r="C21" s="1592"/>
      <c r="D21" s="1593"/>
      <c r="E21" s="1593"/>
      <c r="F21" s="1593"/>
      <c r="G21" s="1593"/>
      <c r="H21" s="1593"/>
      <c r="I21" s="1593"/>
      <c r="J21" s="1593"/>
      <c r="K21" s="1594"/>
      <c r="L21" s="524"/>
    </row>
    <row r="22" spans="1:12" ht="15.75" customHeight="1" collapsed="1" x14ac:dyDescent="0.2">
      <c r="A22" s="2145" t="s">
        <v>617</v>
      </c>
      <c r="B22" s="2146"/>
      <c r="C22" s="477"/>
      <c r="D22" s="477"/>
      <c r="E22" s="477"/>
      <c r="F22" s="477"/>
      <c r="G22" s="477"/>
      <c r="H22" s="477"/>
      <c r="I22" s="477"/>
      <c r="J22" s="477"/>
      <c r="K22" s="477"/>
      <c r="L22" s="347"/>
    </row>
    <row r="23" spans="1:12" s="485" customFormat="1" ht="15.75" customHeight="1" x14ac:dyDescent="0.2">
      <c r="A23" s="2141" t="s">
        <v>311</v>
      </c>
      <c r="B23" s="214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v>1738</v>
      </c>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3" t="s">
        <v>1038</v>
      </c>
      <c r="B32" s="2144"/>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3" t="s">
        <v>392</v>
      </c>
      <c r="B44" s="2154"/>
      <c r="C44" s="1725">
        <f>SUM(C24:C43)</f>
        <v>0</v>
      </c>
      <c r="D44" s="1725">
        <f t="shared" ref="D44:K44" si="6">SUM(D24:D43)</f>
        <v>0</v>
      </c>
      <c r="E44" s="1725">
        <f t="shared" si="6"/>
        <v>1738</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5" t="s">
        <v>110</v>
      </c>
      <c r="B45" s="2146"/>
      <c r="C45" s="528"/>
      <c r="D45" s="528"/>
      <c r="E45" s="528"/>
      <c r="F45" s="528"/>
      <c r="G45" s="528"/>
      <c r="H45" s="528"/>
      <c r="I45" s="528"/>
      <c r="J45" s="528"/>
      <c r="K45" s="528"/>
      <c r="L45" s="347"/>
    </row>
    <row r="46" spans="1:12" s="485" customFormat="1" ht="15.75" customHeight="1" x14ac:dyDescent="0.2">
      <c r="A46" s="2155" t="s">
        <v>111</v>
      </c>
      <c r="B46" s="215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1738</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57" t="s">
        <v>460</v>
      </c>
      <c r="B76" s="2158"/>
      <c r="C76" s="1725">
        <f t="shared" ref="C76:K76" si="7">SUM(C47:C75)</f>
        <v>0</v>
      </c>
      <c r="D76" s="1725">
        <f t="shared" si="7"/>
        <v>0</v>
      </c>
      <c r="E76" s="1725">
        <f t="shared" si="7"/>
        <v>0</v>
      </c>
      <c r="F76" s="1725">
        <f t="shared" si="7"/>
        <v>0</v>
      </c>
      <c r="G76" s="1725">
        <f t="shared" si="7"/>
        <v>0</v>
      </c>
      <c r="H76" s="1725">
        <f t="shared" si="7"/>
        <v>0</v>
      </c>
      <c r="I76" s="1725">
        <f t="shared" si="7"/>
        <v>1738</v>
      </c>
      <c r="J76" s="1725">
        <f t="shared" si="7"/>
        <v>0</v>
      </c>
      <c r="K76" s="1725">
        <f t="shared" si="7"/>
        <v>0</v>
      </c>
      <c r="L76" s="524"/>
    </row>
    <row r="77" spans="1:12" ht="14.25" thickTop="1" thickBot="1" x14ac:dyDescent="0.25">
      <c r="A77" s="2159" t="s">
        <v>1239</v>
      </c>
      <c r="B77" s="2160"/>
      <c r="C77" s="1725">
        <f t="shared" ref="C77:K77" si="8">C44-C76</f>
        <v>0</v>
      </c>
      <c r="D77" s="1725">
        <f t="shared" si="8"/>
        <v>0</v>
      </c>
      <c r="E77" s="1725">
        <f t="shared" si="8"/>
        <v>1738</v>
      </c>
      <c r="F77" s="1725">
        <f t="shared" si="8"/>
        <v>0</v>
      </c>
      <c r="G77" s="1725">
        <f t="shared" si="8"/>
        <v>0</v>
      </c>
      <c r="H77" s="1725">
        <f t="shared" si="8"/>
        <v>0</v>
      </c>
      <c r="I77" s="1725">
        <f t="shared" si="8"/>
        <v>-1738</v>
      </c>
      <c r="J77" s="1725">
        <f t="shared" si="8"/>
        <v>0</v>
      </c>
      <c r="K77" s="1725">
        <f t="shared" si="8"/>
        <v>0</v>
      </c>
      <c r="L77" s="347"/>
    </row>
    <row r="78" spans="1:12" ht="21.75" customHeight="1" thickTop="1" thickBot="1" x14ac:dyDescent="0.25">
      <c r="A78" s="2163" t="s">
        <v>618</v>
      </c>
      <c r="B78" s="2164"/>
      <c r="C78" s="1724">
        <f t="shared" ref="C78:K78" si="9">C20+C77</f>
        <v>424160</v>
      </c>
      <c r="D78" s="1724">
        <f t="shared" si="9"/>
        <v>296800</v>
      </c>
      <c r="E78" s="1724">
        <f t="shared" si="9"/>
        <v>-367</v>
      </c>
      <c r="F78" s="1724">
        <f t="shared" si="9"/>
        <v>158560</v>
      </c>
      <c r="G78" s="1724">
        <f t="shared" si="9"/>
        <v>61529</v>
      </c>
      <c r="H78" s="1724">
        <f t="shared" si="9"/>
        <v>-4604094</v>
      </c>
      <c r="I78" s="1724">
        <f t="shared" si="9"/>
        <v>60944</v>
      </c>
      <c r="J78" s="1724">
        <f t="shared" si="9"/>
        <v>200322</v>
      </c>
      <c r="K78" s="1724">
        <f t="shared" si="9"/>
        <v>23721</v>
      </c>
      <c r="L78" s="533"/>
    </row>
    <row r="79" spans="1:12" ht="13.5" thickTop="1" x14ac:dyDescent="0.2">
      <c r="A79" s="1516" t="s">
        <v>2073</v>
      </c>
      <c r="B79" s="534"/>
      <c r="C79" s="478">
        <v>881471</v>
      </c>
      <c r="D79" s="535">
        <v>1885587</v>
      </c>
      <c r="E79" s="535">
        <v>367</v>
      </c>
      <c r="F79" s="535">
        <v>782322</v>
      </c>
      <c r="G79" s="535">
        <v>137442</v>
      </c>
      <c r="H79" s="535">
        <v>4604094</v>
      </c>
      <c r="I79" s="535">
        <v>509109</v>
      </c>
      <c r="J79" s="535">
        <v>103148</v>
      </c>
      <c r="K79" s="535">
        <v>249976</v>
      </c>
      <c r="L79" s="347"/>
    </row>
    <row r="80" spans="1:12" x14ac:dyDescent="0.2">
      <c r="A80" s="2139" t="s">
        <v>1898</v>
      </c>
      <c r="B80" s="2140"/>
      <c r="C80" s="467"/>
      <c r="D80" s="467"/>
      <c r="E80" s="467"/>
      <c r="F80" s="467"/>
      <c r="G80" s="467"/>
      <c r="H80" s="467"/>
      <c r="I80" s="467"/>
      <c r="J80" s="467"/>
      <c r="K80" s="467"/>
      <c r="L80" s="347"/>
    </row>
    <row r="81" spans="1:12" ht="13.5" thickBot="1" x14ac:dyDescent="0.25">
      <c r="A81" s="2161" t="s">
        <v>2074</v>
      </c>
      <c r="B81" s="2162"/>
      <c r="C81" s="1710">
        <f>(SUM(C78:C80))</f>
        <v>1305631</v>
      </c>
      <c r="D81" s="1710">
        <f>SUM(D78:D80)</f>
        <v>2182387</v>
      </c>
      <c r="E81" s="1710">
        <f t="shared" ref="E81:K81" si="10">SUM(E78:E80)</f>
        <v>0</v>
      </c>
      <c r="F81" s="1710">
        <f t="shared" si="10"/>
        <v>940882</v>
      </c>
      <c r="G81" s="1710">
        <f t="shared" si="10"/>
        <v>198971</v>
      </c>
      <c r="H81" s="1710">
        <f t="shared" si="10"/>
        <v>0</v>
      </c>
      <c r="I81" s="1710">
        <f t="shared" si="10"/>
        <v>570053</v>
      </c>
      <c r="J81" s="1710">
        <f t="shared" si="10"/>
        <v>303470</v>
      </c>
      <c r="K81" s="1710">
        <f t="shared" si="10"/>
        <v>273697</v>
      </c>
      <c r="L81" s="347"/>
    </row>
    <row r="82" spans="1:12" ht="0.75" customHeight="1" thickTop="1" thickBot="1" x14ac:dyDescent="0.25">
      <c r="A82" s="536" t="s">
        <v>361</v>
      </c>
      <c r="B82" s="537"/>
      <c r="C82" s="538">
        <f>(C81-C79)</f>
        <v>424160</v>
      </c>
      <c r="D82" s="538">
        <f t="shared" ref="D82:K82" si="11">(D81-D79)</f>
        <v>296800</v>
      </c>
      <c r="E82" s="538">
        <f t="shared" si="11"/>
        <v>-367</v>
      </c>
      <c r="F82" s="538">
        <f t="shared" si="11"/>
        <v>158560</v>
      </c>
      <c r="G82" s="538">
        <f t="shared" si="11"/>
        <v>61529</v>
      </c>
      <c r="H82" s="538">
        <f t="shared" si="11"/>
        <v>-4604094</v>
      </c>
      <c r="I82" s="538">
        <f t="shared" si="11"/>
        <v>60944</v>
      </c>
      <c r="J82" s="538">
        <f t="shared" si="11"/>
        <v>200322</v>
      </c>
      <c r="K82" s="538">
        <f t="shared" si="11"/>
        <v>23721</v>
      </c>
    </row>
    <row r="83" spans="1:12" ht="14.25" hidden="1" thickTop="1" thickBot="1" x14ac:dyDescent="0.25">
      <c r="A83" s="539" t="s">
        <v>362</v>
      </c>
      <c r="B83" s="464"/>
      <c r="C83" s="540">
        <f>C82/C81</f>
        <v>0.32486973731475433</v>
      </c>
      <c r="D83" s="540">
        <f t="shared" ref="D83:K83" si="12">D82/D81</f>
        <v>0.13599787755333953</v>
      </c>
      <c r="E83" s="540" t="e">
        <f t="shared" si="12"/>
        <v>#DIV/0!</v>
      </c>
      <c r="F83" s="540">
        <f t="shared" si="12"/>
        <v>0.16852272654806874</v>
      </c>
      <c r="G83" s="540">
        <f t="shared" si="12"/>
        <v>0.30923601931939831</v>
      </c>
      <c r="H83" s="540" t="e">
        <f t="shared" si="12"/>
        <v>#DIV/0!</v>
      </c>
      <c r="I83" s="540">
        <f t="shared" si="12"/>
        <v>0.10690935755096456</v>
      </c>
      <c r="J83" s="540">
        <f t="shared" si="12"/>
        <v>0.66010478795268068</v>
      </c>
      <c r="K83" s="540">
        <f t="shared" si="12"/>
        <v>8.6668834514079432E-2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to the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5" t="s">
        <v>1905</v>
      </c>
      <c r="B1" s="452"/>
      <c r="C1" s="453" t="s">
        <v>445</v>
      </c>
      <c r="D1" s="453" t="s">
        <v>446</v>
      </c>
      <c r="E1" s="453" t="s">
        <v>447</v>
      </c>
      <c r="F1" s="453" t="s">
        <v>448</v>
      </c>
      <c r="G1" s="453" t="s">
        <v>449</v>
      </c>
      <c r="H1" s="453" t="s">
        <v>450</v>
      </c>
      <c r="I1" s="453" t="s">
        <v>451</v>
      </c>
      <c r="J1" s="453" t="s">
        <v>452</v>
      </c>
      <c r="K1" s="453" t="s">
        <v>780</v>
      </c>
    </row>
    <row r="2" spans="1:12" ht="36" x14ac:dyDescent="0.2">
      <c r="A2" s="213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3064916</v>
      </c>
      <c r="D5" s="481">
        <v>835886</v>
      </c>
      <c r="E5" s="466">
        <v>732072</v>
      </c>
      <c r="F5" s="548">
        <v>390080</v>
      </c>
      <c r="G5" s="466">
        <v>149870</v>
      </c>
      <c r="H5" s="466"/>
      <c r="I5" s="466">
        <v>55726</v>
      </c>
      <c r="J5" s="467">
        <v>414278</v>
      </c>
      <c r="K5" s="466">
        <v>55726</v>
      </c>
    </row>
    <row r="6" spans="1:12" ht="15" x14ac:dyDescent="0.2">
      <c r="A6" s="463" t="s">
        <v>1761</v>
      </c>
      <c r="B6" s="470">
        <v>1130</v>
      </c>
      <c r="C6" s="466">
        <v>55726</v>
      </c>
      <c r="D6" s="466"/>
      <c r="E6" s="475"/>
      <c r="F6" s="475"/>
      <c r="G6" s="468"/>
      <c r="H6" s="468"/>
      <c r="I6" s="468"/>
      <c r="J6" s="468"/>
      <c r="K6" s="468"/>
    </row>
    <row r="7" spans="1:12" x14ac:dyDescent="0.2">
      <c r="A7" s="463" t="s">
        <v>112</v>
      </c>
      <c r="B7" s="549">
        <v>1140</v>
      </c>
      <c r="C7" s="466">
        <v>44580</v>
      </c>
      <c r="D7" s="466"/>
      <c r="E7" s="468"/>
      <c r="F7" s="467"/>
      <c r="G7" s="467"/>
      <c r="H7" s="467"/>
      <c r="I7" s="468"/>
      <c r="J7" s="468"/>
      <c r="K7" s="468"/>
    </row>
    <row r="8" spans="1:12" x14ac:dyDescent="0.2">
      <c r="A8" s="463" t="s">
        <v>433</v>
      </c>
      <c r="B8" s="470">
        <v>1150</v>
      </c>
      <c r="C8" s="475"/>
      <c r="D8" s="475"/>
      <c r="E8" s="477"/>
      <c r="F8" s="477"/>
      <c r="G8" s="481">
        <v>149870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3165222</v>
      </c>
      <c r="D12" s="1729">
        <f t="shared" si="0"/>
        <v>835886</v>
      </c>
      <c r="E12" s="1729">
        <f t="shared" si="0"/>
        <v>732072</v>
      </c>
      <c r="F12" s="1729">
        <f t="shared" si="0"/>
        <v>390080</v>
      </c>
      <c r="G12" s="1729">
        <f t="shared" si="0"/>
        <v>299740</v>
      </c>
      <c r="H12" s="1729">
        <f t="shared" si="0"/>
        <v>0</v>
      </c>
      <c r="I12" s="1729">
        <f t="shared" si="0"/>
        <v>55726</v>
      </c>
      <c r="J12" s="1729">
        <f t="shared" si="0"/>
        <v>414278</v>
      </c>
      <c r="K12" s="1710">
        <f t="shared" si="0"/>
        <v>55726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118821</v>
      </c>
      <c r="E16" s="466"/>
      <c r="F16" s="466"/>
      <c r="G16" s="466">
        <v>2000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118821</v>
      </c>
      <c r="E18" s="1732">
        <f t="shared" si="1"/>
        <v>0</v>
      </c>
      <c r="F18" s="1732">
        <f t="shared" si="1"/>
        <v>0</v>
      </c>
      <c r="G18" s="1732">
        <f t="shared" si="1"/>
        <v>2000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5678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5678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24931</v>
      </c>
      <c r="D65" s="466">
        <f>28744+1</f>
        <v>28745</v>
      </c>
      <c r="E65" s="466">
        <v>1831</v>
      </c>
      <c r="F65" s="467">
        <v>10860</v>
      </c>
      <c r="G65" s="466">
        <v>3373</v>
      </c>
      <c r="H65" s="466">
        <f>14341+1</f>
        <v>14342</v>
      </c>
      <c r="I65" s="466">
        <f>6956</f>
        <v>6956</v>
      </c>
      <c r="J65" s="467">
        <f>4031+2</f>
        <v>4033</v>
      </c>
      <c r="K65" s="466">
        <f>3392+1</f>
        <v>3393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24931</v>
      </c>
      <c r="D67" s="1710">
        <f t="shared" ref="D67:K67" si="2">SUM(D65:D66)</f>
        <v>28745</v>
      </c>
      <c r="E67" s="1710">
        <f t="shared" si="2"/>
        <v>1831</v>
      </c>
      <c r="F67" s="1710">
        <f t="shared" si="2"/>
        <v>10860</v>
      </c>
      <c r="G67" s="1710">
        <f t="shared" si="2"/>
        <v>3373</v>
      </c>
      <c r="H67" s="1710">
        <f t="shared" si="2"/>
        <v>14342</v>
      </c>
      <c r="I67" s="1710">
        <f t="shared" si="2"/>
        <v>6956</v>
      </c>
      <c r="J67" s="1710">
        <f t="shared" si="2"/>
        <v>4033</v>
      </c>
      <c r="K67" s="1710">
        <f t="shared" si="2"/>
        <v>3393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23886+28451+28468-1</f>
        <v>80804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1472</v>
      </c>
      <c r="D72" s="468"/>
      <c r="E72" s="468"/>
      <c r="F72" s="468"/>
      <c r="G72" s="468"/>
      <c r="H72" s="468"/>
      <c r="I72" s="468"/>
      <c r="J72" s="468"/>
      <c r="K72" s="468"/>
    </row>
    <row r="73" spans="1:11" ht="12.75" customHeight="1" x14ac:dyDescent="0.2">
      <c r="A73" s="463" t="s">
        <v>1055</v>
      </c>
      <c r="B73" s="470">
        <v>1620</v>
      </c>
      <c r="C73" s="551">
        <f>2468+465+2475-1</f>
        <v>5407</v>
      </c>
      <c r="D73" s="468"/>
      <c r="E73" s="468"/>
      <c r="F73" s="468"/>
      <c r="G73" s="468"/>
      <c r="H73" s="468"/>
      <c r="I73" s="468"/>
      <c r="J73" s="468"/>
      <c r="K73" s="468"/>
    </row>
    <row r="74" spans="1:11" ht="12.75" customHeight="1" x14ac:dyDescent="0.2">
      <c r="A74" s="463" t="s">
        <v>25</v>
      </c>
      <c r="B74" s="470">
        <v>1690</v>
      </c>
      <c r="C74" s="551">
        <v>15</v>
      </c>
      <c r="D74" s="468"/>
      <c r="E74" s="468"/>
      <c r="F74" s="468"/>
      <c r="G74" s="468"/>
      <c r="H74" s="468"/>
      <c r="I74" s="468"/>
      <c r="J74" s="468"/>
      <c r="K74" s="468"/>
    </row>
    <row r="75" spans="1:11" ht="12.75" customHeight="1" thickBot="1" x14ac:dyDescent="0.25">
      <c r="A75" s="1730" t="s">
        <v>569</v>
      </c>
      <c r="B75" s="1731"/>
      <c r="C75" s="1710">
        <f>SUM(C69:C74)</f>
        <v>87698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f>6877+7377+4477-1</f>
        <v>18730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6023+338+124-1</f>
        <v>6484</v>
      </c>
      <c r="D81" s="466"/>
      <c r="E81" s="468"/>
      <c r="F81" s="468"/>
      <c r="G81" s="468"/>
      <c r="H81" s="468"/>
      <c r="I81" s="468"/>
      <c r="J81" s="468"/>
      <c r="K81" s="468"/>
    </row>
    <row r="82" spans="1:11" ht="12.75" customHeight="1" thickBot="1" x14ac:dyDescent="0.25">
      <c r="A82" s="1730" t="s">
        <v>259</v>
      </c>
      <c r="B82" s="1731"/>
      <c r="C82" s="1729">
        <f>SUM(C77:C81)</f>
        <v>25214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f>9953+7580+7409-1</f>
        <v>24941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24941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3500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7108</v>
      </c>
      <c r="D99" s="466">
        <v>1219</v>
      </c>
      <c r="E99" s="466"/>
      <c r="F99" s="466"/>
      <c r="G99" s="466"/>
      <c r="H99" s="466"/>
      <c r="I99" s="468"/>
      <c r="J99" s="467"/>
      <c r="K99" s="466"/>
    </row>
    <row r="100" spans="1:12" ht="12.75" customHeight="1" x14ac:dyDescent="0.2">
      <c r="A100" s="463" t="s">
        <v>263</v>
      </c>
      <c r="B100" s="470">
        <v>1960</v>
      </c>
      <c r="C100" s="489"/>
      <c r="D100" s="489">
        <v>148738</v>
      </c>
      <c r="E100" s="489"/>
      <c r="F100" s="489"/>
      <c r="G100" s="489"/>
      <c r="H100" s="489"/>
      <c r="I100" s="467"/>
      <c r="J100" s="489"/>
      <c r="K100" s="467"/>
    </row>
    <row r="101" spans="1:12" ht="12.75" customHeight="1" x14ac:dyDescent="0.2">
      <c r="A101" s="463" t="s">
        <v>264</v>
      </c>
      <c r="B101" s="470">
        <v>1970</v>
      </c>
      <c r="C101" s="489">
        <v>7500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1679</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4419+357</f>
        <v>4776</v>
      </c>
      <c r="D107" s="466"/>
      <c r="E107" s="466"/>
      <c r="F107" s="466">
        <v>514</v>
      </c>
      <c r="G107" s="466"/>
      <c r="H107" s="466"/>
      <c r="I107" s="466"/>
      <c r="J107" s="467"/>
      <c r="K107" s="466"/>
    </row>
    <row r="108" spans="1:12" ht="12.75" customHeight="1" thickBot="1" x14ac:dyDescent="0.25">
      <c r="A108" s="1730" t="s">
        <v>508</v>
      </c>
      <c r="B108" s="1734"/>
      <c r="C108" s="1729">
        <f>SUM(C95:C107)</f>
        <v>24563</v>
      </c>
      <c r="D108" s="1729">
        <f t="shared" ref="D108:K108" si="3">SUM(D95:D107)</f>
        <v>149957</v>
      </c>
      <c r="E108" s="1729">
        <f t="shared" si="3"/>
        <v>0</v>
      </c>
      <c r="F108" s="1729">
        <f t="shared" si="3"/>
        <v>514</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3358247</v>
      </c>
      <c r="D109" s="1737">
        <f t="shared" si="4"/>
        <v>1133409</v>
      </c>
      <c r="E109" s="1737">
        <f t="shared" si="4"/>
        <v>733903</v>
      </c>
      <c r="F109" s="1737">
        <f t="shared" si="4"/>
        <v>401454</v>
      </c>
      <c r="G109" s="1737">
        <f t="shared" si="4"/>
        <v>305113</v>
      </c>
      <c r="H109" s="1737">
        <f t="shared" si="4"/>
        <v>14342</v>
      </c>
      <c r="I109" s="1737">
        <f t="shared" si="4"/>
        <v>62682</v>
      </c>
      <c r="J109" s="1737">
        <f t="shared" si="4"/>
        <v>418311</v>
      </c>
      <c r="K109" s="1724">
        <f t="shared" si="4"/>
        <v>59119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1134247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1134247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105734</v>
      </c>
      <c r="D124" s="561"/>
      <c r="E124" s="468"/>
      <c r="F124" s="548"/>
      <c r="G124" s="468"/>
      <c r="H124" s="468"/>
      <c r="I124" s="468"/>
      <c r="J124" s="468"/>
      <c r="K124" s="468"/>
    </row>
    <row r="125" spans="1:11" ht="12.75" customHeight="1" x14ac:dyDescent="0.2">
      <c r="A125" s="463" t="s">
        <v>1521</v>
      </c>
      <c r="B125" s="562">
        <v>3105</v>
      </c>
      <c r="C125" s="466">
        <v>44110</v>
      </c>
      <c r="D125" s="561"/>
      <c r="E125" s="468"/>
      <c r="F125" s="466"/>
      <c r="G125" s="468"/>
      <c r="H125" s="468"/>
      <c r="I125" s="468"/>
      <c r="J125" s="468"/>
      <c r="K125" s="468"/>
    </row>
    <row r="126" spans="1:11" ht="12.75" customHeight="1" x14ac:dyDescent="0.2">
      <c r="A126" s="463" t="s">
        <v>922</v>
      </c>
      <c r="B126" s="562">
        <v>3110</v>
      </c>
      <c r="C126" s="551">
        <v>73692</v>
      </c>
      <c r="D126" s="466"/>
      <c r="E126" s="468"/>
      <c r="F126" s="466"/>
      <c r="G126" s="468"/>
      <c r="H126" s="468"/>
      <c r="I126" s="468"/>
      <c r="J126" s="468"/>
      <c r="K126" s="468"/>
    </row>
    <row r="127" spans="1:11" ht="12.75" customHeight="1" x14ac:dyDescent="0.2">
      <c r="A127" s="463" t="s">
        <v>107</v>
      </c>
      <c r="B127" s="562">
        <v>3120</v>
      </c>
      <c r="C127" s="466">
        <v>4756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228292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24627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14239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38866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3121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9848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163418</v>
      </c>
      <c r="G151" s="467"/>
      <c r="H151" s="468"/>
      <c r="I151" s="468"/>
      <c r="J151" s="468"/>
      <c r="K151" s="468"/>
    </row>
    <row r="152" spans="1:11" ht="12.75" customHeight="1" x14ac:dyDescent="0.2">
      <c r="A152" s="463" t="s">
        <v>1117</v>
      </c>
      <c r="B152" s="562">
        <v>3510</v>
      </c>
      <c r="C152" s="551"/>
      <c r="D152" s="466"/>
      <c r="E152" s="561"/>
      <c r="F152" s="466">
        <v>184411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347829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153125</v>
      </c>
      <c r="D158" s="578"/>
      <c r="E158" s="561"/>
      <c r="F158" s="576">
        <v>40000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5" t="s">
        <v>418</v>
      </c>
      <c r="B172" s="2166"/>
      <c r="C172" s="1744">
        <f t="shared" ref="C172:K172" si="6">SUM(C131,C140,C144,C145:C149,C154,C155:C170,C171)</f>
        <v>434002</v>
      </c>
      <c r="D172" s="1744">
        <f t="shared" si="6"/>
        <v>0</v>
      </c>
      <c r="E172" s="1744">
        <f t="shared" si="6"/>
        <v>0</v>
      </c>
      <c r="F172" s="1744">
        <f t="shared" si="6"/>
        <v>387829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1568249</v>
      </c>
      <c r="D173" s="1737">
        <f>SUM(D121,D172)</f>
        <v>0</v>
      </c>
      <c r="E173" s="1737">
        <f>SUM(E121,E172)</f>
        <v>0</v>
      </c>
      <c r="F173" s="1737">
        <f t="shared" ref="F173:K173" si="7">SUM(F121,F172)</f>
        <v>387829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7" t="s">
        <v>1572</v>
      </c>
      <c r="B175" s="216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1" t="s">
        <v>1764</v>
      </c>
      <c r="B178" s="217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5" t="s">
        <v>1763</v>
      </c>
      <c r="B179" s="217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3" t="s">
        <v>818</v>
      </c>
      <c r="B184" s="217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9" t="s">
        <v>1906</v>
      </c>
      <c r="B185" s="217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132175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46168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178343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139060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139060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32290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10493</v>
      </c>
      <c r="D270" s="576"/>
      <c r="E270" s="468"/>
      <c r="F270" s="576"/>
      <c r="G270" s="576"/>
      <c r="H270" s="468"/>
      <c r="I270" s="468"/>
      <c r="J270" s="468"/>
      <c r="K270" s="468"/>
    </row>
    <row r="271" spans="1:11" ht="12.75" customHeight="1" thickTop="1" thickBot="1" x14ac:dyDescent="0.25">
      <c r="A271" s="463" t="s">
        <v>395</v>
      </c>
      <c r="B271" s="470">
        <v>4992</v>
      </c>
      <c r="C271" s="575">
        <v>99199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459385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459385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5385881</v>
      </c>
      <c r="D275" s="1737">
        <f t="shared" si="12"/>
        <v>1133409</v>
      </c>
      <c r="E275" s="1737">
        <f t="shared" si="12"/>
        <v>733903</v>
      </c>
      <c r="F275" s="1737">
        <f t="shared" si="12"/>
        <v>789283</v>
      </c>
      <c r="G275" s="1737">
        <f t="shared" si="12"/>
        <v>305113</v>
      </c>
      <c r="H275" s="1737">
        <f t="shared" si="12"/>
        <v>14342</v>
      </c>
      <c r="I275" s="1737">
        <f t="shared" si="12"/>
        <v>62682</v>
      </c>
      <c r="J275" s="1737">
        <f t="shared" si="12"/>
        <v>418311</v>
      </c>
      <c r="K275" s="1724">
        <f t="shared" si="12"/>
        <v>59119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&amp;F&amp;CThe notes to the financial statements are an integral part of this report.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8" activePane="bottomLeft" state="frozen"/>
      <selection activeCell="A47" sqref="A47"/>
      <selection pane="bottomLeft" activeCell="F41" sqref="F4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1082885+15223+497450+21037+1839+3861</f>
        <v>1622295</v>
      </c>
      <c r="D5" s="466">
        <f>221971+1212+78+277+14693+2+49729+3242+11448+219+28075+1920+15510</f>
        <v>348376</v>
      </c>
      <c r="E5" s="466">
        <f>16361+4436+1348</f>
        <v>22145</v>
      </c>
      <c r="F5" s="466">
        <f>31737+3861+329+3774+426+367+60+277+1130+119+412</f>
        <v>42492</v>
      </c>
      <c r="G5" s="466"/>
      <c r="H5" s="466"/>
      <c r="I5" s="467"/>
      <c r="J5" s="467"/>
      <c r="K5" s="1693">
        <f>SUM(C5:J5)</f>
        <v>2035308</v>
      </c>
      <c r="L5" s="466">
        <v>2138875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57289</v>
      </c>
      <c r="D7" s="467">
        <f>7201+11+854</f>
        <v>8066</v>
      </c>
      <c r="E7" s="467">
        <v>1088</v>
      </c>
      <c r="F7" s="467">
        <v>15285</v>
      </c>
      <c r="G7" s="467">
        <v>5749</v>
      </c>
      <c r="H7" s="467"/>
      <c r="I7" s="467"/>
      <c r="J7" s="467"/>
      <c r="K7" s="1693">
        <f t="shared" ref="K7:K32" si="0">SUM(C7:J7)</f>
        <v>87477</v>
      </c>
      <c r="L7" s="466">
        <v>101227</v>
      </c>
    </row>
    <row r="8" spans="1:14" x14ac:dyDescent="0.2">
      <c r="A8" s="1526" t="s">
        <v>166</v>
      </c>
      <c r="B8" s="615">
        <v>1200</v>
      </c>
      <c r="C8" s="466">
        <f>485900-1445</f>
        <v>484455</v>
      </c>
      <c r="D8" s="466">
        <f>81313+144+82+54+105</f>
        <v>81698</v>
      </c>
      <c r="E8" s="466">
        <v>5823</v>
      </c>
      <c r="F8" s="466">
        <v>932</v>
      </c>
      <c r="G8" s="466"/>
      <c r="H8" s="466">
        <v>1445</v>
      </c>
      <c r="I8" s="467"/>
      <c r="J8" s="467"/>
      <c r="K8" s="1693">
        <f t="shared" si="0"/>
        <v>574353</v>
      </c>
      <c r="L8" s="466">
        <v>533008</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50102</v>
      </c>
      <c r="D10" s="466">
        <f>11751+18</f>
        <v>11769</v>
      </c>
      <c r="E10" s="466">
        <v>5270</v>
      </c>
      <c r="F10" s="466">
        <v>38644</v>
      </c>
      <c r="G10" s="466">
        <f>1958+550</f>
        <v>2508</v>
      </c>
      <c r="H10" s="466"/>
      <c r="I10" s="467"/>
      <c r="J10" s="467"/>
      <c r="K10" s="1693">
        <f t="shared" si="0"/>
        <v>108293</v>
      </c>
      <c r="L10" s="466">
        <v>103159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f>193596+2771+12086</f>
        <v>208453</v>
      </c>
      <c r="D13" s="466">
        <f>49452+33+1195+77+274+18+18</f>
        <v>51067</v>
      </c>
      <c r="E13" s="466">
        <v>14391</v>
      </c>
      <c r="F13" s="466">
        <v>26287</v>
      </c>
      <c r="G13" s="466">
        <v>6802</v>
      </c>
      <c r="H13" s="466">
        <v>6765</v>
      </c>
      <c r="I13" s="467"/>
      <c r="J13" s="467"/>
      <c r="K13" s="1693">
        <f t="shared" si="0"/>
        <v>313765</v>
      </c>
      <c r="L13" s="466">
        <v>327611</v>
      </c>
    </row>
    <row r="14" spans="1:14" x14ac:dyDescent="0.2">
      <c r="A14" s="1526" t="s">
        <v>1020</v>
      </c>
      <c r="B14" s="615">
        <v>1500</v>
      </c>
      <c r="C14" s="466">
        <v>112564</v>
      </c>
      <c r="D14" s="466">
        <f>162+10+37+31597</f>
        <v>31806</v>
      </c>
      <c r="E14" s="466">
        <f>2016+23819-4</f>
        <v>25831</v>
      </c>
      <c r="F14" s="466">
        <v>24402</v>
      </c>
      <c r="G14" s="466"/>
      <c r="H14" s="466"/>
      <c r="I14" s="467"/>
      <c r="J14" s="467"/>
      <c r="K14" s="1693">
        <f t="shared" si="0"/>
        <v>194603</v>
      </c>
      <c r="L14" s="466">
        <v>195686</v>
      </c>
    </row>
    <row r="15" spans="1:14" x14ac:dyDescent="0.2">
      <c r="A15" s="1526" t="s">
        <v>1021</v>
      </c>
      <c r="B15" s="615">
        <v>1600</v>
      </c>
      <c r="C15" s="466">
        <v>1950</v>
      </c>
      <c r="D15" s="466">
        <f>58</f>
        <v>58</v>
      </c>
      <c r="E15" s="466"/>
      <c r="F15" s="466"/>
      <c r="G15" s="466"/>
      <c r="H15" s="466"/>
      <c r="I15" s="467"/>
      <c r="J15" s="467"/>
      <c r="K15" s="1693">
        <f t="shared" si="0"/>
        <v>2008</v>
      </c>
      <c r="L15" s="466">
        <v>9836</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338</v>
      </c>
      <c r="D17" s="467">
        <v>43</v>
      </c>
      <c r="E17" s="467">
        <v>97</v>
      </c>
      <c r="F17" s="467">
        <v>10</v>
      </c>
      <c r="G17" s="467"/>
      <c r="H17" s="467"/>
      <c r="I17" s="467"/>
      <c r="J17" s="467"/>
      <c r="K17" s="1693">
        <f t="shared" si="0"/>
        <v>488</v>
      </c>
      <c r="L17" s="466">
        <v>4301</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2537446</v>
      </c>
      <c r="D33" s="1692">
        <f t="shared" ref="D33:L33" si="1">SUM(D5:D32)</f>
        <v>532883</v>
      </c>
      <c r="E33" s="1692">
        <f t="shared" si="1"/>
        <v>74645</v>
      </c>
      <c r="F33" s="1692">
        <f t="shared" si="1"/>
        <v>148052</v>
      </c>
      <c r="G33" s="1692">
        <f t="shared" si="1"/>
        <v>15059</v>
      </c>
      <c r="H33" s="1692">
        <f t="shared" si="1"/>
        <v>8210</v>
      </c>
      <c r="I33" s="1692">
        <f t="shared" si="1"/>
        <v>0</v>
      </c>
      <c r="J33" s="1692">
        <f t="shared" si="1"/>
        <v>0</v>
      </c>
      <c r="K33" s="1692">
        <f t="shared" si="1"/>
        <v>3316295</v>
      </c>
      <c r="L33" s="1692">
        <f t="shared" si="1"/>
        <v>3413703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f>8745+5964</f>
        <v>14709</v>
      </c>
      <c r="F36" s="481"/>
      <c r="G36" s="481"/>
      <c r="H36" s="481"/>
      <c r="I36" s="467"/>
      <c r="J36" s="467"/>
      <c r="K36" s="1693">
        <f t="shared" ref="K36:K41" si="2">SUM(C36:J36)</f>
        <v>14709</v>
      </c>
      <c r="L36" s="466">
        <v>13500</v>
      </c>
    </row>
    <row r="37" spans="1:14" x14ac:dyDescent="0.2">
      <c r="A37" s="1526" t="s">
        <v>1151</v>
      </c>
      <c r="B37" s="615">
        <v>2120</v>
      </c>
      <c r="C37" s="466">
        <v>108918</v>
      </c>
      <c r="D37" s="466">
        <f>2928+15601+18</f>
        <v>18547</v>
      </c>
      <c r="E37" s="466"/>
      <c r="F37" s="466">
        <v>473</v>
      </c>
      <c r="G37" s="466"/>
      <c r="H37" s="466"/>
      <c r="I37" s="467"/>
      <c r="J37" s="467"/>
      <c r="K37" s="1693">
        <f t="shared" si="2"/>
        <v>127938</v>
      </c>
      <c r="L37" s="466">
        <v>95000</v>
      </c>
    </row>
    <row r="38" spans="1:14" x14ac:dyDescent="0.2">
      <c r="A38" s="1526" t="s">
        <v>207</v>
      </c>
      <c r="B38" s="615">
        <v>2130</v>
      </c>
      <c r="C38" s="466"/>
      <c r="D38" s="466"/>
      <c r="E38" s="466">
        <v>27687</v>
      </c>
      <c r="F38" s="466">
        <v>1242</v>
      </c>
      <c r="G38" s="466"/>
      <c r="H38" s="466"/>
      <c r="I38" s="467"/>
      <c r="J38" s="467"/>
      <c r="K38" s="1693">
        <f t="shared" si="2"/>
        <v>28929</v>
      </c>
      <c r="L38" s="466">
        <v>48465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83548</v>
      </c>
      <c r="F40" s="466">
        <v>579</v>
      </c>
      <c r="G40" s="466"/>
      <c r="H40" s="466"/>
      <c r="I40" s="467"/>
      <c r="J40" s="467"/>
      <c r="K40" s="1693">
        <f t="shared" si="2"/>
        <v>84127</v>
      </c>
      <c r="L40" s="466">
        <v>97000</v>
      </c>
    </row>
    <row r="41" spans="1:14" x14ac:dyDescent="0.2">
      <c r="A41" s="1526" t="s">
        <v>1768</v>
      </c>
      <c r="B41" s="615">
        <v>2190</v>
      </c>
      <c r="C41" s="466">
        <v>4183</v>
      </c>
      <c r="D41" s="466"/>
      <c r="E41" s="466"/>
      <c r="F41" s="466">
        <v>2797</v>
      </c>
      <c r="G41" s="466"/>
      <c r="H41" s="466"/>
      <c r="I41" s="467"/>
      <c r="J41" s="467"/>
      <c r="K41" s="1693">
        <f t="shared" si="2"/>
        <v>6980</v>
      </c>
      <c r="L41" s="466">
        <v>8000</v>
      </c>
    </row>
    <row r="42" spans="1:14" ht="12.75" customHeight="1" thickBot="1" x14ac:dyDescent="0.25">
      <c r="A42" s="1690" t="s">
        <v>581</v>
      </c>
      <c r="B42" s="1691" t="s">
        <v>740</v>
      </c>
      <c r="C42" s="1692">
        <f>SUM(C36:C41)</f>
        <v>113101</v>
      </c>
      <c r="D42" s="1692">
        <f t="shared" ref="D42:L42" si="3">SUM(D36:D41)</f>
        <v>18547</v>
      </c>
      <c r="E42" s="1692">
        <f t="shared" si="3"/>
        <v>125944</v>
      </c>
      <c r="F42" s="1692">
        <f t="shared" si="3"/>
        <v>5091</v>
      </c>
      <c r="G42" s="1692">
        <f t="shared" si="3"/>
        <v>0</v>
      </c>
      <c r="H42" s="1692">
        <f t="shared" si="3"/>
        <v>0</v>
      </c>
      <c r="I42" s="1692">
        <f t="shared" si="3"/>
        <v>0</v>
      </c>
      <c r="J42" s="1692">
        <f t="shared" si="3"/>
        <v>0</v>
      </c>
      <c r="K42" s="1692">
        <f t="shared" si="3"/>
        <v>262683</v>
      </c>
      <c r="L42" s="1692">
        <f t="shared" si="3"/>
        <v>261965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f>3053+23</f>
        <v>3076</v>
      </c>
      <c r="D44" s="481">
        <f>310+117</f>
        <v>427</v>
      </c>
      <c r="E44" s="481">
        <v>10831</v>
      </c>
      <c r="F44" s="481">
        <v>1788</v>
      </c>
      <c r="G44" s="481"/>
      <c r="H44" s="481"/>
      <c r="I44" s="467"/>
      <c r="J44" s="467"/>
      <c r="K44" s="1694">
        <f>SUM(C44:J44)</f>
        <v>16122</v>
      </c>
      <c r="L44" s="481">
        <v>35509</v>
      </c>
    </row>
    <row r="45" spans="1:14" x14ac:dyDescent="0.2">
      <c r="A45" s="1526" t="s">
        <v>869</v>
      </c>
      <c r="B45" s="615">
        <v>2220</v>
      </c>
      <c r="C45" s="466">
        <v>35498</v>
      </c>
      <c r="D45" s="466">
        <f>18+17+244</f>
        <v>279</v>
      </c>
      <c r="E45" s="466">
        <v>2532</v>
      </c>
      <c r="F45" s="466">
        <v>8415</v>
      </c>
      <c r="G45" s="466">
        <v>2561</v>
      </c>
      <c r="H45" s="466"/>
      <c r="I45" s="467"/>
      <c r="J45" s="467"/>
      <c r="K45" s="1694">
        <f>SUM(C45:J45)</f>
        <v>49285</v>
      </c>
      <c r="L45" s="466">
        <v>58824</v>
      </c>
    </row>
    <row r="46" spans="1:14" x14ac:dyDescent="0.2">
      <c r="A46" s="1526" t="s">
        <v>870</v>
      </c>
      <c r="B46" s="615">
        <v>2230</v>
      </c>
      <c r="C46" s="466"/>
      <c r="D46" s="466"/>
      <c r="E46" s="466">
        <v>9685</v>
      </c>
      <c r="F46" s="466"/>
      <c r="G46" s="466"/>
      <c r="H46" s="466"/>
      <c r="I46" s="467"/>
      <c r="J46" s="467"/>
      <c r="K46" s="1694">
        <f>SUM(C46:J46)</f>
        <v>9685</v>
      </c>
      <c r="L46" s="466">
        <v>10300</v>
      </c>
    </row>
    <row r="47" spans="1:14" ht="12.75" customHeight="1" thickBot="1" x14ac:dyDescent="0.25">
      <c r="A47" s="1690" t="s">
        <v>582</v>
      </c>
      <c r="B47" s="1691" t="s">
        <v>32</v>
      </c>
      <c r="C47" s="1692">
        <f>SUM(C44:C46)</f>
        <v>38574</v>
      </c>
      <c r="D47" s="1692">
        <f t="shared" ref="D47:K47" si="4">SUM(D44:D46)</f>
        <v>706</v>
      </c>
      <c r="E47" s="1692">
        <f t="shared" si="4"/>
        <v>23048</v>
      </c>
      <c r="F47" s="1692">
        <f t="shared" si="4"/>
        <v>10203</v>
      </c>
      <c r="G47" s="1692">
        <f t="shared" si="4"/>
        <v>2561</v>
      </c>
      <c r="H47" s="1692">
        <f t="shared" si="4"/>
        <v>0</v>
      </c>
      <c r="I47" s="1692">
        <f t="shared" si="4"/>
        <v>0</v>
      </c>
      <c r="J47" s="1692">
        <f t="shared" si="4"/>
        <v>0</v>
      </c>
      <c r="K47" s="1692">
        <f t="shared" si="4"/>
        <v>75092</v>
      </c>
      <c r="L47" s="1692">
        <f>SUM(L44:L46)</f>
        <v>104633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50922</v>
      </c>
      <c r="F49" s="481">
        <f>4763+382</f>
        <v>5145</v>
      </c>
      <c r="G49" s="481"/>
      <c r="H49" s="481">
        <v>1764</v>
      </c>
      <c r="I49" s="467"/>
      <c r="J49" s="467"/>
      <c r="K49" s="1694">
        <f>SUM(C49:J49)</f>
        <v>57831</v>
      </c>
      <c r="L49" s="481">
        <v>66250</v>
      </c>
    </row>
    <row r="50" spans="1:14" x14ac:dyDescent="0.2">
      <c r="A50" s="1526" t="s">
        <v>872</v>
      </c>
      <c r="B50" s="615">
        <v>2320</v>
      </c>
      <c r="C50" s="466">
        <v>92070</v>
      </c>
      <c r="D50" s="466">
        <f>22339</f>
        <v>22339</v>
      </c>
      <c r="E50" s="466">
        <v>8270</v>
      </c>
      <c r="F50" s="466"/>
      <c r="G50" s="466"/>
      <c r="H50" s="466">
        <v>360</v>
      </c>
      <c r="I50" s="467"/>
      <c r="J50" s="467"/>
      <c r="K50" s="1694">
        <f>SUM(C50:J50)</f>
        <v>123039</v>
      </c>
      <c r="L50" s="466">
        <v>123520</v>
      </c>
    </row>
    <row r="51" spans="1:14" x14ac:dyDescent="0.2">
      <c r="A51" s="1526" t="s">
        <v>44</v>
      </c>
      <c r="B51" s="615">
        <v>2330</v>
      </c>
      <c r="C51" s="466"/>
      <c r="D51" s="466"/>
      <c r="E51" s="466"/>
      <c r="F51" s="466">
        <v>709</v>
      </c>
      <c r="G51" s="466"/>
      <c r="H51" s="466"/>
      <c r="I51" s="467"/>
      <c r="J51" s="467"/>
      <c r="K51" s="1694">
        <f>SUM(C51:J51)</f>
        <v>709</v>
      </c>
      <c r="L51" s="466">
        <v>427</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92070</v>
      </c>
      <c r="D53" s="1692">
        <f t="shared" ref="D53:L53" si="5">SUM(D49:D52)</f>
        <v>22339</v>
      </c>
      <c r="E53" s="1692">
        <f t="shared" si="5"/>
        <v>59192</v>
      </c>
      <c r="F53" s="1692">
        <f t="shared" si="5"/>
        <v>5854</v>
      </c>
      <c r="G53" s="1692">
        <f t="shared" si="5"/>
        <v>0</v>
      </c>
      <c r="H53" s="1692">
        <f t="shared" si="5"/>
        <v>2124</v>
      </c>
      <c r="I53" s="1692">
        <f t="shared" si="5"/>
        <v>0</v>
      </c>
      <c r="J53" s="1692">
        <f t="shared" si="5"/>
        <v>0</v>
      </c>
      <c r="K53" s="1692">
        <f t="shared" si="5"/>
        <v>181579</v>
      </c>
      <c r="L53" s="1692">
        <f t="shared" si="5"/>
        <v>190197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344076</v>
      </c>
      <c r="D55" s="481">
        <f>77472+1034+1854+1708</f>
        <v>82068</v>
      </c>
      <c r="E55" s="481">
        <v>6337</v>
      </c>
      <c r="F55" s="481">
        <v>1677</v>
      </c>
      <c r="G55" s="481"/>
      <c r="H55" s="481">
        <v>319</v>
      </c>
      <c r="I55" s="467"/>
      <c r="J55" s="467"/>
      <c r="K55" s="1694">
        <f>SUM(C55:J55)</f>
        <v>434477</v>
      </c>
      <c r="L55" s="481">
        <v>412184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344076</v>
      </c>
      <c r="D57" s="1696">
        <f t="shared" ref="D57:K57" si="6">SUM(D55:D56)</f>
        <v>82068</v>
      </c>
      <c r="E57" s="1696">
        <f t="shared" si="6"/>
        <v>6337</v>
      </c>
      <c r="F57" s="1696">
        <f t="shared" si="6"/>
        <v>1677</v>
      </c>
      <c r="G57" s="1696">
        <f t="shared" si="6"/>
        <v>0</v>
      </c>
      <c r="H57" s="1696">
        <f t="shared" si="6"/>
        <v>319</v>
      </c>
      <c r="I57" s="1696">
        <f t="shared" si="6"/>
        <v>0</v>
      </c>
      <c r="J57" s="1696">
        <f t="shared" si="6"/>
        <v>0</v>
      </c>
      <c r="K57" s="1696">
        <f t="shared" si="6"/>
        <v>434477</v>
      </c>
      <c r="L57" s="1692">
        <f>SUM(L55:L56)</f>
        <v>412184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46205</v>
      </c>
      <c r="D60" s="466">
        <f>1938</f>
        <v>1938</v>
      </c>
      <c r="E60" s="466">
        <v>23297</v>
      </c>
      <c r="F60" s="466">
        <v>1916</v>
      </c>
      <c r="G60" s="466"/>
      <c r="H60" s="466"/>
      <c r="I60" s="467"/>
      <c r="J60" s="467"/>
      <c r="K60" s="1694">
        <f t="shared" si="7"/>
        <v>73356</v>
      </c>
      <c r="L60" s="466">
        <v>77037</v>
      </c>
      <c r="M60" s="610"/>
      <c r="N60" s="610"/>
    </row>
    <row r="61" spans="1:14" s="343" customFormat="1" x14ac:dyDescent="0.2">
      <c r="A61" s="1526" t="s">
        <v>206</v>
      </c>
      <c r="B61" s="615">
        <v>2540</v>
      </c>
      <c r="C61" s="466"/>
      <c r="D61" s="466"/>
      <c r="E61" s="466"/>
      <c r="F61" s="466">
        <v>1223</v>
      </c>
      <c r="G61" s="466"/>
      <c r="H61" s="466"/>
      <c r="I61" s="467"/>
      <c r="J61" s="467"/>
      <c r="K61" s="1694">
        <f t="shared" si="7"/>
        <v>1223</v>
      </c>
      <c r="L61" s="466">
        <v>500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129519</v>
      </c>
      <c r="D63" s="466">
        <v>4484</v>
      </c>
      <c r="E63" s="466">
        <v>278</v>
      </c>
      <c r="F63" s="466">
        <v>155566</v>
      </c>
      <c r="G63" s="466"/>
      <c r="H63" s="466"/>
      <c r="I63" s="467"/>
      <c r="J63" s="467"/>
      <c r="K63" s="1694">
        <f t="shared" si="7"/>
        <v>289847</v>
      </c>
      <c r="L63" s="466">
        <v>317442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175724</v>
      </c>
      <c r="D65" s="1692">
        <f t="shared" ref="D65:L65" si="8">SUM(D59:D64)</f>
        <v>6422</v>
      </c>
      <c r="E65" s="1692">
        <f t="shared" si="8"/>
        <v>23575</v>
      </c>
      <c r="F65" s="1692">
        <f t="shared" si="8"/>
        <v>158705</v>
      </c>
      <c r="G65" s="1692">
        <f t="shared" si="8"/>
        <v>0</v>
      </c>
      <c r="H65" s="1692">
        <f t="shared" si="8"/>
        <v>0</v>
      </c>
      <c r="I65" s="1692">
        <f t="shared" si="8"/>
        <v>0</v>
      </c>
      <c r="J65" s="1692">
        <f t="shared" si="8"/>
        <v>0</v>
      </c>
      <c r="K65" s="1692">
        <f t="shared" si="8"/>
        <v>364426</v>
      </c>
      <c r="L65" s="1692">
        <f t="shared" si="8"/>
        <v>394979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400</v>
      </c>
      <c r="M73" s="610"/>
      <c r="N73" s="610"/>
    </row>
    <row r="74" spans="1:14" ht="12.75" customHeight="1" thickTop="1" thickBot="1" x14ac:dyDescent="0.25">
      <c r="A74" s="1690" t="s">
        <v>865</v>
      </c>
      <c r="B74" s="1698">
        <v>2000</v>
      </c>
      <c r="C74" s="1699">
        <f>SUM(C42,C47,C53,C57,C65,C72,C73)</f>
        <v>763545</v>
      </c>
      <c r="D74" s="1699">
        <f t="shared" ref="D74:K74" si="10">SUM(D42,D47,D53,D57,D65,D72,D73)</f>
        <v>130082</v>
      </c>
      <c r="E74" s="1699">
        <f t="shared" si="10"/>
        <v>238096</v>
      </c>
      <c r="F74" s="1699">
        <f t="shared" si="10"/>
        <v>181530</v>
      </c>
      <c r="G74" s="1699">
        <f t="shared" si="10"/>
        <v>2561</v>
      </c>
      <c r="H74" s="1699">
        <f t="shared" si="10"/>
        <v>2443</v>
      </c>
      <c r="I74" s="1699">
        <f t="shared" si="10"/>
        <v>0</v>
      </c>
      <c r="J74" s="1699">
        <f t="shared" si="10"/>
        <v>0</v>
      </c>
      <c r="K74" s="1699">
        <f t="shared" si="10"/>
        <v>1318257</v>
      </c>
      <c r="L74" s="1699">
        <f>SUM(L42,L47,L53,L57,L65,L72,L73)</f>
        <v>1364358</v>
      </c>
    </row>
    <row r="75" spans="1:14" s="259" customFormat="1" ht="15.75" customHeight="1" thickTop="1" thickBot="1" x14ac:dyDescent="0.25">
      <c r="A75" s="1632" t="s">
        <v>49</v>
      </c>
      <c r="B75" s="1633" t="s">
        <v>596</v>
      </c>
      <c r="C75" s="573">
        <f>8676+201</f>
        <v>8877</v>
      </c>
      <c r="D75" s="573">
        <v>526</v>
      </c>
      <c r="E75" s="573">
        <v>200</v>
      </c>
      <c r="F75" s="573">
        <f>8248-2373</f>
        <v>5875</v>
      </c>
      <c r="G75" s="573">
        <v>2373</v>
      </c>
      <c r="H75" s="573"/>
      <c r="I75" s="531"/>
      <c r="J75" s="531"/>
      <c r="K75" s="1692">
        <f>SUM(C75:J75)</f>
        <v>17851</v>
      </c>
      <c r="L75" s="576">
        <v>13041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f>87180+11688</f>
        <v>98868</v>
      </c>
      <c r="F79" s="617"/>
      <c r="G79" s="617"/>
      <c r="H79" s="466"/>
      <c r="I79" s="477"/>
      <c r="J79" s="477"/>
      <c r="K79" s="1693">
        <f t="shared" si="11"/>
        <v>98868</v>
      </c>
      <c r="L79" s="466">
        <v>120000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98868</v>
      </c>
      <c r="F84" s="617"/>
      <c r="G84" s="617"/>
      <c r="H84" s="1692">
        <f>SUM(H78:H83)</f>
        <v>0</v>
      </c>
      <c r="I84" s="477"/>
      <c r="J84" s="477"/>
      <c r="K84" s="1692">
        <f>SUM(K78:K83)</f>
        <v>98868</v>
      </c>
      <c r="L84" s="1692">
        <f>SUM(L78:L83)</f>
        <v>120000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210450</v>
      </c>
      <c r="I86" s="477"/>
      <c r="J86" s="477"/>
      <c r="K86" s="1699">
        <f t="shared" ref="K86:K98" si="12">H86</f>
        <v>210450</v>
      </c>
      <c r="L86" s="530">
        <v>225000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210450</v>
      </c>
      <c r="I92" s="477"/>
      <c r="J92" s="477"/>
      <c r="K92" s="1699">
        <f t="shared" si="12"/>
        <v>210450</v>
      </c>
      <c r="L92" s="1692">
        <f>SUM(L85:L91)</f>
        <v>225000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98868</v>
      </c>
      <c r="F102" s="617"/>
      <c r="G102" s="617"/>
      <c r="H102" s="1699">
        <f>SUM(H84,H92,H100,H101)</f>
        <v>210450</v>
      </c>
      <c r="I102" s="477"/>
      <c r="J102" s="477"/>
      <c r="K102" s="1699">
        <f>SUM(K84,K92,K100,K101)</f>
        <v>309318</v>
      </c>
      <c r="L102" s="1699">
        <f>SUM(L84,L92,L100,L101)</f>
        <v>345000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3309868</v>
      </c>
      <c r="D114" s="1692">
        <f t="shared" ref="D114:K114" si="13">SUM(D33,D74,D75,D102,D112,D113)</f>
        <v>663491</v>
      </c>
      <c r="E114" s="1692">
        <f t="shared" si="13"/>
        <v>411809</v>
      </c>
      <c r="F114" s="1692">
        <f t="shared" si="13"/>
        <v>335457</v>
      </c>
      <c r="G114" s="1692">
        <f t="shared" si="13"/>
        <v>19993</v>
      </c>
      <c r="H114" s="1692">
        <f>SUM(H33,H74,H75,H102,H112,H113)</f>
        <v>221103</v>
      </c>
      <c r="I114" s="1692">
        <f t="shared" si="13"/>
        <v>0</v>
      </c>
      <c r="J114" s="1692">
        <f t="shared" si="13"/>
        <v>0</v>
      </c>
      <c r="K114" s="1692">
        <f t="shared" si="13"/>
        <v>4961721</v>
      </c>
      <c r="L114" s="1692">
        <f>SUM(L33,L74,L75,L102,L112,L113)</f>
        <v>5136102</v>
      </c>
    </row>
    <row r="115" spans="1:14" ht="13.5" thickTop="1" x14ac:dyDescent="0.2">
      <c r="A115" s="2177" t="s">
        <v>1053</v>
      </c>
      <c r="B115" s="2178"/>
      <c r="C115" s="619"/>
      <c r="D115" s="619"/>
      <c r="E115" s="619"/>
      <c r="F115" s="619"/>
      <c r="G115" s="619"/>
      <c r="H115" s="619"/>
      <c r="I115" s="619"/>
      <c r="J115" s="619"/>
      <c r="K115" s="1706">
        <f>'Revenues 9-14'!C275-'Expenditures 15-22'!K114</f>
        <v>424160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326752</v>
      </c>
      <c r="D124" s="466">
        <f>24006</f>
        <v>24006</v>
      </c>
      <c r="E124" s="466">
        <v>130056</v>
      </c>
      <c r="F124" s="466">
        <v>165958</v>
      </c>
      <c r="G124" s="466">
        <v>189837</v>
      </c>
      <c r="H124" s="466"/>
      <c r="I124" s="467"/>
      <c r="J124" s="467"/>
      <c r="K124" s="1692">
        <f>SUM(C124:J124)</f>
        <v>836609</v>
      </c>
      <c r="L124" s="466">
        <v>847847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326752</v>
      </c>
      <c r="D127" s="1692">
        <f t="shared" ref="D127:L127" si="14">SUM(D122:D126)</f>
        <v>24006</v>
      </c>
      <c r="E127" s="1692">
        <f t="shared" si="14"/>
        <v>130056</v>
      </c>
      <c r="F127" s="1692">
        <f t="shared" si="14"/>
        <v>165958</v>
      </c>
      <c r="G127" s="1692">
        <f t="shared" si="14"/>
        <v>189837</v>
      </c>
      <c r="H127" s="1692">
        <f t="shared" si="14"/>
        <v>0</v>
      </c>
      <c r="I127" s="1692">
        <f t="shared" si="14"/>
        <v>0</v>
      </c>
      <c r="J127" s="1692">
        <f t="shared" si="14"/>
        <v>0</v>
      </c>
      <c r="K127" s="1692">
        <f t="shared" si="14"/>
        <v>836609</v>
      </c>
      <c r="L127" s="1692">
        <f t="shared" si="14"/>
        <v>847847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326752</v>
      </c>
      <c r="D129" s="1699">
        <f t="shared" ref="D129:L129" si="15">SUM(D120,D127,D128)</f>
        <v>24006</v>
      </c>
      <c r="E129" s="1699">
        <f t="shared" si="15"/>
        <v>130056</v>
      </c>
      <c r="F129" s="1699">
        <f t="shared" si="15"/>
        <v>165958</v>
      </c>
      <c r="G129" s="1699">
        <f t="shared" si="15"/>
        <v>189837</v>
      </c>
      <c r="H129" s="1699">
        <f t="shared" si="15"/>
        <v>0</v>
      </c>
      <c r="I129" s="1699">
        <f t="shared" si="15"/>
        <v>0</v>
      </c>
      <c r="J129" s="1699">
        <f t="shared" si="15"/>
        <v>0</v>
      </c>
      <c r="K129" s="1699">
        <f t="shared" si="15"/>
        <v>836609</v>
      </c>
      <c r="L129" s="1699">
        <f t="shared" si="15"/>
        <v>847847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4" t="s">
        <v>641</v>
      </c>
      <c r="B151" s="2174"/>
      <c r="C151" s="1692">
        <f>SUM(C129,C130,C139,C149,C150)</f>
        <v>326752</v>
      </c>
      <c r="D151" s="1692">
        <f t="shared" ref="D151:K151" si="16">SUM(D129,D130,D139,D149,D150)</f>
        <v>24006</v>
      </c>
      <c r="E151" s="1692">
        <f t="shared" si="16"/>
        <v>130056</v>
      </c>
      <c r="F151" s="1692">
        <f t="shared" si="16"/>
        <v>165958</v>
      </c>
      <c r="G151" s="1692">
        <f t="shared" si="16"/>
        <v>189837</v>
      </c>
      <c r="H151" s="1692">
        <f t="shared" si="16"/>
        <v>0</v>
      </c>
      <c r="I151" s="1692">
        <f t="shared" si="16"/>
        <v>0</v>
      </c>
      <c r="J151" s="1692">
        <f t="shared" si="16"/>
        <v>0</v>
      </c>
      <c r="K151" s="1692">
        <f t="shared" si="16"/>
        <v>836609</v>
      </c>
      <c r="L151" s="1692">
        <f>SUM(L129,L130,L139,L149,L150)</f>
        <v>847847</v>
      </c>
    </row>
    <row r="152" spans="1:14" ht="12.75" customHeight="1" thickTop="1" x14ac:dyDescent="0.2">
      <c r="A152" s="2197" t="s">
        <v>1240</v>
      </c>
      <c r="B152" s="2198"/>
      <c r="C152" s="619"/>
      <c r="D152" s="619"/>
      <c r="E152" s="619"/>
      <c r="F152" s="619"/>
      <c r="G152" s="619"/>
      <c r="H152" s="619"/>
      <c r="I152" s="619"/>
      <c r="J152" s="617"/>
      <c r="K152" s="1706">
        <f>'Revenues 9-14'!D275-'Expenditures 15-22'!K151</f>
        <v>296800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339508</v>
      </c>
      <c r="I169" s="617"/>
      <c r="J169" s="617"/>
      <c r="K169" s="1693">
        <f>SUM(C169:H169)</f>
        <v>339508</v>
      </c>
      <c r="L169" s="657">
        <v>339508</v>
      </c>
    </row>
    <row r="170" spans="1:14" ht="33.75" customHeight="1" x14ac:dyDescent="0.2">
      <c r="A170" s="670" t="s">
        <v>1769</v>
      </c>
      <c r="B170" s="672" t="s">
        <v>31</v>
      </c>
      <c r="C170" s="617"/>
      <c r="D170" s="617"/>
      <c r="E170" s="617"/>
      <c r="F170" s="617"/>
      <c r="G170" s="617"/>
      <c r="H170" s="569">
        <v>395000</v>
      </c>
      <c r="I170" s="617"/>
      <c r="J170" s="617"/>
      <c r="K170" s="1693">
        <f>SUM(C170:J170)</f>
        <v>395000</v>
      </c>
      <c r="L170" s="569">
        <v>395000</v>
      </c>
    </row>
    <row r="171" spans="1:14" ht="15.75" customHeight="1" x14ac:dyDescent="0.2">
      <c r="A171" s="622" t="s">
        <v>790</v>
      </c>
      <c r="B171" s="673" t="s">
        <v>86</v>
      </c>
      <c r="C171" s="617"/>
      <c r="D171" s="617"/>
      <c r="E171" s="466">
        <v>1500</v>
      </c>
      <c r="F171" s="617"/>
      <c r="G171" s="617"/>
      <c r="H171" s="569"/>
      <c r="I171" s="477"/>
      <c r="J171" s="617"/>
      <c r="K171" s="1693">
        <f>SUM(C171:J171)</f>
        <v>1500</v>
      </c>
      <c r="L171" s="569">
        <v>405</v>
      </c>
    </row>
    <row r="172" spans="1:14" ht="12.75" customHeight="1" thickBot="1" x14ac:dyDescent="0.25">
      <c r="A172" s="1690" t="s">
        <v>659</v>
      </c>
      <c r="B172" s="1691" t="s">
        <v>513</v>
      </c>
      <c r="C172" s="617"/>
      <c r="D172" s="617"/>
      <c r="E172" s="1699">
        <f>SUM(E168,E169,E170,E171)</f>
        <v>1500</v>
      </c>
      <c r="F172" s="617"/>
      <c r="G172" s="617"/>
      <c r="H172" s="1699">
        <f>SUM(H168,H169,H170,H171)</f>
        <v>734508</v>
      </c>
      <c r="I172" s="639"/>
      <c r="J172" s="617"/>
      <c r="K172" s="1699">
        <f>SUM(K168,K169,K170,K171)</f>
        <v>736008</v>
      </c>
      <c r="L172" s="1699">
        <f>SUM(L168,L169,L170,L171)</f>
        <v>734913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1500</v>
      </c>
      <c r="F174" s="617"/>
      <c r="G174" s="617"/>
      <c r="H174" s="1699">
        <f>SUM(H160,H172,H173)</f>
        <v>734508</v>
      </c>
      <c r="I174" s="639"/>
      <c r="J174" s="617"/>
      <c r="K174" s="1699">
        <f>SUM(K160,K172,K173)</f>
        <v>736008</v>
      </c>
      <c r="L174" s="1699">
        <f>SUM(L160,L172,L173)</f>
        <v>734913</v>
      </c>
    </row>
    <row r="175" spans="1:14" ht="13.5" thickTop="1" x14ac:dyDescent="0.2">
      <c r="A175" s="2177" t="s">
        <v>1053</v>
      </c>
      <c r="B175" s="2178"/>
      <c r="C175" s="617"/>
      <c r="D175" s="617"/>
      <c r="E175" s="617"/>
      <c r="F175" s="617"/>
      <c r="G175" s="617"/>
      <c r="H175" s="619"/>
      <c r="I175" s="617"/>
      <c r="J175" s="617"/>
      <c r="K175" s="1706">
        <f>'Revenues 9-14'!E275-'Expenditures 15-22'!K174</f>
        <v>-2105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290862</v>
      </c>
      <c r="D182" s="466">
        <v>5592</v>
      </c>
      <c r="E182" s="466">
        <f>21141+207120+34809+1</f>
        <v>263071</v>
      </c>
      <c r="F182" s="466">
        <v>71198</v>
      </c>
      <c r="G182" s="466"/>
      <c r="H182" s="466"/>
      <c r="I182" s="467"/>
      <c r="J182" s="467"/>
      <c r="K182" s="1693">
        <f>SUM(C182:J182)</f>
        <v>630723</v>
      </c>
      <c r="L182" s="466">
        <v>632446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290862</v>
      </c>
      <c r="D184" s="1699">
        <f t="shared" ref="D184:J184" si="17">SUM(D180,D182,D183)</f>
        <v>5592</v>
      </c>
      <c r="E184" s="1699">
        <f t="shared" si="17"/>
        <v>263071</v>
      </c>
      <c r="F184" s="1699">
        <f t="shared" si="17"/>
        <v>71198</v>
      </c>
      <c r="G184" s="1699">
        <f t="shared" si="17"/>
        <v>0</v>
      </c>
      <c r="H184" s="1699">
        <f t="shared" si="17"/>
        <v>0</v>
      </c>
      <c r="I184" s="1699">
        <f t="shared" si="17"/>
        <v>0</v>
      </c>
      <c r="J184" s="1699">
        <f t="shared" si="17"/>
        <v>0</v>
      </c>
      <c r="K184" s="1699">
        <f>SUM(K180,K182,K183)</f>
        <v>630723</v>
      </c>
      <c r="L184" s="1699">
        <f>SUM(L180, L182:L183)</f>
        <v>632446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290862</v>
      </c>
      <c r="D210" s="1692">
        <f>SUM(D184,D185)</f>
        <v>5592</v>
      </c>
      <c r="E210" s="1692">
        <f>SUM(E184,E185,E196)</f>
        <v>263071</v>
      </c>
      <c r="F210" s="1692">
        <f>SUM(F184,F185)</f>
        <v>71198</v>
      </c>
      <c r="G210" s="1692">
        <f>SUM(G184,G185)</f>
        <v>0</v>
      </c>
      <c r="H210" s="1692">
        <f>SUM(H184,H185,H196,H208,H209)</f>
        <v>0</v>
      </c>
      <c r="I210" s="1692">
        <f>SUM(I184,I185)</f>
        <v>0</v>
      </c>
      <c r="J210" s="1692">
        <f>SUM(J184,J185)</f>
        <v>0</v>
      </c>
      <c r="K210" s="1693">
        <f>SUM(K184,K185,K196,K208,K209)</f>
        <v>630723</v>
      </c>
      <c r="L210" s="1692">
        <f>SUM(L184,L185,L196,L208,L209)</f>
        <v>632446</v>
      </c>
    </row>
    <row r="211" spans="1:14" ht="13.5" thickTop="1" x14ac:dyDescent="0.2">
      <c r="A211" s="2177" t="s">
        <v>1053</v>
      </c>
      <c r="B211" s="2178"/>
      <c r="C211" s="619"/>
      <c r="D211" s="619"/>
      <c r="E211" s="619"/>
      <c r="F211" s="619"/>
      <c r="G211" s="619"/>
      <c r="H211" s="619"/>
      <c r="I211" s="617"/>
      <c r="J211" s="617"/>
      <c r="K211" s="1706">
        <f>'Revenues 9-14'!F275-'Expenditures 15-22'!K210</f>
        <v>158560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23166</v>
      </c>
      <c r="E215" s="617"/>
      <c r="F215" s="617"/>
      <c r="G215" s="617"/>
      <c r="H215" s="617"/>
      <c r="I215" s="617"/>
      <c r="J215" s="617"/>
      <c r="K215" s="1693">
        <f>D215</f>
        <v>23166</v>
      </c>
      <c r="L215" s="466">
        <v>25930</v>
      </c>
    </row>
    <row r="216" spans="1:14" x14ac:dyDescent="0.2">
      <c r="A216" s="1526" t="s">
        <v>165</v>
      </c>
      <c r="B216" s="615" t="s">
        <v>1024</v>
      </c>
      <c r="C216" s="617"/>
      <c r="D216" s="467">
        <v>3584</v>
      </c>
      <c r="E216" s="617"/>
      <c r="F216" s="617"/>
      <c r="G216" s="617"/>
      <c r="H216" s="617"/>
      <c r="I216" s="617"/>
      <c r="J216" s="617"/>
      <c r="K216" s="1693">
        <f t="shared" ref="K216:K228" si="19">D216</f>
        <v>3584</v>
      </c>
      <c r="L216" s="466">
        <v>6100</v>
      </c>
    </row>
    <row r="217" spans="1:14" x14ac:dyDescent="0.2">
      <c r="A217" s="1526" t="s">
        <v>166</v>
      </c>
      <c r="B217" s="615">
        <v>1200</v>
      </c>
      <c r="C217" s="617"/>
      <c r="D217" s="466">
        <v>49374</v>
      </c>
      <c r="E217" s="617"/>
      <c r="F217" s="617"/>
      <c r="G217" s="617"/>
      <c r="H217" s="617"/>
      <c r="I217" s="617"/>
      <c r="J217" s="617"/>
      <c r="K217" s="1693">
        <f t="shared" si="19"/>
        <v>49374</v>
      </c>
      <c r="L217" s="466">
        <v>46916</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727</v>
      </c>
      <c r="E219" s="617"/>
      <c r="F219" s="617"/>
      <c r="G219" s="617"/>
      <c r="H219" s="617"/>
      <c r="I219" s="617"/>
      <c r="J219" s="617"/>
      <c r="K219" s="1693">
        <f t="shared" si="19"/>
        <v>727</v>
      </c>
      <c r="L219" s="466">
        <v>680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f>2847+175</f>
        <v>3022</v>
      </c>
      <c r="E222" s="617"/>
      <c r="F222" s="617"/>
      <c r="G222" s="617"/>
      <c r="H222" s="617"/>
      <c r="I222" s="617"/>
      <c r="J222" s="617"/>
      <c r="K222" s="1693">
        <f t="shared" si="19"/>
        <v>3022</v>
      </c>
      <c r="L222" s="466">
        <v>2276</v>
      </c>
    </row>
    <row r="223" spans="1:14" x14ac:dyDescent="0.2">
      <c r="A223" s="1526" t="s">
        <v>1020</v>
      </c>
      <c r="B223" s="615">
        <v>1500</v>
      </c>
      <c r="C223" s="617"/>
      <c r="D223" s="466">
        <f>5611+86+227+43</f>
        <v>5967</v>
      </c>
      <c r="E223" s="617"/>
      <c r="F223" s="617"/>
      <c r="G223" s="617"/>
      <c r="H223" s="617"/>
      <c r="I223" s="617"/>
      <c r="J223" s="617"/>
      <c r="K223" s="1693">
        <f t="shared" si="19"/>
        <v>5967</v>
      </c>
      <c r="L223" s="466">
        <v>5021</v>
      </c>
    </row>
    <row r="224" spans="1:14" x14ac:dyDescent="0.2">
      <c r="A224" s="1526" t="s">
        <v>1021</v>
      </c>
      <c r="B224" s="615">
        <v>1600</v>
      </c>
      <c r="C224" s="617"/>
      <c r="D224" s="466">
        <v>28</v>
      </c>
      <c r="E224" s="617"/>
      <c r="F224" s="617"/>
      <c r="G224" s="617"/>
      <c r="H224" s="617"/>
      <c r="I224" s="617"/>
      <c r="J224" s="617"/>
      <c r="K224" s="1693">
        <f t="shared" si="19"/>
        <v>28</v>
      </c>
      <c r="L224" s="466">
        <v>387</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5</v>
      </c>
      <c r="E226" s="617"/>
      <c r="F226" s="617"/>
      <c r="G226" s="617"/>
      <c r="H226" s="617"/>
      <c r="I226" s="617"/>
      <c r="J226" s="617"/>
      <c r="K226" s="1693">
        <f t="shared" si="19"/>
        <v>5</v>
      </c>
      <c r="L226" s="466">
        <v>111</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85873</v>
      </c>
      <c r="E229" s="617"/>
      <c r="F229" s="617"/>
      <c r="G229" s="617"/>
      <c r="H229" s="617"/>
      <c r="I229" s="617"/>
      <c r="J229" s="617"/>
      <c r="K229" s="1692">
        <f>SUM(K215:K228)</f>
        <v>85873</v>
      </c>
      <c r="L229" s="1692">
        <f>SUM(L215:L228)</f>
        <v>87421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1141</v>
      </c>
      <c r="E233" s="617"/>
      <c r="F233" s="617"/>
      <c r="G233" s="617"/>
      <c r="H233" s="617"/>
      <c r="I233" s="617"/>
      <c r="J233" s="617"/>
      <c r="K233" s="1693">
        <f t="shared" si="20"/>
        <v>1141</v>
      </c>
      <c r="L233" s="466">
        <v>900</v>
      </c>
    </row>
    <row r="234" spans="1:12" x14ac:dyDescent="0.2">
      <c r="A234" s="1526" t="s">
        <v>207</v>
      </c>
      <c r="B234" s="615">
        <v>2130</v>
      </c>
      <c r="C234" s="617"/>
      <c r="D234" s="466">
        <v>5403</v>
      </c>
      <c r="E234" s="617"/>
      <c r="F234" s="617"/>
      <c r="G234" s="617"/>
      <c r="H234" s="617"/>
      <c r="I234" s="617"/>
      <c r="J234" s="617"/>
      <c r="K234" s="1693">
        <f t="shared" si="20"/>
        <v>5403</v>
      </c>
      <c r="L234" s="466">
        <v>5000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729</v>
      </c>
      <c r="E237" s="617"/>
      <c r="F237" s="617"/>
      <c r="G237" s="617"/>
      <c r="H237" s="617"/>
      <c r="I237" s="617"/>
      <c r="J237" s="617"/>
      <c r="K237" s="1693">
        <f t="shared" si="20"/>
        <v>729</v>
      </c>
      <c r="L237" s="466">
        <v>954</v>
      </c>
    </row>
    <row r="238" spans="1:12" ht="12.75" customHeight="1" thickBot="1" x14ac:dyDescent="0.25">
      <c r="A238" s="1690" t="s">
        <v>581</v>
      </c>
      <c r="B238" s="1697" t="s">
        <v>740</v>
      </c>
      <c r="C238" s="617"/>
      <c r="D238" s="1692">
        <f>SUM(D232:D237)</f>
        <v>7273</v>
      </c>
      <c r="E238" s="617"/>
      <c r="F238" s="617"/>
      <c r="G238" s="617"/>
      <c r="H238" s="617"/>
      <c r="I238" s="617"/>
      <c r="J238" s="617"/>
      <c r="K238" s="1692">
        <f>SUM(K232:K237)</f>
        <v>7273</v>
      </c>
      <c r="L238" s="1692">
        <f>SUM(L232:L237)</f>
        <v>6854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29+15</f>
        <v>44</v>
      </c>
      <c r="E240" s="617"/>
      <c r="F240" s="617"/>
      <c r="G240" s="617"/>
      <c r="H240" s="617"/>
      <c r="I240" s="617"/>
      <c r="J240" s="617"/>
      <c r="K240" s="1694">
        <f>D240</f>
        <v>44</v>
      </c>
      <c r="L240" s="481"/>
    </row>
    <row r="241" spans="1:12" x14ac:dyDescent="0.2">
      <c r="A241" s="1526" t="s">
        <v>869</v>
      </c>
      <c r="B241" s="615">
        <v>2220</v>
      </c>
      <c r="C241" s="617"/>
      <c r="D241" s="466">
        <v>5529</v>
      </c>
      <c r="E241" s="617"/>
      <c r="F241" s="617"/>
      <c r="G241" s="617"/>
      <c r="H241" s="617"/>
      <c r="I241" s="617"/>
      <c r="J241" s="617"/>
      <c r="K241" s="1694">
        <f>D241</f>
        <v>5529</v>
      </c>
      <c r="L241" s="466">
        <v>4584</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5573</v>
      </c>
      <c r="E243" s="617"/>
      <c r="F243" s="617"/>
      <c r="G243" s="617"/>
      <c r="H243" s="617"/>
      <c r="I243" s="617"/>
      <c r="J243" s="617"/>
      <c r="K243" s="1692">
        <f>SUM(K240:K242)</f>
        <v>5573</v>
      </c>
      <c r="L243" s="1692">
        <f>SUM(L240:L242)</f>
        <v>4584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f>1482-147</f>
        <v>1335</v>
      </c>
      <c r="E246" s="617"/>
      <c r="F246" s="617"/>
      <c r="G246" s="617"/>
      <c r="H246" s="617"/>
      <c r="I246" s="617"/>
      <c r="J246" s="617"/>
      <c r="K246" s="1694">
        <f t="shared" ref="K246:K256" si="21">D246</f>
        <v>1335</v>
      </c>
      <c r="L246" s="466">
        <v>1550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147</v>
      </c>
      <c r="E254" s="617"/>
      <c r="F254" s="617"/>
      <c r="G254" s="617"/>
      <c r="H254" s="617"/>
      <c r="I254" s="617"/>
      <c r="J254" s="617"/>
      <c r="K254" s="1694">
        <f t="shared" si="21"/>
        <v>147</v>
      </c>
      <c r="L254" s="466">
        <v>145</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1482</v>
      </c>
      <c r="E257" s="617"/>
      <c r="F257" s="617"/>
      <c r="G257" s="617"/>
      <c r="H257" s="617"/>
      <c r="I257" s="617"/>
      <c r="J257" s="617"/>
      <c r="K257" s="1692">
        <f>SUM(K245:K256)</f>
        <v>1482</v>
      </c>
      <c r="L257" s="1692">
        <f>SUM(L245:L256)</f>
        <v>1695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22022</v>
      </c>
      <c r="E259" s="617"/>
      <c r="F259" s="617"/>
      <c r="G259" s="617"/>
      <c r="H259" s="617"/>
      <c r="I259" s="617"/>
      <c r="J259" s="617"/>
      <c r="K259" s="1694">
        <f>D259</f>
        <v>22022</v>
      </c>
      <c r="L259" s="481">
        <v>16051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22022</v>
      </c>
      <c r="E261" s="617"/>
      <c r="F261" s="617"/>
      <c r="G261" s="617"/>
      <c r="H261" s="617"/>
      <c r="I261" s="617"/>
      <c r="J261" s="617"/>
      <c r="K261" s="1692">
        <f>SUM(K259:K260)</f>
        <v>22022</v>
      </c>
      <c r="L261" s="1692">
        <f>SUM(L259:L260)</f>
        <v>16051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7716</v>
      </c>
      <c r="E264" s="617"/>
      <c r="F264" s="617"/>
      <c r="G264" s="617"/>
      <c r="H264" s="617"/>
      <c r="I264" s="617"/>
      <c r="J264" s="617"/>
      <c r="K264" s="1694">
        <f t="shared" ref="K264:K269" si="22">D264</f>
        <v>7716</v>
      </c>
      <c r="L264" s="466">
        <v>7658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55744</v>
      </c>
      <c r="E266" s="617"/>
      <c r="F266" s="617"/>
      <c r="G266" s="617"/>
      <c r="H266" s="617"/>
      <c r="I266" s="617"/>
      <c r="J266" s="617"/>
      <c r="K266" s="1694">
        <f t="shared" si="22"/>
        <v>55744</v>
      </c>
      <c r="L266" s="466">
        <v>56290</v>
      </c>
    </row>
    <row r="267" spans="1:14" x14ac:dyDescent="0.2">
      <c r="A267" s="1526" t="s">
        <v>1010</v>
      </c>
      <c r="B267" s="615">
        <v>2550</v>
      </c>
      <c r="C267" s="617"/>
      <c r="D267" s="466">
        <v>34698</v>
      </c>
      <c r="E267" s="617"/>
      <c r="F267" s="617"/>
      <c r="G267" s="617"/>
      <c r="H267" s="617"/>
      <c r="I267" s="617"/>
      <c r="J267" s="617"/>
      <c r="K267" s="1694">
        <f t="shared" si="22"/>
        <v>34698</v>
      </c>
      <c r="L267" s="466">
        <v>34595</v>
      </c>
    </row>
    <row r="268" spans="1:14" x14ac:dyDescent="0.2">
      <c r="A268" s="1526" t="s">
        <v>102</v>
      </c>
      <c r="B268" s="615">
        <v>2560</v>
      </c>
      <c r="C268" s="617"/>
      <c r="D268" s="466">
        <v>22023</v>
      </c>
      <c r="E268" s="617"/>
      <c r="F268" s="617"/>
      <c r="G268" s="617"/>
      <c r="H268" s="617"/>
      <c r="I268" s="617"/>
      <c r="J268" s="617"/>
      <c r="K268" s="1694">
        <f t="shared" si="22"/>
        <v>22023</v>
      </c>
      <c r="L268" s="466">
        <v>22174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120181</v>
      </c>
      <c r="E270" s="617"/>
      <c r="F270" s="617"/>
      <c r="G270" s="617"/>
      <c r="H270" s="617"/>
      <c r="I270" s="617"/>
      <c r="J270" s="617"/>
      <c r="K270" s="1692">
        <f>SUM(K263:K269)</f>
        <v>120181</v>
      </c>
      <c r="L270" s="1692">
        <f>SUM(L263:L269)</f>
        <v>120717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156531</v>
      </c>
      <c r="E279" s="617"/>
      <c r="F279" s="617"/>
      <c r="G279" s="617"/>
      <c r="H279" s="617"/>
      <c r="I279" s="617"/>
      <c r="J279" s="617"/>
      <c r="K279" s="1699">
        <f>SUM(K238,K243,K257,K261,K270,K277,K278)</f>
        <v>156531</v>
      </c>
      <c r="L279" s="1699">
        <f>SUM(L238,L243,L257,L261,L270,L277,L278)</f>
        <v>149901</v>
      </c>
    </row>
    <row r="280" spans="1:12" ht="15.75" customHeight="1" thickTop="1" thickBot="1" x14ac:dyDescent="0.25">
      <c r="A280" s="1646" t="s">
        <v>930</v>
      </c>
      <c r="B280" s="1635">
        <v>3000</v>
      </c>
      <c r="C280" s="617"/>
      <c r="D280" s="576">
        <f>1159+21</f>
        <v>1180</v>
      </c>
      <c r="E280" s="617"/>
      <c r="F280" s="617"/>
      <c r="G280" s="617"/>
      <c r="H280" s="617"/>
      <c r="I280" s="617"/>
      <c r="J280" s="617"/>
      <c r="K280" s="1701">
        <f>D280</f>
        <v>1180</v>
      </c>
      <c r="L280" s="576">
        <v>2050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92">
        <f>SUM(D229,D279,D280,D285)</f>
        <v>243584</v>
      </c>
      <c r="E295" s="617"/>
      <c r="F295" s="617"/>
      <c r="G295" s="617"/>
      <c r="H295" s="1692">
        <f>H293</f>
        <v>0</v>
      </c>
      <c r="I295" s="617"/>
      <c r="J295" s="617"/>
      <c r="K295" s="1692">
        <f>SUM(K229,K279,K280,K285,K293,K294)</f>
        <v>243584</v>
      </c>
      <c r="L295" s="1692">
        <f>SUM(L229,L279,L280,L285,L293,L294)</f>
        <v>239372</v>
      </c>
    </row>
    <row r="296" spans="1:14" ht="13.5" thickTop="1" x14ac:dyDescent="0.2">
      <c r="A296" s="2177" t="s">
        <v>1053</v>
      </c>
      <c r="B296" s="2178"/>
      <c r="C296" s="617"/>
      <c r="D296" s="619"/>
      <c r="E296" s="617"/>
      <c r="F296" s="617"/>
      <c r="G296" s="617"/>
      <c r="H296" s="688"/>
      <c r="I296" s="617"/>
      <c r="J296" s="617"/>
      <c r="K296" s="1706">
        <f>'Revenues 9-14'!G275-'Expenditures 15-22'!K295</f>
        <v>61529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4618436</v>
      </c>
      <c r="H301" s="466"/>
      <c r="I301" s="467"/>
      <c r="J301" s="467"/>
      <c r="K301" s="1693">
        <f>SUM(C301:J301)</f>
        <v>4618436</v>
      </c>
      <c r="L301" s="467">
        <v>4788500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4618436</v>
      </c>
      <c r="H303" s="1699">
        <f t="shared" si="23"/>
        <v>0</v>
      </c>
      <c r="I303" s="1699">
        <f t="shared" si="23"/>
        <v>0</v>
      </c>
      <c r="J303" s="1699">
        <f t="shared" si="23"/>
        <v>0</v>
      </c>
      <c r="K303" s="1699">
        <f t="shared" si="23"/>
        <v>4618436</v>
      </c>
      <c r="L303" s="1699">
        <f t="shared" si="23"/>
        <v>4788500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92">
        <f>SUM(C303)</f>
        <v>0</v>
      </c>
      <c r="D312" s="1692">
        <f>SUM(D303)</f>
        <v>0</v>
      </c>
      <c r="E312" s="1692">
        <f>SUM(E303,E310)</f>
        <v>0</v>
      </c>
      <c r="F312" s="1692">
        <f>SUM(F303)</f>
        <v>0</v>
      </c>
      <c r="G312" s="1692">
        <f>SUM(G303)</f>
        <v>4618436</v>
      </c>
      <c r="H312" s="1692">
        <f>SUM(H303,H310)</f>
        <v>0</v>
      </c>
      <c r="I312" s="1692">
        <f>SUM(I303)</f>
        <v>0</v>
      </c>
      <c r="J312" s="1692">
        <f>SUM(J303)</f>
        <v>0</v>
      </c>
      <c r="K312" s="1692">
        <f>SUM(K303,K310,K311)</f>
        <v>4618436</v>
      </c>
      <c r="L312" s="1692">
        <f>SUM(L303,L310,L311)</f>
        <v>4788500</v>
      </c>
      <c r="M312" s="666"/>
      <c r="N312" s="666"/>
    </row>
    <row r="313" spans="1:14" ht="13.5" thickTop="1" x14ac:dyDescent="0.2">
      <c r="A313" s="2188" t="s">
        <v>1053</v>
      </c>
      <c r="B313" s="2189"/>
      <c r="C313" s="627"/>
      <c r="D313" s="627"/>
      <c r="E313" s="627"/>
      <c r="F313" s="627"/>
      <c r="G313" s="627"/>
      <c r="H313" s="627"/>
      <c r="I313" s="627"/>
      <c r="J313" s="627"/>
      <c r="K313" s="1707">
        <f>'Revenues 9-14'!H275-'Expenditures 15-22'!K312</f>
        <v>-4604094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f>61312-1</f>
        <v>61311</v>
      </c>
      <c r="F320" s="467"/>
      <c r="G320" s="467"/>
      <c r="H320" s="467"/>
      <c r="I320" s="467"/>
      <c r="J320" s="467"/>
      <c r="K320" s="1693">
        <f t="shared" ref="K320:K327" si="24">SUM(C320:J320)</f>
        <v>61311</v>
      </c>
      <c r="L320" s="467">
        <v>90000</v>
      </c>
      <c r="M320" s="666"/>
      <c r="N320" s="666"/>
    </row>
    <row r="321" spans="1:14" s="675" customFormat="1" x14ac:dyDescent="0.2">
      <c r="A321" s="1541" t="s">
        <v>318</v>
      </c>
      <c r="B321" s="698" t="s">
        <v>301</v>
      </c>
      <c r="C321" s="467"/>
      <c r="D321" s="467"/>
      <c r="E321" s="467">
        <v>2140</v>
      </c>
      <c r="F321" s="467"/>
      <c r="G321" s="467"/>
      <c r="H321" s="467"/>
      <c r="I321" s="467"/>
      <c r="J321" s="467"/>
      <c r="K321" s="1693">
        <f t="shared" si="24"/>
        <v>2140</v>
      </c>
      <c r="L321" s="467">
        <v>4750</v>
      </c>
      <c r="M321" s="666"/>
      <c r="N321" s="666"/>
    </row>
    <row r="322" spans="1:14" s="675" customFormat="1" x14ac:dyDescent="0.2">
      <c r="A322" s="1541" t="s">
        <v>256</v>
      </c>
      <c r="B322" s="698" t="s">
        <v>302</v>
      </c>
      <c r="C322" s="467"/>
      <c r="D322" s="467"/>
      <c r="E322" s="467">
        <v>94966</v>
      </c>
      <c r="F322" s="467">
        <v>1461</v>
      </c>
      <c r="G322" s="467"/>
      <c r="H322" s="467"/>
      <c r="I322" s="467"/>
      <c r="J322" s="467"/>
      <c r="K322" s="1693">
        <f t="shared" si="24"/>
        <v>96427</v>
      </c>
      <c r="L322" s="467">
        <v>103000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10150</v>
      </c>
      <c r="D325" s="467">
        <f>ROUND(1003.91+64.8+229.69+1.92+975.36,0)</f>
        <v>2276</v>
      </c>
      <c r="E325" s="467"/>
      <c r="F325" s="467"/>
      <c r="G325" s="467"/>
      <c r="H325" s="467"/>
      <c r="I325" s="467"/>
      <c r="J325" s="467"/>
      <c r="K325" s="1693">
        <f t="shared" si="24"/>
        <v>12426</v>
      </c>
      <c r="L325" s="467">
        <v>29126</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45685</v>
      </c>
      <c r="F327" s="467"/>
      <c r="G327" s="467"/>
      <c r="H327" s="467"/>
      <c r="I327" s="467"/>
      <c r="J327" s="467"/>
      <c r="K327" s="1693">
        <f t="shared" si="24"/>
        <v>45685</v>
      </c>
      <c r="L327" s="467">
        <v>120000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10150</v>
      </c>
      <c r="D330" s="1692">
        <f t="shared" ref="D330:J330" si="25">SUM(D319:D329)</f>
        <v>2276</v>
      </c>
      <c r="E330" s="1692">
        <f t="shared" si="25"/>
        <v>204102</v>
      </c>
      <c r="F330" s="1692">
        <f t="shared" si="25"/>
        <v>1461</v>
      </c>
      <c r="G330" s="1692">
        <f t="shared" si="25"/>
        <v>0</v>
      </c>
      <c r="H330" s="1692">
        <f t="shared" si="25"/>
        <v>0</v>
      </c>
      <c r="I330" s="1692">
        <f t="shared" si="25"/>
        <v>0</v>
      </c>
      <c r="J330" s="1692">
        <f t="shared" si="25"/>
        <v>0</v>
      </c>
      <c r="K330" s="1692">
        <f>SUM(K319:K329)</f>
        <v>217989</v>
      </c>
      <c r="L330" s="1692">
        <f>SUM(L319:L329)</f>
        <v>346876</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10150</v>
      </c>
      <c r="D342" s="1692">
        <f>SUM(D330)</f>
        <v>2276</v>
      </c>
      <c r="E342" s="1692">
        <f>SUM(E330)</f>
        <v>204102</v>
      </c>
      <c r="F342" s="1692">
        <f>SUM(F330)</f>
        <v>1461</v>
      </c>
      <c r="G342" s="1692">
        <f>SUM(G330)</f>
        <v>0</v>
      </c>
      <c r="H342" s="1692">
        <f>SUM(H330,H334,H340)</f>
        <v>0</v>
      </c>
      <c r="I342" s="1692">
        <f>SUM(I330)</f>
        <v>0</v>
      </c>
      <c r="J342" s="1692">
        <f>SUM(J330)</f>
        <v>0</v>
      </c>
      <c r="K342" s="1692">
        <f>SUM(K330,K334,K340)</f>
        <v>217989</v>
      </c>
      <c r="L342" s="1699">
        <f>SUM(L330,L340,L341)</f>
        <v>346876</v>
      </c>
    </row>
    <row r="343" spans="1:14" ht="12.75" customHeight="1" thickTop="1" x14ac:dyDescent="0.2">
      <c r="A343" s="2190" t="s">
        <v>1053</v>
      </c>
      <c r="B343" s="2191"/>
      <c r="C343" s="617"/>
      <c r="D343" s="617"/>
      <c r="E343" s="617"/>
      <c r="F343" s="617"/>
      <c r="G343" s="617"/>
      <c r="H343" s="617"/>
      <c r="I343" s="617"/>
      <c r="J343" s="617"/>
      <c r="K343" s="1706">
        <f>'Revenues 9-14'!J275-'Expenditures 15-22'!K342</f>
        <v>200322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f>2920+25990</f>
        <v>28910</v>
      </c>
      <c r="F349" s="466"/>
      <c r="G349" s="466">
        <v>6488</v>
      </c>
      <c r="H349" s="466"/>
      <c r="I349" s="467"/>
      <c r="J349" s="467"/>
      <c r="K349" s="1693">
        <f>SUM(C349:J349)</f>
        <v>35398</v>
      </c>
      <c r="L349" s="466">
        <v>97000</v>
      </c>
    </row>
    <row r="350" spans="1:14" ht="12.75" customHeight="1" thickBot="1" x14ac:dyDescent="0.25">
      <c r="A350" s="1690" t="s">
        <v>743</v>
      </c>
      <c r="B350" s="1691" t="s">
        <v>35</v>
      </c>
      <c r="C350" s="1692">
        <f>SUM(C348:C349)</f>
        <v>0</v>
      </c>
      <c r="D350" s="1692">
        <f t="shared" ref="D350:L350" si="26">SUM(D348:D349)</f>
        <v>0</v>
      </c>
      <c r="E350" s="1692">
        <f t="shared" si="26"/>
        <v>28910</v>
      </c>
      <c r="F350" s="1692">
        <f t="shared" si="26"/>
        <v>0</v>
      </c>
      <c r="G350" s="1692">
        <f t="shared" si="26"/>
        <v>6488</v>
      </c>
      <c r="H350" s="1692">
        <f t="shared" si="26"/>
        <v>0</v>
      </c>
      <c r="I350" s="1692">
        <f t="shared" si="26"/>
        <v>0</v>
      </c>
      <c r="J350" s="1692">
        <f t="shared" si="26"/>
        <v>0</v>
      </c>
      <c r="K350" s="1692">
        <f t="shared" si="26"/>
        <v>35398</v>
      </c>
      <c r="L350" s="1692">
        <f t="shared" si="26"/>
        <v>97000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28910</v>
      </c>
      <c r="F352" s="1692">
        <f t="shared" si="27"/>
        <v>0</v>
      </c>
      <c r="G352" s="1692">
        <f t="shared" si="27"/>
        <v>6488</v>
      </c>
      <c r="H352" s="1692">
        <f t="shared" si="27"/>
        <v>0</v>
      </c>
      <c r="I352" s="1692">
        <f t="shared" si="27"/>
        <v>0</v>
      </c>
      <c r="J352" s="1692">
        <f t="shared" si="27"/>
        <v>0</v>
      </c>
      <c r="K352" s="1692">
        <f t="shared" si="27"/>
        <v>35398</v>
      </c>
      <c r="L352" s="1692">
        <f t="shared" si="27"/>
        <v>97000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28910</v>
      </c>
      <c r="F367" s="1692">
        <f t="shared" si="28"/>
        <v>0</v>
      </c>
      <c r="G367" s="1692">
        <f t="shared" si="28"/>
        <v>6488</v>
      </c>
      <c r="H367" s="1692">
        <f t="shared" si="28"/>
        <v>0</v>
      </c>
      <c r="I367" s="1692">
        <f t="shared" si="28"/>
        <v>0</v>
      </c>
      <c r="J367" s="1692">
        <f t="shared" si="28"/>
        <v>0</v>
      </c>
      <c r="K367" s="1692">
        <f t="shared" si="28"/>
        <v>35398</v>
      </c>
      <c r="L367" s="1692">
        <f t="shared" si="28"/>
        <v>97000</v>
      </c>
    </row>
    <row r="368" spans="1:14" ht="13.5" thickTop="1" x14ac:dyDescent="0.2">
      <c r="A368" s="2177" t="s">
        <v>1053</v>
      </c>
      <c r="B368" s="2178"/>
      <c r="C368" s="655"/>
      <c r="D368" s="655"/>
      <c r="E368" s="627"/>
      <c r="F368" s="627"/>
      <c r="G368" s="627"/>
      <c r="H368" s="627"/>
      <c r="I368" s="627"/>
      <c r="J368" s="624"/>
      <c r="K368" s="1693">
        <f>'Revenues 9-14'!K275-'Expenditures 15-22'!K367</f>
        <v>23721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&amp;F&amp;CThe notes to the financial statements are an integral part of this report.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27FE3E-3E17-4ED1-850E-D4AC468DC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1204BC-17B7-4526-9394-892AC25E614F}">
  <ds:schemaRefs>
    <ds:schemaRef ds:uri="http://schemas.microsoft.com/office/2006/documentManagement/types"/>
    <ds:schemaRef ds:uri="http://purl.org/dc/elements/1.1/"/>
    <ds:schemaRef ds:uri="http://www.w3.org/XML/1998/namespace"/>
    <ds:schemaRef ds:uri="http://schemas.microsoft.com/sharepoint/v3"/>
    <ds:schemaRef ds:uri="http://schemas.openxmlformats.org/package/2006/metadata/core-properties"/>
    <ds:schemaRef ds:uri="http://purl.org/dc/terms/"/>
    <ds:schemaRef ds:uri="6ce3111e-7420-4802-b50a-75d4e9a0b980"/>
    <ds:schemaRef ds:uri="http://schemas.microsoft.com/office/infopath/2007/PartnerControls"/>
    <ds:schemaRef ds:uri="4d435f69-8686-490b-bd6d-b153bf22ab50"/>
    <ds:schemaRef ds:uri="d21dc803-237d-4c68-8692-8d731fd2911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69CA933-B2AD-482C-8BBD-6711AFFE90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2018-10-11T18:44:48Z</cp:lastPrinted>
  <dcterms:created xsi:type="dcterms:W3CDTF">2003-10-29T19:06:34Z</dcterms:created>
  <dcterms:modified xsi:type="dcterms:W3CDTF">2018-11-26T16:52:34Z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