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6500" windowHeight="131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14">'Contracts Paid in CY 29'!$A$1:$G$141</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8" i="29" l="1"/>
  <c r="C9" i="4" l="1"/>
  <c r="D13" i="11" l="1"/>
  <c r="I13" i="11"/>
  <c r="D12" i="11"/>
  <c r="I12" i="11"/>
  <c r="D8" i="11"/>
  <c r="E16" i="7" l="1"/>
  <c r="E14" i="7"/>
  <c r="E13" i="7"/>
  <c r="E12" i="7"/>
  <c r="E11" i="7"/>
  <c r="E10" i="7"/>
  <c r="E7" i="7"/>
  <c r="E5" i="7"/>
  <c r="E4" i="7"/>
  <c r="L8" i="29"/>
  <c r="L5" i="29"/>
  <c r="L4" i="3"/>
  <c r="J7" i="37"/>
  <c r="D215" i="29" l="1"/>
  <c r="C124" i="29"/>
  <c r="D268" i="29" l="1"/>
  <c r="D267" i="29"/>
  <c r="D266" i="29"/>
  <c r="D259" i="29"/>
  <c r="D247" i="29"/>
  <c r="D234" i="29"/>
  <c r="D223" i="29"/>
  <c r="D218" i="29"/>
  <c r="D217" i="29"/>
  <c r="E182" i="29"/>
  <c r="F182" i="29"/>
  <c r="E125" i="29"/>
  <c r="E49" i="29"/>
  <c r="C79" i="5"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E21" i="181"/>
  <c r="F21" i="181" s="1"/>
  <c r="G21" i="181" s="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D7733" i="106" s="1"/>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c r="B6385" i="106"/>
  <c r="D6385" i="106" s="1"/>
  <c r="B6386" i="106"/>
  <c r="D6386" i="106" s="1"/>
  <c r="B6387" i="106"/>
  <c r="D6387" i="106" s="1"/>
  <c r="B6388" i="106"/>
  <c r="D6388" i="106"/>
  <c r="B6389" i="106"/>
  <c r="D6389" i="106" s="1"/>
  <c r="B6390" i="106"/>
  <c r="D6390" i="106" s="1"/>
  <c r="B6391" i="106"/>
  <c r="D6391" i="106" s="1"/>
  <c r="B6392" i="106"/>
  <c r="D6392" i="106" s="1"/>
  <c r="B6393" i="106"/>
  <c r="D6393" i="106" s="1"/>
  <c r="B6394" i="106"/>
  <c r="D6394" i="106" s="1"/>
  <c r="B6395" i="106"/>
  <c r="D6395" i="106" s="1"/>
  <c r="B6398" i="106"/>
  <c r="D6398" i="106"/>
  <c r="B6399" i="106"/>
  <c r="D6399" i="106" s="1"/>
  <c r="B6401" i="106"/>
  <c r="D6401" i="106" s="1"/>
  <c r="B6402" i="106"/>
  <c r="D6402" i="106" s="1"/>
  <c r="B6403" i="106"/>
  <c r="D6403" i="106"/>
  <c r="B6404" i="106"/>
  <c r="D6404" i="106" s="1"/>
  <c r="B6405" i="106"/>
  <c r="D6405" i="106" s="1"/>
  <c r="B6406" i="106"/>
  <c r="D6406" i="106" s="1"/>
  <c r="B6407" i="106"/>
  <c r="D6407" i="106"/>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c r="B6618" i="106"/>
  <c r="D6618" i="106" s="1"/>
  <c r="B6619" i="106"/>
  <c r="D6619" i="106" s="1"/>
  <c r="B6620" i="106"/>
  <c r="D6620" i="106" s="1"/>
  <c r="B6621" i="106"/>
  <c r="D6621" i="106"/>
  <c r="B6622" i="106"/>
  <c r="D6622" i="106" s="1"/>
  <c r="B6623" i="106"/>
  <c r="D6623" i="106" s="1"/>
  <c r="B6624" i="106"/>
  <c r="D6624" i="106" s="1"/>
  <c r="B6625" i="106"/>
  <c r="D6625" i="106" s="1"/>
  <c r="B6626" i="106"/>
  <c r="D6626" i="106" s="1"/>
  <c r="B6627" i="106"/>
  <c r="D6627" i="106" s="1"/>
  <c r="B6628" i="106"/>
  <c r="D6628" i="106" s="1"/>
  <c r="B6629" i="106"/>
  <c r="D6629" i="106"/>
  <c r="B6630" i="106"/>
  <c r="D6630" i="106" s="1"/>
  <c r="B6631" i="106"/>
  <c r="D6631" i="106" s="1"/>
  <c r="B6632" i="106"/>
  <c r="D6632" i="106" s="1"/>
  <c r="B6633" i="106"/>
  <c r="D6633" i="106"/>
  <c r="B6634" i="106"/>
  <c r="D6634" i="106" s="1"/>
  <c r="B6635" i="106"/>
  <c r="D6635" i="106" s="1"/>
  <c r="B6636" i="106"/>
  <c r="D6636" i="106" s="1"/>
  <c r="B6637" i="106"/>
  <c r="D6637" i="106"/>
  <c r="B6638" i="106"/>
  <c r="D6638" i="106" s="1"/>
  <c r="B6639" i="106"/>
  <c r="D6639" i="106" s="1"/>
  <c r="B6640" i="106"/>
  <c r="D6640" i="106" s="1"/>
  <c r="B6641" i="106"/>
  <c r="D6641" i="106" s="1"/>
  <c r="B6642" i="106"/>
  <c r="D6642" i="106" s="1"/>
  <c r="B6643" i="106"/>
  <c r="D6643" i="106" s="1"/>
  <c r="B6644" i="106"/>
  <c r="D6644" i="106" s="1"/>
  <c r="B6645" i="106"/>
  <c r="D6645" i="106"/>
  <c r="B6646" i="106"/>
  <c r="D6646" i="106" s="1"/>
  <c r="B6647" i="106"/>
  <c r="D6647" i="106" s="1"/>
  <c r="B6648" i="106"/>
  <c r="D6648" i="106" s="1"/>
  <c r="B6649" i="106"/>
  <c r="D6649" i="106"/>
  <c r="B6650" i="106"/>
  <c r="D6650" i="106" s="1"/>
  <c r="B6651" i="106"/>
  <c r="D6651" i="106" s="1"/>
  <c r="B6652" i="106"/>
  <c r="D6652" i="106" s="1"/>
  <c r="B6653" i="106"/>
  <c r="D6653" i="106"/>
  <c r="B6654" i="106"/>
  <c r="D6654" i="106" s="1"/>
  <c r="B6655" i="106"/>
  <c r="D6655" i="106" s="1"/>
  <c r="B6656" i="106"/>
  <c r="D6656" i="106" s="1"/>
  <c r="B6657" i="106"/>
  <c r="D6657" i="106" s="1"/>
  <c r="B6658" i="106"/>
  <c r="D6658" i="106" s="1"/>
  <c r="B6659" i="106"/>
  <c r="D6659" i="106" s="1"/>
  <c r="B6660" i="106"/>
  <c r="D6660" i="106" s="1"/>
  <c r="B6661" i="106"/>
  <c r="D6661" i="106"/>
  <c r="B6662" i="106"/>
  <c r="D6662" i="106" s="1"/>
  <c r="B6663" i="106"/>
  <c r="D6663" i="106" s="1"/>
  <c r="B6664" i="106"/>
  <c r="D6664" i="106" s="1"/>
  <c r="B6665" i="106"/>
  <c r="D6665" i="106"/>
  <c r="B6666" i="106"/>
  <c r="D6666" i="106" s="1"/>
  <c r="B6667" i="106"/>
  <c r="D6667" i="106" s="1"/>
  <c r="B6668" i="106"/>
  <c r="D6668" i="106" s="1"/>
  <c r="B6669" i="106"/>
  <c r="D6669" i="106"/>
  <c r="B6670" i="106"/>
  <c r="D6670" i="106" s="1"/>
  <c r="B6671" i="106"/>
  <c r="D6671" i="106" s="1"/>
  <c r="B6672" i="106"/>
  <c r="D6672" i="106" s="1"/>
  <c r="B6673" i="106"/>
  <c r="D6673" i="106" s="1"/>
  <c r="B6674" i="106"/>
  <c r="D6674" i="106" s="1"/>
  <c r="B6675" i="106"/>
  <c r="D6675" i="106" s="1"/>
  <c r="B6676" i="106"/>
  <c r="D6676" i="106" s="1"/>
  <c r="B6677" i="106"/>
  <c r="D6677" i="106"/>
  <c r="B6678" i="106"/>
  <c r="D6678" i="106" s="1"/>
  <c r="B6679" i="106"/>
  <c r="D6679" i="106" s="1"/>
  <c r="B6680" i="106"/>
  <c r="D6680" i="106" s="1"/>
  <c r="B6681" i="106"/>
  <c r="D6681" i="106"/>
  <c r="B6682" i="106"/>
  <c r="D6682" i="106" s="1"/>
  <c r="B6683" i="106"/>
  <c r="D6683" i="106" s="1"/>
  <c r="B6684" i="106"/>
  <c r="D6684" i="106" s="1"/>
  <c r="B6685" i="106"/>
  <c r="D6685" i="106"/>
  <c r="B6686" i="106"/>
  <c r="D6686" i="106" s="1"/>
  <c r="B6687" i="106"/>
  <c r="D6687" i="106" s="1"/>
  <c r="B6688" i="106"/>
  <c r="D6688" i="106" s="1"/>
  <c r="B6689" i="106"/>
  <c r="D6689" i="106" s="1"/>
  <c r="B6690" i="106"/>
  <c r="D6690" i="106" s="1"/>
  <c r="B6691" i="106"/>
  <c r="D6691" i="106" s="1"/>
  <c r="B6692" i="106"/>
  <c r="D6692" i="106" s="1"/>
  <c r="B6693" i="106"/>
  <c r="D6693" i="106"/>
  <c r="B6694" i="106"/>
  <c r="D6694" i="106" s="1"/>
  <c r="B6695" i="106"/>
  <c r="D6695" i="106" s="1"/>
  <c r="B6696" i="106"/>
  <c r="D6696" i="106" s="1"/>
  <c r="B6697" i="106"/>
  <c r="D6697" i="106"/>
  <c r="B6698" i="106"/>
  <c r="D6698" i="106" s="1"/>
  <c r="B6699" i="106"/>
  <c r="D6699" i="106" s="1"/>
  <c r="B6700" i="106"/>
  <c r="D6700" i="106" s="1"/>
  <c r="B6701" i="106"/>
  <c r="D6701" i="106"/>
  <c r="B6702" i="106"/>
  <c r="D6702" i="106" s="1"/>
  <c r="B6703" i="106"/>
  <c r="D6703" i="106" s="1"/>
  <c r="B6704" i="106"/>
  <c r="D6704" i="106" s="1"/>
  <c r="B6705" i="106"/>
  <c r="D6705" i="106" s="1"/>
  <c r="B6706" i="106"/>
  <c r="D6706" i="106" s="1"/>
  <c r="B6707" i="106"/>
  <c r="D6707" i="106" s="1"/>
  <c r="B6708" i="106"/>
  <c r="D6708" i="106" s="1"/>
  <c r="B6709" i="106"/>
  <c r="D6709" i="106"/>
  <c r="B6710" i="106"/>
  <c r="D6710" i="106" s="1"/>
  <c r="B6711" i="106"/>
  <c r="D6711" i="106" s="1"/>
  <c r="B6712" i="106"/>
  <c r="D6712" i="106" s="1"/>
  <c r="B6713" i="106"/>
  <c r="D6713" i="106"/>
  <c r="B6714" i="106"/>
  <c r="D6714" i="106" s="1"/>
  <c r="B6715" i="106"/>
  <c r="D6715" i="106" s="1"/>
  <c r="B6716" i="106"/>
  <c r="D6716" i="106" s="1"/>
  <c r="B6717" i="106"/>
  <c r="D6717" i="106"/>
  <c r="B6718" i="106"/>
  <c r="D6718" i="106" s="1"/>
  <c r="B6719" i="106"/>
  <c r="D6719" i="106" s="1"/>
  <c r="B6720" i="106"/>
  <c r="D6720" i="106" s="1"/>
  <c r="B6721" i="106"/>
  <c r="D6721" i="106" s="1"/>
  <c r="B6722" i="106"/>
  <c r="D6722" i="106" s="1"/>
  <c r="B6723" i="106"/>
  <c r="D6723" i="106" s="1"/>
  <c r="B6724" i="106"/>
  <c r="D6724" i="106" s="1"/>
  <c r="B6725" i="106"/>
  <c r="D6725" i="106"/>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D26" i="108"/>
  <c r="E26" i="108"/>
  <c r="F26" i="108"/>
  <c r="G26" i="108"/>
  <c r="D27" i="108"/>
  <c r="E27" i="108"/>
  <c r="F27" i="108"/>
  <c r="G27" i="108"/>
  <c r="F28" i="108"/>
  <c r="F31" i="108"/>
  <c r="F36" i="108"/>
  <c r="F37" i="108"/>
  <c r="G28"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K274" i="5" s="1"/>
  <c r="C184" i="5"/>
  <c r="B5232" i="106" s="1"/>
  <c r="D5232" i="106" s="1"/>
  <c r="D184" i="5"/>
  <c r="B5425" i="106"/>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J22" i="37"/>
  <c r="L22" i="37"/>
  <c r="D24" i="37"/>
  <c r="B4270" i="106" s="1"/>
  <c r="D4270" i="106" s="1"/>
  <c r="D4" i="7"/>
  <c r="B1760" i="106" s="1"/>
  <c r="D1760" i="106" s="1"/>
  <c r="D5" i="7"/>
  <c r="B1761" i="106" s="1"/>
  <c r="D1761" i="106" s="1"/>
  <c r="F136" i="34"/>
  <c r="B5752" i="106"/>
  <c r="D5752" i="106" s="1"/>
  <c r="B5599" i="106"/>
  <c r="D5599" i="106" s="1"/>
  <c r="H173" i="5"/>
  <c r="B5906" i="106" s="1"/>
  <c r="D5906" i="106" s="1"/>
  <c r="H6" i="4"/>
  <c r="B2656" i="106" s="1"/>
  <c r="D2656" i="106" s="1"/>
  <c r="D17" i="7"/>
  <c r="B4104" i="106" s="1"/>
  <c r="D4104" i="106" s="1"/>
  <c r="D12" i="7"/>
  <c r="B1769" i="106" s="1"/>
  <c r="D1769" i="106" s="1"/>
  <c r="D69" i="36" l="1"/>
  <c r="D9" i="7"/>
  <c r="B1767" i="106" s="1"/>
  <c r="D1767" i="106" s="1"/>
  <c r="G172" i="5"/>
  <c r="G173" i="5" s="1"/>
  <c r="B5778" i="106" s="1"/>
  <c r="D5778" i="106" s="1"/>
  <c r="J352" i="29"/>
  <c r="J367" i="29" s="1"/>
  <c r="B7245" i="106" s="1"/>
  <c r="D7245" i="106" s="1"/>
  <c r="D5" i="4"/>
  <c r="B3406" i="106" s="1"/>
  <c r="D3406" i="106" s="1"/>
  <c r="D13" i="7"/>
  <c r="B3726" i="106" s="1"/>
  <c r="D3726" i="106" s="1"/>
  <c r="B4373" i="106"/>
  <c r="D4373" i="106" s="1"/>
  <c r="K173" i="5"/>
  <c r="K6" i="4" s="1"/>
  <c r="B3570" i="106" s="1"/>
  <c r="D3570" i="106" s="1"/>
  <c r="I342" i="29"/>
  <c r="B7222" i="106" s="1"/>
  <c r="D7222" i="106" s="1"/>
  <c r="L15" i="11"/>
  <c r="B3459" i="106" s="1"/>
  <c r="D3459" i="106" s="1"/>
  <c r="D54" i="36"/>
  <c r="L13" i="11"/>
  <c r="B2060" i="106" s="1"/>
  <c r="D2060" i="106" s="1"/>
  <c r="K26" i="12"/>
  <c r="B7743" i="106" s="1"/>
  <c r="D7743" i="106" s="1"/>
  <c r="L342" i="29"/>
  <c r="E28" i="108"/>
  <c r="F71" i="34"/>
  <c r="F68" i="34"/>
  <c r="G29" i="108"/>
  <c r="E29" i="108"/>
  <c r="G30" i="108"/>
  <c r="E30" i="108"/>
  <c r="D7" i="7"/>
  <c r="B1763" i="106" s="1"/>
  <c r="D1763" i="106" s="1"/>
  <c r="L5" i="11"/>
  <c r="B2056" i="106" s="1"/>
  <c r="D2056" i="106" s="1"/>
  <c r="D22" i="37"/>
  <c r="F172" i="5"/>
  <c r="B5644" i="106" s="1"/>
  <c r="D5644" i="106" s="1"/>
  <c r="F46" i="34"/>
  <c r="F35" i="34"/>
  <c r="B7235" i="106"/>
  <c r="D7235" i="106" s="1"/>
  <c r="C342" i="29"/>
  <c r="B7216" i="106" s="1"/>
  <c r="D7216" i="106" s="1"/>
  <c r="F77" i="4"/>
  <c r="B3255" i="106" s="1"/>
  <c r="D3255" i="106" s="1"/>
  <c r="E174" i="29"/>
  <c r="B1309" i="106" s="1"/>
  <c r="D1309" i="106" s="1"/>
  <c r="B1126" i="106"/>
  <c r="D1126" i="106" s="1"/>
  <c r="F106" i="34"/>
  <c r="H109" i="5"/>
  <c r="B6025" i="106" s="1"/>
  <c r="D6025" i="106" s="1"/>
  <c r="F49" i="34"/>
  <c r="F41" i="34"/>
  <c r="C172" i="5"/>
  <c r="B5214" i="106" s="1"/>
  <c r="D5214" i="106" s="1"/>
  <c r="F127" i="34"/>
  <c r="H33" i="118"/>
  <c r="F128" i="34"/>
  <c r="B4951" i="106"/>
  <c r="D4951" i="106" s="1"/>
  <c r="C109" i="5"/>
  <c r="B5121" i="106" s="1"/>
  <c r="D5121" i="106" s="1"/>
  <c r="L367" i="29"/>
  <c r="F19" i="7"/>
  <c r="B1807" i="106" s="1"/>
  <c r="D1807" i="106" s="1"/>
  <c r="F50" i="34"/>
  <c r="F42" i="34"/>
  <c r="K350" i="29"/>
  <c r="B3670" i="106" s="1"/>
  <c r="D3670" i="106" s="1"/>
  <c r="B5770" i="106"/>
  <c r="D5770" i="106" s="1"/>
  <c r="B3565" i="106"/>
  <c r="D3565" i="106" s="1"/>
  <c r="K41" i="3"/>
  <c r="B6191" i="106"/>
  <c r="D6191" i="106" s="1"/>
  <c r="J41" i="3"/>
  <c r="D51" i="36" s="1"/>
  <c r="D15" i="7"/>
  <c r="B1772" i="106" s="1"/>
  <c r="D1772" i="106" s="1"/>
  <c r="B1746" i="106"/>
  <c r="D1746" i="106" s="1"/>
  <c r="D109" i="5"/>
  <c r="F130" i="34"/>
  <c r="K28" i="118"/>
  <c r="O27" i="118" s="1"/>
  <c r="O29" i="118" s="1"/>
  <c r="G109" i="5"/>
  <c r="H342" i="29"/>
  <c r="B7221" i="106" s="1"/>
  <c r="D7221" i="106" s="1"/>
  <c r="B7071" i="106"/>
  <c r="D7071" i="106" s="1"/>
  <c r="F66" i="34"/>
  <c r="I173" i="5"/>
  <c r="B4216" i="106" s="1"/>
  <c r="D4216" i="106" s="1"/>
  <c r="D11" i="7"/>
  <c r="B1768" i="106" s="1"/>
  <c r="D1768" i="106" s="1"/>
  <c r="F111" i="34"/>
  <c r="F131" i="34"/>
  <c r="B7041" i="106"/>
  <c r="D7041" i="106" s="1"/>
  <c r="E109" i="5"/>
  <c r="E4" i="4" s="1"/>
  <c r="B2630" i="106" s="1"/>
  <c r="D2630" i="106" s="1"/>
  <c r="L312" i="29"/>
  <c r="F45" i="34"/>
  <c r="F36" i="34"/>
  <c r="B3658" i="106"/>
  <c r="D3658" i="106" s="1"/>
  <c r="H365" i="29"/>
  <c r="B3649" i="106"/>
  <c r="D3649" i="106" s="1"/>
  <c r="G367" i="29"/>
  <c r="B3619" i="106"/>
  <c r="D3619" i="106" s="1"/>
  <c r="C352" i="29"/>
  <c r="F21" i="8"/>
  <c r="B3689" i="106"/>
  <c r="D3689" i="106" s="1"/>
  <c r="J77" i="4"/>
  <c r="B6262" i="106" s="1"/>
  <c r="D6262" i="106" s="1"/>
  <c r="B3170" i="106"/>
  <c r="D3170" i="106" s="1"/>
  <c r="H76" i="4"/>
  <c r="B3298" i="106" s="1"/>
  <c r="D3298" i="106" s="1"/>
  <c r="B1995" i="106"/>
  <c r="D1995" i="106" s="1"/>
  <c r="I24" i="12"/>
  <c r="B3647" i="106"/>
  <c r="D3647" i="106" s="1"/>
  <c r="G210" i="29"/>
  <c r="D6103" i="106"/>
  <c r="K285" i="29"/>
  <c r="B3724" i="106" s="1"/>
  <c r="D3724"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D7256" i="106" l="1"/>
  <c r="D7253" i="106"/>
  <c r="J16" i="4"/>
  <c r="B6226" i="106" s="1"/>
  <c r="D6226" i="106" s="1"/>
  <c r="D7250" i="106"/>
  <c r="B6014" i="106"/>
  <c r="D6014" i="106" s="1"/>
  <c r="K365" i="29"/>
  <c r="D7254" i="106"/>
  <c r="D7252" i="106"/>
  <c r="L114" i="29"/>
  <c r="K352" i="29"/>
  <c r="K13" i="4" s="1"/>
  <c r="B3572" i="106" s="1"/>
  <c r="D3572" i="106" s="1"/>
  <c r="C114" i="29"/>
  <c r="B757" i="106" s="1"/>
  <c r="D757" i="106" s="1"/>
  <c r="D19" i="7"/>
  <c r="B1775" i="106" s="1"/>
  <c r="D1775" i="106" s="1"/>
  <c r="F173" i="5"/>
  <c r="C173" i="5"/>
  <c r="D44" i="36"/>
  <c r="B3628" i="106"/>
  <c r="D3628" i="106" s="1"/>
  <c r="C4" i="4"/>
  <c r="B2551" i="106" s="1"/>
  <c r="D2551" i="106" s="1"/>
  <c r="H4" i="4"/>
  <c r="B5527" i="106"/>
  <c r="D5527" i="106" s="1"/>
  <c r="F274" i="5"/>
  <c r="F275" i="5" s="1"/>
  <c r="B5720" i="106" s="1"/>
  <c r="D5720" i="106" s="1"/>
  <c r="K342" i="29"/>
  <c r="F13" i="34" s="1"/>
  <c r="H77" i="4"/>
  <c r="B3299" i="106" s="1"/>
  <c r="D3299" i="106" s="1"/>
  <c r="L16" i="11"/>
  <c r="B2061" i="106" s="1"/>
  <c r="D2061" i="106" s="1"/>
  <c r="B3621" i="106"/>
  <c r="D3621" i="106" s="1"/>
  <c r="C367" i="29"/>
  <c r="B3622" i="106" s="1"/>
  <c r="D3622" i="106" s="1"/>
  <c r="H367" i="29"/>
  <c r="B3660" i="106" s="1"/>
  <c r="D3660" i="106" s="1"/>
  <c r="B7242" i="106"/>
  <c r="D7242" i="106" s="1"/>
  <c r="B1365" i="106"/>
  <c r="D1365" i="106" s="1"/>
  <c r="F65" i="34"/>
  <c r="B5356" i="106"/>
  <c r="D5356" i="106" s="1"/>
  <c r="D4" i="4"/>
  <c r="B2564" i="106" s="1"/>
  <c r="D2564" i="106" s="1"/>
  <c r="B6024" i="106"/>
  <c r="D6024" i="106" s="1"/>
  <c r="G4" i="4"/>
  <c r="B2603" i="106" s="1"/>
  <c r="D2603" i="106" s="1"/>
  <c r="B3568" i="106"/>
  <c r="D3568" i="106" s="1"/>
  <c r="D52" i="36"/>
  <c r="F73" i="34"/>
  <c r="G15" i="4"/>
  <c r="B6032" i="106" s="1"/>
  <c r="D6032" i="106" s="1"/>
  <c r="B1996" i="106"/>
  <c r="D1996" i="106" s="1"/>
  <c r="I26" i="12"/>
  <c r="B7741" i="106" s="1"/>
  <c r="D7741" i="106" s="1"/>
  <c r="B1879" i="106"/>
  <c r="D1879" i="106" s="1"/>
  <c r="H22" i="37"/>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6222" i="106"/>
  <c r="D6222" i="106" s="1"/>
  <c r="D7" i="4"/>
  <c r="D275" i="5"/>
  <c r="B5507" i="106"/>
  <c r="D5507" i="106" s="1"/>
  <c r="B7298" i="106"/>
  <c r="B7299" i="106"/>
  <c r="F7" i="4" l="1"/>
  <c r="B2594" i="106" s="1"/>
  <c r="D2594" i="106" s="1"/>
  <c r="B5719" i="106"/>
  <c r="D5719" i="106" s="1"/>
  <c r="F24" i="37"/>
  <c r="K367" i="29"/>
  <c r="K368" i="29" s="1"/>
  <c r="B3681" i="106" s="1"/>
  <c r="D3681" i="106" s="1"/>
  <c r="B3672" i="106"/>
  <c r="D3672" i="106" s="1"/>
  <c r="G41" i="108"/>
  <c r="G44" i="108" s="1"/>
  <c r="G45" i="108" s="1"/>
  <c r="B5653" i="106"/>
  <c r="D5653" i="106" s="1"/>
  <c r="F6" i="4"/>
  <c r="B2593" i="106" s="1"/>
  <c r="D2593" i="106" s="1"/>
  <c r="B5223" i="106"/>
  <c r="D5223" i="106" s="1"/>
  <c r="C6" i="4"/>
  <c r="B2553" i="106" s="1"/>
  <c r="D2553" i="106" s="1"/>
  <c r="B2655" i="106"/>
  <c r="D2655" i="106" s="1"/>
  <c r="H8" i="4"/>
  <c r="J8" i="4"/>
  <c r="J10" i="4" s="1"/>
  <c r="B6225" i="106" s="1"/>
  <c r="D622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5508" i="106"/>
  <c r="D5508" i="106" s="1"/>
  <c r="D8" i="4"/>
  <c r="B2567" i="106"/>
  <c r="D2567" i="106" s="1"/>
  <c r="F8" i="4" l="1"/>
  <c r="B2595" i="106"/>
  <c r="D2595" i="106" s="1"/>
  <c r="B2658" i="106"/>
  <c r="D2658" i="106" s="1"/>
  <c r="H10" i="4"/>
  <c r="B4127" i="106" s="1"/>
  <c r="D4127"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0" i="4" l="1"/>
  <c r="B4125" i="106" s="1"/>
  <c r="D4125" i="106" s="1"/>
  <c r="D8" i="14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<sst xmlns="http://schemas.openxmlformats.org/spreadsheetml/2006/main" count="5053" uniqueCount="2110">
  <si>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</si>
  <si>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</si>
  <si>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</si>
  <si>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</si>
  <si>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</si>
  <si>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</si>
  <si>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</si>
  <si>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</si>
  <si>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</si>
  <si>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</si>
  <si>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</si>
  <si>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</si>
  <si>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</si>
  <si>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</si>
  <si>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</si>
  <si>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</si>
  <si>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</si>
  <si>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</si>
  <si>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</si>
  <si>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</si>
  <si>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</si>
  <si>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</si>
  <si>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</si>
  <si>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</si>
  <si>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</si>
  <si>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</si>
  <si>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</si>
  <si>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</si>
  <si>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</si>
  <si>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</si>
  <si>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</si>
  <si>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</si>
  <si>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</si>
  <si>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</si>
  <si>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</si>
  <si>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</si>
  <si>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</si>
  <si>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</si>
  <si>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</si>
  <si>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</si>
  <si>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</si>
  <si>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</si>
  <si>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</si>
  <si>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</si>
  <si>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</si>
  <si>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</si>
  <si>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</si>
  <si>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</si>
  <si>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</si>
  <si>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</si>
  <si>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</si>
  <si>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</si>
  <si>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</si>
  <si>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</si>
  <si>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</si>
  <si>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</si>
  <si>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</si>
  <si>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</si>
  <si>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</si>
  <si>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</si>
  <si>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</si>
  <si>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</si>
  <si>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</si>
  <si>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</si>
  <si>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</si>
  <si>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</si>
  <si>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</si>
  <si>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</si>
  <si>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</si>
  <si>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</si>
  <si>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</si>
  <si>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</si>
  <si>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</si>
  <si>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</si>
  <si>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</si>
  <si>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</si>
  <si>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</si>
  <si>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</si>
  <si>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</si>
  <si>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</si>
  <si>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</si>
  <si>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</si>
  <si>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</si>
  <si>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</si>
  <si>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</si>
  <si>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</si>
  <si>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</si>
  <si>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</si>
  <si>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</si>
  <si>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</si>
  <si>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</si>
  <si>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</si>
  <si>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</si>
  <si>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</si>
  <si>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</si>
  <si>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</si>
  <si>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</si>
  <si>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</si>
  <si>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</si>
  <si>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</si>
  <si>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</si>
  <si>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</si>
  <si>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</si>
  <si>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</si>
  <si>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</si>
  <si>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</si>
  <si>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</si>
  <si>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</si>
  <si>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</si>
  <si>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</si>
  <si>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</si>
  <si>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</si>
  <si>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</si>
  <si>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</si>
  <si>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</si>
  <si>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</si>
  <si>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</si>
  <si>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</si>
  <si>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</si>
  <si>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</si>
  <si>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</si>
  <si>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</si>
  <si>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</si>
  <si>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</si>
  <si>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</si>
  <si>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</si>
  <si>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</si>
  <si>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</si>
  <si>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</si>
  <si>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</si>
  <si>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</si>
  <si>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</si>
  <si>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</si>
  <si>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</si>
  <si>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</si>
  <si>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</si>
  <si>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</si>
  <si>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</si>
  <si>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</si>
  <si>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</si>
  <si>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</si>
  <si>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</si>
  <si>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</si>
  <si>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</si>
  <si>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</si>
  <si>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</si>
  <si>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</si>
  <si>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</si>
  <si>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</si>
  <si>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</si>
  <si>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</si>
  <si>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</si>
  <si>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</si>
  <si>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</si>
  <si>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</si>
  <si>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</si>
  <si>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</si>
  <si>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</si>
  <si>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</si>
  <si>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</si>
  <si>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</si>
  <si>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</si>
  <si>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</si>
  <si>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</si>
  <si>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</si>
  <si>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</si>
  <si>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</si>
  <si>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</si>
  <si>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</si>
  <si>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</si>
  <si>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</si>
  <si>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</si>
  <si>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</si>
  <si>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</si>
  <si>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</si>
  <si>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</si>
  <si>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</si>
  <si>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</si>
  <si>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</si>
  <si>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</si>
  <si>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</si>
  <si>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</si>
  <si>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</si>
  <si>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</si>
  <si>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</si>
  <si>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</si>
  <si>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</si>
  <si>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</si>
  <si>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</si>
  <si>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</si>
  <si>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</si>
  <si>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</si>
  <si>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</si>
  <si>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</si>
  <si>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</si>
  <si>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</si>
  <si>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</si>
  <si>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</si>
  <si>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</si>
  <si>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</si>
  <si>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</si>
  <si>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</si>
  <si>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</si>
  <si>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</si>
  <si>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</si>
  <si>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</si>
  <si>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</si>
  <si>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</si>
  <si>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</si>
  <si>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</si>
  <si>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</si>
  <si>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</si>
  <si>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</si>
  <si>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</si>
  <si>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</si>
  <si>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</si>
  <si>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</si>
  <si>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</si>
  <si>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</si>
  <si>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</si>
  <si>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</si>
  <si>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</si>
  <si>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</si>
  <si>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</si>
  <si>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</si>
  <si>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</si>
  <si>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</si>
  <si>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</si>
  <si>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</si>
  <si>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</si>
  <si>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</si>
  <si>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</si>
  <si>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</si>
  <si>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</si>
  <si>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</si>
  <si>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</si>
  <si>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</si>
  <si>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</si>
  <si>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</si>
  <si>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</si>
  <si>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</si>
  <si>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</si>
  <si>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</si>
  <si>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</si>
  <si>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</si>
  <si>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</si>
  <si>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</si>
  <si>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</si>
  <si>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</si>
  <si>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</si>
  <si>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</si>
  <si>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</si>
  <si>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</si>
  <si>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</si>
  <si>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</si>
  <si>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</si>
  <si>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</si>
  <si>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</si>
  <si>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</si>
  <si>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</si>
  <si>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</si>
  <si>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</si>
  <si>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</si>
  <si>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</si>
  <si>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</si>
  <si>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</si>
  <si>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</si>
  <si>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</si>
  <si>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</si>
  <si>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</si>
  <si>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</si>
  <si>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</si>
  <si>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</si>
  <si>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</si>
  <si>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</si>
  <si>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</si>
  <si>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</si>
  <si>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</si>
  <si>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</si>
  <si>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</si>
  <si>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</si>
  <si>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</si>
  <si>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</si>
  <si>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</si>
  <si>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</si>
  <si>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</si>
  <si>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</si>
  <si>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</si>
  <si>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</si>
  <si>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</si>
  <si>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</si>
  <si>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</si>
  <si>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</si>
  <si>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</si>
  <si>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</si>
  <si>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</si>
  <si>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</si>
  <si>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</si>
  <si>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</si>
  <si>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</si>
  <si>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</si>
  <si>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</si>
  <si>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</si>
  <si>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</si>
  <si>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</si>
  <si>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</si>
  <si>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</si>
  <si>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</si>
  <si>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</si>
  <si>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</si>
  <si>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</si>
  <si>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</si>
  <si>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</si>
  <si>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</si>
  <si>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</si>
  <si>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</si>
  <si>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</si>
  <si>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</si>
  <si>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</si>
  <si>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</si>
  <si>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</si>
  <si>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</si>
  <si>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</si>
  <si>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</si>
  <si>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</si>
  <si>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</si>
  <si>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</si>
  <si>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</si>
  <si>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</si>
  <si>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</si>
  <si>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</si>
  <si>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</si>
  <si>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</si>
  <si>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</si>
  <si>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</si>
  <si>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</si>
  <si>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</si>
  <si>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</si>
  <si>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</si>
  <si>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</si>
  <si>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</si>
  <si>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</si>
  <si>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</si>
  <si>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</si>
  <si>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</si>
  <si>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</si>
  <si>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</si>
  <si>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</si>
  <si>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</si>
  <si>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</si>
  <si>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</si>
  <si>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</si>
  <si>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</si>
  <si>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</si>
  <si>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</si>
  <si>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</si>
  <si>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</si>
  <si>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</si>
  <si>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</si>
  <si>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</si>
  <si>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</si>
  <si>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</si>
  <si>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</si>
  <si>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</si>
  <si>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</si>
  <si>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</si>
  <si>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</si>
  <si>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</si>
  <si>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</si>
  <si>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</si>
  <si>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</si>
  <si>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</si>
  <si>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</si>
  <si>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</si>
  <si>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</si>
  <si>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</si>
  <si>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</si>
  <si>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</si>
  <si>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</si>
  <si>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</si>
  <si>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</si>
  <si>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</si>
  <si>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</si>
  <si>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</si>
  <si>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</si>
  <si>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</si>
  <si>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</si>
  <si>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</si>
  <si>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</si>
  <si>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</si>
  <si>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</si>
  <si>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</si>
  <si>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</si>
  <si>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</si>
  <si>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</si>
  <si>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</si>
  <si>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</si>
  <si>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</si>
  <si>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</si>
  <si>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</si>
  <si>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</si>
  <si>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</si>
  <si>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</si>
  <si>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</si>
  <si>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</si>
  <si>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</si>
  <si>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</si>
  <si>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</si>
  <si>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</si>
  <si>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</si>
  <si>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</si>
  <si>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</si>
  <si>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</si>
  <si>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</si>
  <si>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</si>
  <si>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</si>
  <si>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</si>
  <si>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</si>
  <si>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</si>
  <si>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</si>
  <si>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</si>
  <si>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</si>
  <si>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</si>
  <si>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</si>
  <si>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</si>
  <si>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</si>
  <si>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</si>
  <si>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</si>
  <si>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</si>
  <si>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</si>
  <si>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</si>
  <si>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</si>
  <si>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</si>
  <si>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</si>
  <si>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</si>
  <si>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</si>
  <si>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</si>
  <si>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</si>
  <si>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</si>
  <si>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</si>
  <si>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</si>
  <si>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</si>
  <si>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</si>
  <si>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</si>
  <si>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</si>
  <si>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</si>
  <si>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</si>
  <si>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</si>
  <si>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</si>
  <si>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</si>
  <si>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</si>
  <si>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</si>
  <si>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</si>
  <si>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</si>
  <si>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</si>
  <si>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</si>
  <si>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</si>
  <si>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</si>
  <si>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</si>
  <si>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</si>
  <si>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</si>
  <si>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</si>
  <si>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</si>
  <si>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</si>
  <si>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</si>
  <si>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</si>
  <si>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</si>
  <si>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</si>
  <si>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</si>
  <si>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</si>
  <si>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</si>
  <si>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</si>
  <si>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</si>
  <si>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</si>
  <si>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</si>
  <si>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</si>
  <si>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</si>
  <si>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</si>
  <si>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</si>
  <si>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</si>
  <si>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</si>
  <si>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</si>
  <si>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</si>
  <si>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</si>
  <si>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</si>
  <si>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</si>
  <si>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</si>
  <si>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</si>
  <si>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</si>
  <si>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</si>
  <si>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</si>
  <si>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</si>
  <si>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</si>
  <si>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</si>
  <si>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</si>
  <si>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</si>
  <si>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</si>
  <si>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</si>
  <si>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</si>
  <si>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</si>
  <si>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</si>
  <si>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</si>
  <si>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</si>
  <si>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</si>
  <si>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</si>
  <si>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</si>
  <si>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</si>
  <si>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</si>
  <si>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</si>
  <si>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</si>
  <si>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</si>
  <si>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</si>
  <si>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</si>
  <si>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</si>
  <si>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</si>
  <si>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</si>
  <si>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</si>
  <si>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</si>
  <si>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</si>
  <si>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</si>
  <si>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</si>
  <si>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</si>
  <si>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</si>
  <si>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</si>
  <si>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</si>
  <si>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</si>
  <si>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</si>
  <si>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</si>
  <si>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</si>
  <si>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</si>
  <si>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</si>
  <si>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</si>
  <si>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</si>
  <si>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</si>
  <si>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</si>
  <si>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</si>
  <si>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</si>
  <si>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</si>
  <si>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</si>
  <si>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</si>
  <si>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</si>
  <si>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</si>
  <si>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</si>
  <si>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</si>
  <si>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</si>
  <si>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</si>
  <si>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</si>
  <si>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</si>
  <si>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</si>
  <si>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</si>
  <si>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</si>
  <si>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</si>
  <si>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</si>
  <si>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</si>
  <si>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</si>
  <si>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</si>
  <si>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</si>
  <si>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</si>
  <si>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</si>
  <si>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</si>
  <si>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</si>
  <si>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</si>
  <si>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</si>
  <si>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</si>
  <si>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</si>
  <si>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</si>
  <si>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</si>
  <si>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</si>
  <si>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</si>
  <si>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</si>
  <si>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</si>
  <si>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</si>
  <si>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</si>
  <si>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</si>
  <si>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</si>
  <si>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</si>
  <si>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</si>
  <si>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</si>
  <si>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</si>
  <si>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</si>
  <si>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</si>
  <si>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</si>
  <si>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</si>
  <si>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</si>
  <si>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</si>
  <si>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</si>
  <si>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</si>
  <si>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</si>
  <si>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</si>
  <si>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</si>
  <si>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</si>
  <si>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</si>
  <si>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</si>
  <si>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</si>
  <si>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</si>
  <si>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</si>
  <si>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</si>
  <si>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</si>
  <si>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</si>
  <si>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</si>
  <si>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</si>
  <si>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</si>
  <si>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</si>
  <si>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</si>
  <si>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</si>
  <si>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</si>
  <si>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</si>
  <si>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</si>
  <si>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</si>
  <si>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</si>
  <si>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</si>
  <si>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</si>
  <si>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</si>
  <si>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</si>
  <si>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</si>
  <si>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</si>
  <si>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</si>
  <si>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</si>
  <si>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</si>
  <si>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</si>
  <si>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</si>
  <si>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</si>
  <si>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</si>
  <si>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</si>
  <si>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</si>
  <si>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</si>
  <si>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</si>
  <si>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</si>
  <si>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</si>
  <si>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</si>
  <si>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</si>
  <si>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</si>
  <si>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</si>
  <si>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</si>
  <si>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</si>
  <si>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</si>
  <si>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</si>
  <si>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</si>
  <si>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</si>
  <si>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</si>
  <si>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</si>
  <si>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</si>
  <si>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</si>
  <si>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</si>
  <si>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</si>
  <si>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</si>
  <si>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</si>
  <si>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</si>
  <si>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</si>
  <si>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</si>
  <si>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</si>
  <si>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</si>
  <si>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</si>
  <si>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</si>
  <si>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</si>
  <si>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</si>
  <si>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</si>
  <si>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</si>
  <si>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</si>
  <si>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</si>
  <si>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</si>
  <si>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</si>
  <si>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</si>
  <si>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</si>
  <si>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</si>
  <si>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</si>
  <si>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</si>
  <si>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</si>
  <si>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</si>
  <si>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</si>
  <si>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</si>
  <si>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</si>
  <si>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</si>
  <si>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</si>
  <si>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</si>
  <si>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</si>
  <si>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</si>
  <si>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</si>
  <si>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</si>
  <si>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</si>
  <si>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</si>
  <si>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</si>
  <si>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</si>
  <si>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</si>
  <si>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</si>
  <si>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</si>
  <si>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</si>
  <si>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</si>
  <si>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</si>
  <si>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</si>
  <si>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</si>
  <si>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</si>
  <si>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</si>
  <si>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</si>
  <si>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</si>
  <si>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</si>
  <si>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</si>
  <si>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</si>
  <si>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</si>
  <si>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</si>
  <si>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</si>
  <si>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</si>
  <si>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</si>
  <si>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</si>
  <si>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</si>
  <si>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</si>
  <si>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</si>
  <si>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</si>
  <si>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</si>
  <si>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</si>
  <si>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</si>
  <si>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</si>
  <si>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</si>
  <si>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</si>
  <si>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</si>
  <si>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</si>
  <si>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</si>
  <si>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</si>
  <si>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</si>
  <si>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</si>
  <si>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</si>
  <si>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</si>
  <si>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</si>
  <si>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</si>
  <si>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</si>
  <si>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</si>
  <si>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</si>
  <si>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</si>
  <si>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</si>
  <si>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</si>
  <si>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</si>
  <si>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</si>
  <si>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</si>
  <si>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</si>
  <si>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</si>
  <si>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</si>
  <si>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</si>
  <si>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</si>
  <si>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</si>
  <si>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</si>
  <si>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</si>
  <si>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</si>
  <si>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</si>
  <si>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</si>
  <si>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</si>
  <si>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</si>
  <si>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</si>
  <si>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</si>
  <si>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</si>
  <si>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</si>
  <si>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</si>
  <si>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</si>
  <si>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</si>
  <si>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</si>
  <si>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</si>
  <si>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</si>
  <si>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</si>
  <si>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</si>
  <si>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</si>
  <si>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</si>
  <si>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</si>
  <si>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</si>
  <si>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</si>
  <si>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</si>
  <si>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</si>
  <si>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</si>
  <si>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</si>
  <si>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</si>
  <si>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</si>
  <si>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</si>
  <si>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</si>
  <si>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</si>
  <si>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</si>
  <si>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</si>
  <si>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</si>
  <si>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</si>
  <si>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</si>
  <si>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</si>
  <si>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</si>
  <si>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</si>
  <si>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</si>
  <si>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</si>
  <si>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</si>
  <si>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</si>
  <si>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</si>
  <si>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</si>
  <si>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</si>
  <si>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</si>
  <si>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</si>
  <si>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</si>
  <si>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</si>
  <si>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</si>
  <si>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</si>
  <si>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</si>
  <si>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</si>
  <si>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</si>
  <si>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</si>
  <si>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</si>
  <si>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</si>
  <si>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</si>
  <si>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</si>
  <si>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</si>
  <si>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</si>
  <si>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</si>
  <si>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</si>
  <si>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</si>
  <si>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</si>
  <si>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</si>
  <si>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</si>
  <si>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</si>
  <si>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</si>
  <si>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</si>
  <si>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</si>
  <si>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</si>
  <si>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</si>
  <si>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</si>
  <si>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</si>
  <si>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</si>
  <si>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</si>
  <si>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</si>
  <si>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</si>
  <si>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</si>
  <si>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</si>
  <si>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</si>
  <si>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</si>
  <si>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</si>
  <si>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</si>
  <si>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</si>
  <si>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</si>
  <si>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</si>
  <si>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</si>
  <si>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</si>
  <si>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</si>
  <si>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</si>
  <si>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</si>
  <si>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</si>
  <si>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</si>
  <si>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</si>
  <si>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</si>
  <si>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</si>
  <si>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</si>
  <si>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</si>
  <si>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</si>
  <si>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</si>
  <si>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</si>
  <si>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</si>
  <si>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</si>
  <si>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</si>
  <si>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</si>
  <si>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</si>
  <si>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</si>
  <si>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</si>
  <si>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</si>
  <si>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</si>
  <si>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</si>
  <si>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</si>
  <si>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</si>
  <si>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</si>
  <si>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</si>
  <si>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</si>
  <si>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</si>
  <si>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</si>
  <si>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</si>
  <si>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</si>
  <si>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</si>
  <si>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</si>
  <si>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</si>
  <si>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</si>
  <si>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</si>
  <si>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</si>
  <si>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</si>
  <si>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</si>
  <si>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</si>
  <si>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</si>
  <si>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</si>
  <si>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</si>
  <si>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</si>
  <si>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</si>
  <si>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</si>
  <si>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</si>
  <si>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</si>
  <si>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</si>
  <si>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</si>
  <si>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</si>
  <si>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</si>
  <si>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</si>
  <si>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</si>
  <si>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</si>
  <si>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</si>
  <si>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</si>
  <si>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</si>
  <si>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</si>
  <si>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</si>
  <si>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</si>
  <si>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</si>
  <si>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</si>
  <si>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</si>
  <si>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</si>
  <si>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</si>
  <si>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</si>
  <si>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</si>
  <si>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</si>
  <si>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</si>
  <si>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</si>
  <si>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</si>
  <si>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</si>
  <si>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</si>
  <si>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</si>
  <si>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</si>
  <si>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</si>
  <si>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</si>
  <si>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</si>
  <si>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</si>
  <si>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</si>
  <si>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</si>
  <si>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</si>
  <si>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</si>
  <si>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</si>
  <si>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</si>
  <si>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</si>
  <si>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</si>
  <si>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</si>
  <si>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</si>
  <si>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</si>
  <si>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</si>
  <si>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</si>
  <si>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</si>
  <si>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</si>
  <si>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</si>
  <si>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</si>
  <si>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</si>
  <si>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</si>
  <si>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</si>
  <si>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</si>
  <si>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</si>
  <si>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</si>
  <si>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</si>
  <si>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</si>
  <si>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</si>
  <si>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</si>
  <si>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</si>
  <si>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</si>
  <si>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</si>
  <si>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</si>
  <si>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</si>
  <si>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</si>
  <si>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</si>
  <si>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</si>
  <si>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</si>
  <si>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</si>
  <si>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</si>
  <si>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</si>
  <si>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</si>
  <si>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</si>
  <si>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</si>
  <si>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</si>
  <si>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</si>
  <si>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</si>
  <si>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</si>
  <si>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</si>
  <si>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</si>
  <si>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</si>
  <si>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</si>
  <si>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</si>
  <si>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</si>
  <si>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</si>
  <si>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</si>
  <si>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</si>
  <si>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</si>
  <si>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</si>
  <si>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</si>
  <si>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</si>
  <si>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</si>
  <si>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</si>
  <si>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</si>
  <si>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</si>
  <si>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</si>
  <si>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</si>
  <si>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</si>
  <si>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</si>
  <si>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</si>
  <si>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</si>
  <si>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</si>
  <si>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</si>
  <si>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</si>
  <si>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</si>
  <si>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</si>
  <si>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</si>
  <si>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</si>
  <si>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</si>
  <si>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</si>
  <si>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</si>
  <si>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</si>
  <si>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</si>
  <si>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</si>
  <si>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</si>
  <si>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</si>
  <si>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</si>
  <si>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</si>
  <si>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</si>
  <si>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</si>
  <si>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</si>
  <si>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</si>
  <si>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</si>
  <si>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</si>
  <si>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</si>
  <si>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</si>
  <si>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</si>
  <si>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</si>
  <si>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</si>
  <si>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</si>
  <si>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</si>
  <si>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</si>
  <si>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</si>
  <si>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</si>
  <si>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</si>
  <si>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</si>
  <si>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</si>
  <si>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</si>
  <si>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</si>
  <si>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</si>
  <si>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</si>
  <si>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</si>
  <si>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</si>
  <si>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</si>
  <si>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</si>
  <si>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</si>
  <si>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</si>
  <si>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</si>
  <si>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</si>
  <si>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</si>
  <si>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</si>
  <si>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</si>
  <si>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</si>
  <si>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</si>
  <si>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</si>
  <si>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</si>
  <si>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</si>
  <si>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</si>
  <si>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</si>
  <si>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</si>
  <si>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</si>
  <si>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</si>
  <si>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</si>
  <si>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</si>
  <si>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</si>
  <si>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</si>
  <si>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</si>
  <si>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</si>
  <si>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</si>
  <si>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</si>
  <si>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</si>
  <si>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</si>
  <si>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</si>
  <si>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</si>
  <si>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</si>
  <si>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</si>
  <si>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</si>
  <si>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</si>
  <si>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</si>
  <si>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</si>
  <si>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</si>
  <si>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</si>
  <si>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</si>
  <si>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</si>
  <si>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</si>
  <si>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</si>
  <si>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</si>
  <si>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</si>
  <si>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</si>
  <si>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</si>
  <si>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</si>
  <si>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</si>
  <si>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</si>
  <si>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</si>
  <si>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</si>
  <si>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</si>
  <si>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</si>
  <si>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</si>
  <si>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</si>
  <si>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</si>
  <si>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</si>
  <si>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</si>
  <si>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</si>
  <si>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</si>
  <si>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</si>
  <si>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</si>
  <si>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</si>
  <si>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</si>
  <si>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</si>
  <si>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</si>
  <si>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</si>
  <si>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</si>
  <si>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</si>
  <si>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</si>
  <si>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</si>
  <si>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</si>
  <si>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</si>
  <si>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</si>
  <si>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</si>
  <si>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</si>
  <si>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</si>
  <si>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</si>
  <si>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</si>
  <si>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</si>
  <si>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</si>
  <si>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</si>
  <si>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</si>
  <si>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</si>
  <si>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</si>
  <si>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</si>
  <si>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</si>
  <si>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</si>
  <si>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</si>
  <si>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</si>
  <si>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</si>
  <si>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</si>
  <si>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</si>
  <si>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</si>
  <si>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</si>
  <si>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</si>
  <si>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</si>
  <si>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</si>
  <si>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</si>
  <si>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</si>
  <si>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</si>
  <si>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</si>
  <si>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</si>
  <si>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</si>
  <si>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</si>
  <si>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</si>
  <si>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</si>
  <si>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</si>
  <si>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</si>
  <si>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</si>
  <si>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</si>
  <si>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</si>
  <si>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</si>
  <si>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</si>
  <si>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</si>
  <si>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</si>
  <si>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</si>
  <si>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</si>
  <si>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</si>
  <si>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</si>
  <si>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</si>
  <si>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</si>
  <si>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</si>
  <si>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</si>
  <si>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</si>
  <si>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</si>
  <si>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</si>
  <si>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</si>
  <si>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</si>
  <si>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</si>
  <si>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</si>
  <si>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</si>
  <si>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</si>
  <si>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</si>
  <si>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</si>
  <si>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</si>
  <si>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</si>
  <si>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</si>
  <si>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</si>
  <si>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</si>
  <si>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</si>
  <si>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</si>
  <si>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</si>
  <si>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</si>
  <si>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</si>
  <si>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</si>
  <si>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</si>
  <si>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</si>
  <si>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</si>
  <si>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</si>
  <si>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</si>
  <si>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</si>
  <si>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</si>
  <si>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</si>
  <si>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</si>
  <si>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</si>
  <si>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</si>
  <si>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</si>
  <si>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</si>
  <si>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</si>
  <si>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</si>
  <si>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</si>
  <si>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</si>
  <si>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</si>
  <si>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</si>
  <si>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</si>
  <si>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</si>
  <si>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</si>
  <si>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</si>
  <si>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</si>
  <si>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</si>
  <si>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</si>
  <si>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</si>
  <si>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</si>
  <si>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</si>
  <si>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</si>
  <si>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</si>
  <si>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</si>
  <si>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</si>
  <si>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</si>
  <si>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</si>
  <si>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</si>
  <si>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</si>
  <si>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</si>
  <si>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</si>
  <si>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</si>
  <si>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</si>
  <si>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</si>
  <si>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</si>
  <si>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</si>
  <si>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</si>
  <si>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</si>
  <si>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</si>
  <si>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</si>
  <si>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</si>
  <si>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</si>
  <si>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</si>
  <si>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</si>
  <si>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</si>
  <si>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</si>
  <si>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</si>
  <si>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</si>
  <si>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</si>
  <si>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</si>
  <si>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</si>
  <si>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</si>
  <si>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</si>
  <si>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</si>
  <si>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</si>
  <si>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</si>
  <si>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</si>
  <si>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</si>
  <si>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</si>
  <si>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</si>
  <si>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</si>
  <si>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</si>
  <si>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</si>
  <si>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</si>
  <si>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</si>
  <si>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</si>
  <si>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</si>
  <si>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</si>
  <si>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</si>
  <si>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</si>
  <si>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</si>
  <si>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</si>
  <si>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</si>
  <si>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</si>
  <si>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</si>
  <si>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</si>
  <si>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</si>
  <si>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</si>
  <si>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</si>
  <si>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</si>
  <si>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</si>
  <si>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</si>
  <si>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</si>
  <si>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</si>
  <si>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</si>
  <si>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</si>
  <si>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</si>
  <si>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</si>
  <si>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</si>
  <si>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</si>
  <si>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</si>
  <si>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</si>
  <si>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</si>
  <si>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</si>
  <si>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</si>
  <si>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</si>
  <si>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</si>
  <si>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</si>
  <si>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</si>
  <si>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</si>
  <si>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</si>
  <si>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</si>
  <si>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</si>
  <si>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</si>
  <si>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</si>
  <si>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</si>
  <si>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</si>
  <si>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</si>
  <si>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</si>
  <si>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</si>
  <si>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</si>
  <si>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</si>
  <si>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</si>
  <si>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</si>
  <si>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</si>
  <si>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</si>
  <si>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</si>
  <si>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</si>
  <si>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</si>
  <si>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</si>
  <si>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</si>
  <si>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</si>
  <si>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</si>
  <si>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</si>
  <si>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</si>
  <si>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</si>
  <si>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</si>
  <si>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</si>
  <si>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</si>
  <si>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</si>
  <si>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</si>
  <si>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</si>
  <si>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</si>
  <si>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</si>
  <si>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</si>
  <si>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</si>
  <si>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</si>
  <si>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</si>
  <si>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</si>
  <si>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</si>
  <si>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</si>
  <si>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</si>
  <si>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</si>
  <si>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</si>
  <si>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</si>
  <si>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</si>
  <si>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</si>
  <si>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</si>
  <si>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</si>
  <si>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</si>
  <si>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</si>
  <si>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</si>
  <si>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</si>
  <si>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</si>
  <si>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</si>
  <si>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</si>
  <si>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</si>
  <si>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</si>
  <si>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</si>
  <si>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</si>
  <si>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</si>
  <si>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</si>
  <si>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</si>
  <si>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</si>
  <si>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</si>
  <si>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</si>
  <si>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</si>
  <si>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</si>
  <si>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</si>
  <si>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</si>
  <si>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</si>
  <si>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</si>
  <si>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</si>
  <si>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</si>
  <si>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</si>
  <si>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</si>
  <si>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</si>
  <si>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</si>
  <si>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</si>
  <si>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</si>
  <si>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</si>
  <si>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</si>
  <si>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</si>
  <si>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</si>
  <si>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</si>
  <si>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</si>
  <si>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</si>
  <si>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</si>
  <si>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</si>
  <si>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</si>
  <si>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</si>
  <si>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</si>
  <si>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</si>
  <si>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</si>
  <si>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</si>
  <si>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</si>
  <si>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</si>
  <si>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</si>
  <si>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</si>
  <si>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</si>
  <si>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</si>
  <si>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</si>
  <si>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</si>
  <si>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</si>
  <si>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</si>
  <si>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</si>
  <si>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</si>
  <si>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</si>
  <si>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</si>
  <si>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</si>
  <si>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</si>
  <si>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</si>
  <si>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</si>
  <si>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</si>
  <si>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</si>
  <si>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</si>
  <si>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</si>
  <si>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</si>
  <si>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</si>
  <si>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</si>
  <si>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</si>
  <si>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</si>
  <si>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</si>
  <si>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</si>
  <si>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</si>
  <si>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</si>
  <si>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</si>
  <si>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</si>
  <si>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</si>
  <si>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</si>
  <si>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</si>
  <si>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</si>
  <si>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</si>
  <si>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</si>
  <si>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</si>
  <si>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</si>
  <si>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</si>
  <si>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</si>
  <si>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</si>
  <si>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</si>
  <si>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</si>
  <si>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</si>
  <si>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</si>
  <si>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</si>
  <si>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</si>
  <si>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</si>
  <si>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</si>
  <si>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</si>
  <si>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</si>
  <si>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</si>
  <si>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</si>
  <si>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</si>
  <si>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</si>
  <si>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</si>
  <si>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</si>
  <si>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</si>
  <si>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</si>
  <si>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</si>
  <si>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</si>
  <si>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</si>
  <si>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</si>
  <si>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</si>
  <si>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</si>
  <si>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</si>
  <si>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</si>
  <si>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</si>
  <si>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</si>
  <si>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</si>
  <si>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</si>
  <si>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</si>
  <si>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</si>
  <si>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</si>
  <si>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</si>
  <si>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</si>
  <si>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</si>
  <si>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</si>
  <si>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</si>
  <si>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</si>
  <si>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</si>
  <si>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</si>
  <si>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</si>
  <si>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</si>
  <si>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</si>
  <si>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</si>
  <si>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</si>
  <si>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</si>
  <si>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</si>
  <si>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</si>
  <si>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</si>
  <si>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</si>
  <si>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</si>
  <si>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</si>
  <si>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</si>
  <si>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</si>
  <si>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</si>
  <si>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</si>
  <si>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</si>
  <si>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</si>
  <si>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</si>
  <si>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</si>
  <si>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</si>
  <si>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</si>
  <si>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</si>
  <si>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</si>
  <si>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</si>
  <si>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</si>
  <si>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</si>
  <si>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</si>
  <si>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</si>
  <si>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</si>
  <si>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</si>
  <si>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</si>
  <si>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</si>
  <si>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</si>
  <si>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</si>
  <si>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</si>
  <si>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</si>
  <si>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</si>
  <si>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</si>
  <si>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</si>
  <si>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</si>
  <si>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</si>
  <si>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</si>
  <si>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</si>
  <si>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</si>
  <si>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</si>
  <si>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</si>
  <si>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</si>
  <si>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</si>
  <si>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</si>
  <si>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</si>
  <si>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</si>
  <si>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</si>
  <si>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</si>
  <si>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</si>
  <si>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</si>
  <si>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</si>
  <si>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</si>
  <si>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</si>
  <si>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</si>
  <si>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</si>
  <si>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</si>
  <si>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</si>
  <si>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</si>
  <si>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</si>
  <si>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</si>
  <si>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</si>
  <si>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</si>
  <si>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</si>
  <si>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</si>
  <si>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</si>
  <si>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</si>
  <si>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</si>
  <si>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</si>
  <si>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</si>
  <si>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</si>
  <si>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</si>
  <si>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</si>
  <si>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</si>
  <si>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</si>
  <si>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</si>
  <si>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</si>
  <si>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</si>
  <si>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</si>
  <si>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</si>
  <si>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</si>
  <si>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</si>
  <si>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</si>
  <si>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</si>
  <si>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</si>
  <si>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</si>
  <si>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</si>
  <si>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</si>
  <si>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</si>
  <si>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</si>
  <si>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</si>
  <si>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</si>
  <si>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</si>
  <si>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</si>
  <si>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</si>
  <si>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</si>
  <si>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</si>
  <si>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</si>
  <si>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</si>
  <si>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</si>
  <si>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</si>
  <si>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</si>
  <si>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</si>
  <si>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</si>
  <si>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</si>
  <si>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</si>
  <si>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</si>
  <si>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</si>
  <si>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</si>
  <si>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</si>
  <si>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</si>
  <si>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</si>
  <si>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</si>
  <si>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</si>
  <si>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</si>
  <si>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</si>
  <si>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</si>
  <si>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</si>
  <si>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</si>
  <si>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</si>
  <si>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</si>
  <si>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</si>
  <si>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</si>
  <si>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</si>
  <si>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</si>
  <si>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</si>
  <si>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</si>
  <si>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</si>
  <si>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</si>
  <si>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</si>
  <si>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</si>
  <si>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</si>
  <si>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</si>
  <si>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</si>
  <si>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</si>
  <si>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</si>
  <si>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</si>
  <si>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</si>
  <si>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</si>
  <si>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</si>
  <si>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</si>
  <si>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</si>
  <si>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</si>
  <si>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</si>
  <si>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</si>
  <si>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</si>
  <si>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</si>
  <si>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</si>
  <si>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</si>
  <si>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</si>
  <si>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</si>
  <si>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</si>
  <si>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</si>
  <si>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</si>
  <si>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</si>
  <si>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</si>
  <si>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</si>
  <si>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</si>
  <si>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</si>
  <si>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</si>
  <si>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</si>
  <si>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</si>
  <si>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</si>
  <si>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</si>
  <si>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</si>
  <si>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</si>
  <si>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</si>
  <si>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</si>
  <si>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</si>
  <si>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</si>
  <si>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</si>
  <si>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</si>
  <si>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</si>
  <si>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</si>
  <si>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</si>
  <si>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</si>
  <si>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</si>
  <si>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</si>
  <si>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</si>
  <si>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</si>
  <si>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</si>
  <si>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</si>
  <si>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</si>
  <si>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</si>
  <si>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</si>
  <si>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</si>
  <si>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</si>
  <si>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</si>
  <si>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</si>
  <si>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</si>
  <si>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</si>
  <si>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</si>
  <si>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</si>
  <si>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</si>
  <si>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</si>
  <si>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</si>
  <si>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</si>
  <si>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</si>
  <si>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</si>
  <si>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</si>
  <si>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</si>
  <si>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</si>
  <si>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</si>
  <si>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</si>
  <si>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</si>
  <si>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</si>
  <si>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</si>
  <si>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</si>
  <si>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</si>
  <si>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</si>
  <si>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</si>
  <si>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</si>
  <si>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</si>
  <si>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</si>
  <si>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</si>
  <si>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</si>
  <si>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</si>
  <si>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</si>
  <si>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</si>
  <si>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</si>
  <si>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</si>
  <si>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</si>
  <si>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</si>
  <si>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</si>
  <si>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</si>
  <si>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</si>
  <si>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</si>
  <si>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</si>
  <si>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</si>
  <si>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</si>
  <si>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</si>
  <si>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</si>
  <si>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</si>
  <si>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</si>
  <si>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</si>
  <si>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</si>
  <si>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</si>
  <si>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</si>
  <si>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</si>
  <si>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</si>
  <si>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</si>
  <si>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</si>
  <si>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</si>
  <si>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</si>
  <si>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</si>
  <si>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</si>
  <si>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</si>
  <si>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</si>
  <si>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</si>
  <si>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</si>
  <si>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</si>
  <si>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</si>
  <si>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</si>
  <si>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</si>
  <si>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</si>
  <si>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</si>
  <si>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</si>
  <si>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</si>
  <si>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</si>
  <si>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</si>
  <si>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</si>
  <si>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</si>
  <si>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</si>
  <si>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</si>
  <si>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</si>
  <si>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</si>
  <si>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</si>
  <si>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</si>
  <si>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</si>
  <si>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</si>
  <si>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</si>
  <si>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</si>
  <si>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</si>
  <si>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</si>
  <si>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</si>
  <si>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</si>
  <si>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</si>
  <si>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</si>
  <si>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</si>
  <si>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</si>
  <si>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</si>
  <si>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</si>
  <si>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</si>
  <si>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</si>
  <si>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</si>
  <si>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</si>
  <si>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</si>
  <si>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</si>
  <si>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</si>
  <si>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</si>
  <si>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</si>
  <si>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</si>
  <si>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</si>
  <si>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</si>
  <si>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</si>
  <si>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</si>
  <si>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</si>
  <si>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</si>
  <si>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</si>
  <si>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</si>
  <si>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</si>
  <si>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</si>
  <si>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</si>
  <si>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</si>
  <si>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</si>
  <si>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</si>
  <si>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</si>
  <si>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</si>
  <si>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</si>
  <si>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</si>
  <si>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</si>
  <si>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</si>
  <si>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</si>
  <si>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</si>
  <si>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</si>
  <si>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</si>
  <si>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</si>
  <si>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</si>
  <si>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</si>
  <si>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</si>
  <si>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</si>
  <si>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</si>
  <si>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</si>
  <si>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</si>
  <si>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</si>
  <si>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</si>
  <si>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</si>
  <si>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</si>
  <si>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</si>
  <si>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</si>
  <si>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</si>
  <si>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</si>
  <si>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</si>
  <si>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</si>
  <si>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</si>
  <si>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</si>
  <si>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</si>
  <si>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</si>
  <si>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</si>
  <si>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</si>
  <si>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</si>
  <si>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</si>
  <si>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</si>
  <si>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</si>
  <si>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</si>
  <si>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</si>
  <si>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</si>
  <si>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</si>
  <si>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</si>
  <si>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</si>
  <si>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</si>
  <si>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</si>
  <si>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</si>
  <si>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</si>
  <si>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</si>
  <si>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</si>
  <si>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</si>
  <si>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</si>
  <si>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</si>
  <si>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</si>
  <si>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</si>
  <si>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</si>
  <si>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</si>
  <si>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</si>
  <si>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</si>
  <si>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</si>
  <si>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</si>
  <si>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</si>
  <si>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</si>
  <si>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</si>
  <si>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</si>
  <si>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</si>
  <si>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</si>
  <si>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</si>
  <si>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</si>
  <si>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</si>
  <si>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</si>
  <si>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</si>
  <si>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</si>
  <si>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</si>
  <si>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</si>
  <si>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</si>
  <si>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</si>
  <si>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</si>
  <si>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</si>
  <si>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</si>
  <si>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</si>
  <si>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</si>
  <si>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</si>
  <si>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</si>
  <si>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</si>
  <si>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</si>
  <si>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</si>
  <si>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</si>
  <si>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</si>
  <si>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</si>
  <si>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</si>
  <si>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</si>
  <si>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</si>
  <si>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</si>
  <si>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</si>
  <si>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</si>
  <si>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</si>
  <si>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</si>
  <si>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</si>
  <si>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</si>
  <si>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</si>
  <si>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</si>
  <si>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</si>
  <si>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</si>
  <si>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</si>
  <si>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</si>
  <si>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</si>
  <si>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</si>
  <si>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</si>
  <si>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</si>
  <si>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</si>
  <si>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</si>
  <si>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</si>
  <si>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</si>
  <si>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</si>
  <si>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</si>
  <si>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</si>
  <si>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</si>
  <si>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</si>
  <si>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</si>
  <si>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</si>
  <si>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</si>
  <si>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</si>
  <si>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</si>
  <si>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</si>
  <si>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</si>
  <si>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</si>
  <si>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</si>
  <si>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</si>
  <si>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</si>
  <si>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</si>
  <si>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</si>
  <si>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</si>
  <si>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</si>
  <si>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</si>
  <si>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</si>
  <si>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</si>
  <si>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</si>
  <si>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</si>
  <si>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</si>
  <si>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</si>
  <si>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</si>
  <si>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</si>
  <si>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</si>
  <si>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</si>
  <si>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</si>
  <si>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</si>
  <si>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</si>
  <si>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</si>
  <si>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</si>
  <si>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</si>
  <si>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</si>
  <si>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</si>
  <si>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</si>
  <si>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</si>
  <si>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</si>
  <si>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</si>
  <si>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</si>
  <si>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</si>
  <si>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</si>
  <si>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</si>
  <si>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</si>
  <si>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</si>
  <si>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</si>
  <si>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</si>
  <si>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</si>
  <si>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</si>
  <si>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</si>
  <si>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</si>
  <si>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</si>
  <si>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</si>
  <si>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</si>
  <si>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</si>
  <si>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</si>
  <si>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</si>
  <si>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</si>
  <si>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</si>
  <si>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</si>
  <si>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</si>
  <si>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</si>
  <si>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</si>
  <si>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</si>
  <si>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</si>
  <si>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</si>
  <si>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</si>
  <si>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</si>
  <si>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</si>
  <si>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</si>
  <si>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</si>
  <si>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</si>
  <si>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</si>
  <si>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</si>
  <si>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</si>
  <si>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</si>
  <si>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</si>
  <si>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</si>
  <si>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</si>
  <si>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</si>
  <si>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</si>
  <si>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</si>
  <si>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</si>
  <si>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</si>
  <si>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</si>
  <si>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</si>
  <si>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</si>
  <si>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</si>
  <si>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</si>
  <si>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</si>
  <si>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</si>
  <si>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</si>
  <si>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</si>
  <si>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</si>
  <si>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</si>
  <si>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</si>
  <si>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</si>
  <si>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</si>
  <si>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</si>
  <si>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</si>
  <si>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</si>
  <si>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</si>
  <si>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</si>
  <si>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</si>
  <si>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</si>
  <si>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</si>
  <si>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</si>
  <si>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</si>
  <si>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</si>
  <si>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</si>
  <si>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</si>
  <si>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</si>
  <si>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</si>
  <si>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</si>
  <si>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</si>
  <si>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</si>
  <si>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</si>
  <si>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</si>
  <si>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</si>
  <si>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</si>
  <si>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</si>
  <si>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</si>
  <si>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</si>
  <si>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</si>
  <si>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</si>
  <si>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</si>
  <si>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</si>
  <si>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</si>
  <si>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</si>
  <si>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</si>
  <si>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</si>
  <si>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</si>
  <si>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</si>
  <si>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</si>
  <si>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</si>
  <si>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</si>
  <si>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</si>
  <si>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</si>
  <si>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</si>
  <si>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</si>
  <si>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</si>
  <si>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</si>
  <si>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</si>
  <si>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</si>
  <si>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</si>
  <si>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</si>
  <si>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</si>
  <si>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</si>
  <si>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</si>
  <si>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</si>
  <si>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</si>
  <si>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</si>
  <si>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</si>
  <si>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</si>
  <si>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</si>
  <si>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</si>
  <si>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</si>
  <si>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</si>
  <si>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</si>
  <si>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</si>
  <si>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</si>
  <si>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</si>
  <si>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</si>
  <si>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</si>
  <si>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</si>
  <si>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</si>
  <si>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</si>
  <si>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</si>
  <si>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</si>
  <si>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</si>
  <si>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</si>
  <si>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</si>
  <si>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</si>
  <si>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</si>
  <si>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</si>
  <si>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</si>
  <si>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</si>
  <si>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</si>
  <si>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</si>
  <si>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</si>
  <si>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</si>
  <si>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</si>
  <si>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</si>
  <si>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</si>
  <si>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</si>
  <si>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</si>
  <si>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</si>
  <si>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</si>
  <si>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</si>
  <si>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</si>
  <si>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GASB 75</t>
  </si>
  <si>
    <t>Marshall</t>
  </si>
  <si>
    <t>Henry-Senachwine CUSD 5</t>
  </si>
  <si>
    <t>1023 College</t>
  </si>
  <si>
    <t xml:space="preserve">Henry  </t>
  </si>
  <si>
    <t>mmiller@hscud5.org</t>
  </si>
  <si>
    <t>Michael S. Miller</t>
  </si>
  <si>
    <t>309-364-3614</t>
  </si>
  <si>
    <t>309-364-2990</t>
  </si>
  <si>
    <t>Hopkins &amp; Associates, CPAs</t>
  </si>
  <si>
    <t>Kim Bird</t>
  </si>
  <si>
    <t>314 S McCoy St</t>
  </si>
  <si>
    <t>Granville</t>
  </si>
  <si>
    <t>IL</t>
  </si>
  <si>
    <t>815-339-6630</t>
  </si>
  <si>
    <t>815-339-6643</t>
  </si>
  <si>
    <t>066-004501</t>
  </si>
  <si>
    <t>kim@hopkinsoffice.com</t>
  </si>
  <si>
    <t>GO Bonds</t>
  </si>
  <si>
    <t>LP HA - ACC Classes; Midland - Ag Classes</t>
  </si>
  <si>
    <t>BMP Special Ed Coop</t>
  </si>
  <si>
    <t xml:space="preserve">Co-op with Midland track, football, cross country; Low-Point </t>
  </si>
  <si>
    <t>20-1999 - Scoreboard sponsorship</t>
  </si>
  <si>
    <t>PDC/Area Companies</t>
  </si>
  <si>
    <t>20-2540-300</t>
  </si>
  <si>
    <t xml:space="preserve">O&amp;M-Plant Maintenance- Purchased Services </t>
  </si>
  <si>
    <t>American Pest Control</t>
  </si>
  <si>
    <t>Mechanical, Inc.</t>
  </si>
  <si>
    <t>AT&amp;T</t>
  </si>
  <si>
    <t>Frontier</t>
  </si>
  <si>
    <t>Verizon Wireless</t>
  </si>
  <si>
    <t>Sprint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</si>
</sst>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562841</xdr:colOff>
          <xdr:row>3</xdr:row>
          <xdr:rowOff>77932</xdr:rowOff>
        </xdr:from>
        <xdr:to>
          <xdr:col>1</xdr:col>
          <xdr:colOff>1474643</xdr:colOff>
          <xdr:row>7</xdr:row>
          <xdr:rowOff>116032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32FD96C6-C42D-49E7-B732-3629E54B24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t="s">
        <v>2077</v>
      </c>
      <c r="C5" s="26" t="s">
        <v>966</v>
      </c>
      <c r="D5" s="84"/>
      <c r="E5" s="84"/>
      <c r="H5" s="38"/>
      <c r="I5" s="2041" t="s">
        <v>701</v>
      </c>
      <c r="J5" s="1986"/>
      <c r="K5" s="1986"/>
      <c r="L5" s="1986"/>
      <c r="M5" s="1986"/>
      <c r="N5" s="1986"/>
      <c r="O5" s="1986"/>
      <c r="P5" s="1986"/>
      <c r="Q5" s="1986"/>
      <c r="R5" s="1986"/>
      <c r="S5" s="1986"/>
    </row>
    <row r="6" spans="1:28" ht="14.1" customHeight="1" x14ac:dyDescent="0.2">
      <c r="B6" s="104"/>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t="s">
        <v>2077</v>
      </c>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2">
        <v>35059005026</v>
      </c>
      <c r="B13" s="2003"/>
      <c r="C13" s="2003"/>
      <c r="D13" s="2003"/>
      <c r="E13" s="2003"/>
      <c r="F13" s="2003"/>
      <c r="G13" s="2003"/>
      <c r="H13" s="2004"/>
      <c r="I13" s="31"/>
      <c r="J13" s="30"/>
      <c r="K13" s="28"/>
      <c r="L13" s="30"/>
      <c r="M13" s="30"/>
      <c r="N13" s="30"/>
      <c r="O13" s="30"/>
      <c r="P13" s="30"/>
      <c r="Q13" s="30"/>
      <c r="R13" s="30"/>
      <c r="S13" s="30"/>
      <c r="T13" s="2007" t="s">
        <v>2087</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2079</v>
      </c>
      <c r="B15" s="2005"/>
      <c r="C15" s="2005"/>
      <c r="D15" s="2005"/>
      <c r="E15" s="2005"/>
      <c r="F15" s="2005"/>
      <c r="G15" s="2005"/>
      <c r="H15" s="2006"/>
      <c r="T15" s="1968" t="s">
        <v>2088</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2080</v>
      </c>
      <c r="B17" s="2030"/>
      <c r="C17" s="2030"/>
      <c r="D17" s="2030"/>
      <c r="E17" s="2030"/>
      <c r="F17" s="2030"/>
      <c r="G17" s="2030"/>
      <c r="H17" s="2031"/>
      <c r="T17" s="2017" t="s">
        <v>2089</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2081</v>
      </c>
      <c r="B19" s="2001"/>
      <c r="C19" s="2001"/>
      <c r="D19" s="2001"/>
      <c r="E19" s="2001"/>
      <c r="F19" s="2001"/>
      <c r="G19" s="2001"/>
      <c r="H19" s="1999"/>
      <c r="I19" s="30"/>
      <c r="J19" s="99"/>
      <c r="K19" s="40"/>
      <c r="L19" s="38"/>
      <c r="M19" s="112" t="s">
        <v>333</v>
      </c>
      <c r="P19" s="27"/>
      <c r="Q19" s="27"/>
      <c r="R19" s="27"/>
      <c r="S19" s="31"/>
      <c r="T19" s="2000" t="s">
        <v>2090</v>
      </c>
      <c r="U19" s="1998"/>
      <c r="V19" s="1998"/>
      <c r="W19" s="1999"/>
      <c r="X19" s="2015" t="s">
        <v>2091</v>
      </c>
      <c r="Y19" s="2016"/>
      <c r="Z19" s="2013">
        <v>61326</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2082</v>
      </c>
      <c r="B21" s="1998"/>
      <c r="C21" s="1998"/>
      <c r="D21" s="1998"/>
      <c r="E21" s="1998"/>
      <c r="F21" s="1998"/>
      <c r="G21" s="1998"/>
      <c r="H21" s="1999"/>
      <c r="I21" s="2023" t="s">
        <v>699</v>
      </c>
      <c r="J21" s="1986"/>
      <c r="K21" s="1986"/>
      <c r="L21" s="1986"/>
      <c r="M21" s="1986"/>
      <c r="N21" s="1986"/>
      <c r="O21" s="1986"/>
      <c r="P21" s="1986"/>
      <c r="Q21" s="1986"/>
      <c r="R21" s="1986"/>
      <c r="S21" s="1987"/>
      <c r="T21" s="1965" t="s">
        <v>2092</v>
      </c>
      <c r="U21" s="1966"/>
      <c r="V21" s="1966"/>
      <c r="W21" s="1966"/>
      <c r="X21" s="1979" t="s">
        <v>2093</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t="s">
        <v>2083</v>
      </c>
      <c r="B23" s="2021"/>
      <c r="C23" s="2021"/>
      <c r="D23" s="2021"/>
      <c r="E23" s="2021"/>
      <c r="F23" s="2021"/>
      <c r="G23" s="2021"/>
      <c r="H23" s="2022"/>
      <c r="T23" s="1960" t="s">
        <v>2094</v>
      </c>
      <c r="U23" s="1961"/>
      <c r="V23" s="1961"/>
      <c r="W23" s="1961"/>
      <c r="X23" s="1976">
        <v>43434</v>
      </c>
      <c r="Y23" s="1977"/>
      <c r="Z23" s="1977"/>
      <c r="AA23" s="1978"/>
    </row>
    <row r="24" spans="1:27" ht="14.1" customHeight="1" x14ac:dyDescent="0.2">
      <c r="A24" s="88" t="s">
        <v>698</v>
      </c>
      <c r="B24" s="49"/>
      <c r="C24" s="49"/>
      <c r="D24" s="49"/>
      <c r="E24" s="49"/>
      <c r="F24" s="49"/>
      <c r="G24" s="49"/>
      <c r="H24" s="61"/>
      <c r="J24" s="2062">
        <f>IF(B5="x",IF(AUDITCHECK!D29="AFR form Incomplete.","",IF(AUDITCHECK!D29="Deficit reduction plan is required.","School District must complete a deficit reduction plan in the 2018-2019 Budget",)),"")</f>
        <v>0</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v>61537</v>
      </c>
      <c r="B25" s="1998"/>
      <c r="C25" s="1998"/>
      <c r="D25" s="1998"/>
      <c r="E25" s="1998"/>
      <c r="F25" s="1998"/>
      <c r="G25" s="1998"/>
      <c r="H25" s="1999"/>
      <c r="I25" s="113"/>
      <c r="J25" s="2064"/>
      <c r="K25" s="2064"/>
      <c r="L25" s="2064"/>
      <c r="M25" s="2064"/>
      <c r="N25" s="2064"/>
      <c r="O25" s="2064"/>
      <c r="P25" s="2064"/>
      <c r="Q25" s="2064"/>
      <c r="R25" s="2064"/>
      <c r="S25" s="2065"/>
      <c r="T25" s="1957" t="s">
        <v>2095</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t="s">
        <v>2084</v>
      </c>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t="s">
        <v>2083</v>
      </c>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t="s">
        <v>2085</v>
      </c>
      <c r="B42" s="2047"/>
      <c r="C42" s="2048"/>
      <c r="D42" s="2061" t="s">
        <v>2086</v>
      </c>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9" sqref="E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2960807</v>
      </c>
      <c r="C4" s="1546"/>
      <c r="D4" s="1774">
        <f>B4-C4</f>
        <v>2960807</v>
      </c>
      <c r="E4" s="1546">
        <f>102206495*0.0288</f>
        <v>2943547.0559999999</v>
      </c>
      <c r="F4" s="1774">
        <f>E4-C4</f>
        <v>2943547.0559999999</v>
      </c>
    </row>
    <row r="5" spans="1:6" ht="13.7" customHeight="1" x14ac:dyDescent="0.2">
      <c r="A5" s="716" t="s">
        <v>925</v>
      </c>
      <c r="B5" s="1772">
        <f>'Revenues 9-14'!D5</f>
        <v>616834</v>
      </c>
      <c r="C5" s="585"/>
      <c r="D5" s="1775">
        <f t="shared" ref="D5:D18" si="0">B5-C5</f>
        <v>616834</v>
      </c>
      <c r="E5" s="585">
        <f>0.006*102206495</f>
        <v>613238.97</v>
      </c>
      <c r="F5" s="1775">
        <f>E5-C5</f>
        <v>613238.97</v>
      </c>
    </row>
    <row r="6" spans="1:6" ht="13.7" customHeight="1" x14ac:dyDescent="0.2">
      <c r="A6" s="716" t="s">
        <v>431</v>
      </c>
      <c r="B6" s="1772">
        <f>'Revenues 9-14'!E5</f>
        <v>310279</v>
      </c>
      <c r="C6" s="585"/>
      <c r="D6" s="1775">
        <f t="shared" si="0"/>
        <v>310279</v>
      </c>
      <c r="E6" s="585"/>
      <c r="F6" s="1775">
        <f t="shared" ref="F6:F18" si="1">E6-C6</f>
        <v>0</v>
      </c>
    </row>
    <row r="7" spans="1:6" ht="13.7" customHeight="1" x14ac:dyDescent="0.2">
      <c r="A7" s="716" t="s">
        <v>157</v>
      </c>
      <c r="B7" s="1772">
        <f>'Revenues 9-14'!F5</f>
        <v>205610</v>
      </c>
      <c r="C7" s="585"/>
      <c r="D7" s="1775">
        <f t="shared" si="0"/>
        <v>205610</v>
      </c>
      <c r="E7" s="585">
        <f>102206495*0.002</f>
        <v>204412.99</v>
      </c>
      <c r="F7" s="1775">
        <f t="shared" si="1"/>
        <v>204412.99</v>
      </c>
    </row>
    <row r="8" spans="1:6" ht="13.7" customHeight="1" x14ac:dyDescent="0.2">
      <c r="A8" s="716" t="s">
        <v>1241</v>
      </c>
      <c r="B8" s="1772">
        <f>'Revenues 9-14'!G5</f>
        <v>141300</v>
      </c>
      <c r="C8" s="585"/>
      <c r="D8" s="1775">
        <f t="shared" si="0"/>
        <v>141300</v>
      </c>
      <c r="E8" s="585">
        <v>143007</v>
      </c>
      <c r="F8" s="1775">
        <f t="shared" si="1"/>
        <v>143007</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53449</v>
      </c>
      <c r="C10" s="585"/>
      <c r="D10" s="1775">
        <f t="shared" si="0"/>
        <v>53449</v>
      </c>
      <c r="E10" s="585">
        <f>102206495*0.0005</f>
        <v>51103.247499999998</v>
      </c>
      <c r="F10" s="1775">
        <f t="shared" si="1"/>
        <v>51103.247499999998</v>
      </c>
    </row>
    <row r="11" spans="1:6" x14ac:dyDescent="0.2">
      <c r="A11" s="716" t="s">
        <v>429</v>
      </c>
      <c r="B11" s="1772">
        <f>'Revenues 9-14'!J5</f>
        <v>281609</v>
      </c>
      <c r="C11" s="585"/>
      <c r="D11" s="1775">
        <f t="shared" si="0"/>
        <v>281609</v>
      </c>
      <c r="E11" s="585">
        <f>102206495*0.0029353</f>
        <v>300006.7247735</v>
      </c>
      <c r="F11" s="1775">
        <f t="shared" si="1"/>
        <v>300006.7247735</v>
      </c>
    </row>
    <row r="12" spans="1:6" ht="13.7" customHeight="1" x14ac:dyDescent="0.2">
      <c r="A12" s="716" t="s">
        <v>159</v>
      </c>
      <c r="B12" s="1772">
        <f>'Revenues 9-14'!K5</f>
        <v>51403</v>
      </c>
      <c r="C12" s="585"/>
      <c r="D12" s="1775">
        <f t="shared" si="0"/>
        <v>51403</v>
      </c>
      <c r="E12" s="585">
        <f>102206495*0.0005</f>
        <v>51103.247499999998</v>
      </c>
      <c r="F12" s="1775">
        <f t="shared" si="1"/>
        <v>51103.247499999998</v>
      </c>
    </row>
    <row r="13" spans="1:6" ht="13.7" customHeight="1" x14ac:dyDescent="0.2">
      <c r="A13" s="716" t="s">
        <v>993</v>
      </c>
      <c r="B13" s="1772">
        <f>SUM('Revenues 9-14'!C6:D6)</f>
        <v>51403</v>
      </c>
      <c r="C13" s="585"/>
      <c r="D13" s="1775">
        <f t="shared" si="0"/>
        <v>51403</v>
      </c>
      <c r="E13" s="585">
        <f>102206495*0.0005</f>
        <v>51103.247499999998</v>
      </c>
      <c r="F13" s="1775">
        <f t="shared" si="1"/>
        <v>51103.247499999998</v>
      </c>
    </row>
    <row r="14" spans="1:6" ht="13.7" customHeight="1" x14ac:dyDescent="0.2">
      <c r="A14" s="716" t="s">
        <v>430</v>
      </c>
      <c r="B14" s="1772">
        <f>SUM('Revenues 9-14'!C7:D7,'Revenues 9-14'!F7:H7)</f>
        <v>41122</v>
      </c>
      <c r="C14" s="585"/>
      <c r="D14" s="1775">
        <f t="shared" si="0"/>
        <v>41122</v>
      </c>
      <c r="E14" s="585">
        <f>102206495*0.0004</f>
        <v>40882.598000000005</v>
      </c>
      <c r="F14" s="1775">
        <f t="shared" si="1"/>
        <v>40882.598000000005</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141300</v>
      </c>
      <c r="C16" s="585"/>
      <c r="D16" s="1775">
        <f t="shared" si="0"/>
        <v>141300</v>
      </c>
      <c r="E16" s="585">
        <f>102206495*0.0013992</f>
        <v>143007.327804</v>
      </c>
      <c r="F16" s="1775">
        <f t="shared" si="1"/>
        <v>143007.327804</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4855116</v>
      </c>
      <c r="C19" s="1773">
        <f>SUM(C4:C18)</f>
        <v>0</v>
      </c>
      <c r="D19" s="1773">
        <f>SUM(D4:D18)</f>
        <v>4855116</v>
      </c>
      <c r="E19" s="1773">
        <f>SUM(E4:E18)</f>
        <v>4541412.4090774991</v>
      </c>
      <c r="F19" s="1773">
        <f>SUM(F4:F18)</f>
        <v>4541412.4090774991</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view="pageBreakPreview" topLeftCell="E26" colorId="8" zoomScale="60" zoomScaleNormal="110" workbookViewId="0">
      <selection activeCell="J31" sqref="J3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2038</v>
      </c>
      <c r="D2" s="724" t="s">
        <v>2045</v>
      </c>
      <c r="E2" s="724" t="s">
        <v>2046</v>
      </c>
      <c r="F2" s="1909" t="s">
        <v>2039</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2096</v>
      </c>
      <c r="B31" s="734">
        <v>42803</v>
      </c>
      <c r="C31" s="735">
        <v>300000</v>
      </c>
      <c r="D31" s="736">
        <v>7</v>
      </c>
      <c r="E31" s="735">
        <v>300000</v>
      </c>
      <c r="F31" s="735"/>
      <c r="G31" s="735"/>
      <c r="H31" s="735">
        <v>300000</v>
      </c>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300000</v>
      </c>
      <c r="D49" s="746"/>
      <c r="E49" s="1778">
        <f t="shared" ref="E49:J49" si="2">SUM(E31:E48)</f>
        <v>300000</v>
      </c>
      <c r="F49" s="1778">
        <f t="shared" si="2"/>
        <v>0</v>
      </c>
      <c r="G49" s="1778">
        <f t="shared" si="2"/>
        <v>0</v>
      </c>
      <c r="H49" s="1778">
        <f t="shared" si="2"/>
        <v>300000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t="s">
        <v>2096</v>
      </c>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2" colorId="8" zoomScale="110" zoomScaleNormal="110" workbookViewId="0">
      <selection activeCell="I40" sqref="I4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41122</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7938</v>
      </c>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41122</v>
      </c>
      <c r="I12" s="1780">
        <f>SUM(I5:I11)</f>
        <v>0</v>
      </c>
      <c r="J12" s="1780">
        <f>SUM(J5:J11)</f>
        <v>0</v>
      </c>
      <c r="K12" s="1780">
        <f>SUM(K5:K11)</f>
        <v>7938</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41122</v>
      </c>
      <c r="I14" s="772"/>
      <c r="J14" s="774"/>
      <c r="K14" s="766">
        <v>7938</v>
      </c>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41122</v>
      </c>
      <c r="I23" s="1780">
        <f>SUM(I14:I16,I21,I22)</f>
        <v>0</v>
      </c>
      <c r="J23" s="1780">
        <f>SUM(J14:J16,J21,J22)</f>
        <v>0</v>
      </c>
      <c r="K23" s="1780">
        <f>SUM(K14:K16,K21,K22)</f>
        <v>7938</v>
      </c>
    </row>
    <row r="24" spans="1:11" ht="14.25" thickTop="1" thickBot="1" x14ac:dyDescent="0.25">
      <c r="A24" s="2253" t="s">
        <v>2026</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2" sqref="F12:F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103400</v>
      </c>
      <c r="D5" s="842"/>
      <c r="E5" s="842"/>
      <c r="F5" s="1782">
        <f>(C5+D5)-E5</f>
        <v>103400</v>
      </c>
      <c r="G5" s="838"/>
      <c r="H5" s="843"/>
      <c r="I5" s="843"/>
      <c r="J5" s="843"/>
      <c r="K5" s="794"/>
      <c r="L5" s="1791">
        <f>F5-K5</f>
        <v>103400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6743569</v>
      </c>
      <c r="D8" s="845">
        <f>3875+15446+7313</f>
        <v>26634</v>
      </c>
      <c r="E8" s="845"/>
      <c r="F8" s="1782">
        <f>(C8+D8)-E8</f>
        <v>6770203</v>
      </c>
      <c r="G8" s="844">
        <v>50</v>
      </c>
      <c r="H8" s="766">
        <v>3594816</v>
      </c>
      <c r="I8" s="766">
        <v>128291</v>
      </c>
      <c r="J8" s="766"/>
      <c r="K8" s="1791">
        <f>(H8+I8)-J8</f>
        <v>3723107</v>
      </c>
      <c r="L8" s="1791">
        <f>F8-K8</f>
        <v>3047096</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589979</v>
      </c>
      <c r="D10" s="847"/>
      <c r="E10" s="847"/>
      <c r="F10" s="1786">
        <f>(C10+D10)-E10</f>
        <v>589979</v>
      </c>
      <c r="G10" s="844">
        <v>20</v>
      </c>
      <c r="H10" s="848">
        <v>342386</v>
      </c>
      <c r="I10" s="848">
        <v>19704</v>
      </c>
      <c r="J10" s="848"/>
      <c r="K10" s="1791">
        <f>(H10+I10)-J10</f>
        <v>362090</v>
      </c>
      <c r="L10" s="1791">
        <f>F10-K10</f>
        <v>227889</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1114906</v>
      </c>
      <c r="D12" s="845">
        <f>2384+1629+16080+2835+2835+4505+2818+8706+1328+1299+32058+35859+18306+1367+2917</f>
        <v>134926</v>
      </c>
      <c r="E12" s="845">
        <v>3510</v>
      </c>
      <c r="F12" s="1782">
        <f>(C12+D12)-E12</f>
        <v>1246322</v>
      </c>
      <c r="G12" s="844">
        <v>10</v>
      </c>
      <c r="H12" s="766">
        <v>1043314</v>
      </c>
      <c r="I12" s="766">
        <f>29164+1883</f>
        <v>31047</v>
      </c>
      <c r="J12" s="766">
        <v>1404</v>
      </c>
      <c r="K12" s="1791">
        <f>(H12+I12)-J12</f>
        <v>1072957</v>
      </c>
      <c r="L12" s="1791">
        <f>F12-K12</f>
        <v>173365</v>
      </c>
    </row>
    <row r="13" spans="1:14" ht="14.25" thickTop="1" thickBot="1" x14ac:dyDescent="0.25">
      <c r="A13" s="849" t="s">
        <v>1184</v>
      </c>
      <c r="B13" s="841">
        <v>252</v>
      </c>
      <c r="C13" s="845">
        <v>1379179</v>
      </c>
      <c r="D13" s="845">
        <f>624+3199+20352+17844+1250+1250</f>
        <v>44519</v>
      </c>
      <c r="E13" s="845"/>
      <c r="F13" s="1782">
        <f>(C13+D13)-E13</f>
        <v>1423698</v>
      </c>
      <c r="G13" s="844">
        <v>5</v>
      </c>
      <c r="H13" s="766">
        <v>976671</v>
      </c>
      <c r="I13" s="766">
        <f>42764+83966</f>
        <v>126730</v>
      </c>
      <c r="J13" s="766"/>
      <c r="K13" s="1791">
        <f>(H13+I13)-J13</f>
        <v>1103401</v>
      </c>
      <c r="L13" s="1791">
        <f>F13-K13</f>
        <v>320297</v>
      </c>
    </row>
    <row r="14" spans="1:14" ht="14.25" thickTop="1" thickBot="1" x14ac:dyDescent="0.25">
      <c r="A14" s="849" t="s">
        <v>1185</v>
      </c>
      <c r="B14" s="841">
        <v>253</v>
      </c>
      <c r="C14" s="766">
        <v>445863</v>
      </c>
      <c r="D14" s="766"/>
      <c r="E14" s="766"/>
      <c r="F14" s="1782">
        <f>(C14+D14)-E14</f>
        <v>445863</v>
      </c>
      <c r="G14" s="844">
        <v>3</v>
      </c>
      <c r="H14" s="766">
        <v>445863</v>
      </c>
      <c r="I14" s="766"/>
      <c r="J14" s="766"/>
      <c r="K14" s="1791">
        <f>(H14+I14)-J14</f>
        <v>445863</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10376896</v>
      </c>
      <c r="D16" s="1782">
        <f>SUM(D3,D5:D6,D8:D10,D12:D15)</f>
        <v>206079</v>
      </c>
      <c r="E16" s="1782">
        <f>SUM(E3,E5:E6,E8:E10,E12:E15)</f>
        <v>3510</v>
      </c>
      <c r="F16" s="1782">
        <f>SUM(F3,F5:F6,F8:F10,F12:F15)</f>
        <v>10579465</v>
      </c>
      <c r="G16" s="844"/>
      <c r="H16" s="1782">
        <f>SUM(H3,H6,H8:H10,H12:H14,)</f>
        <v>6403050</v>
      </c>
      <c r="I16" s="1782">
        <f>SUM(I3,I6,I8:I10,I12:I14,)</f>
        <v>305772</v>
      </c>
      <c r="J16" s="1782">
        <f>SUM(J3,J6,J8:J10,J12:J14,)</f>
        <v>1404</v>
      </c>
      <c r="K16" s="1782">
        <f>(H16+I16)-J16</f>
        <v>6707418</v>
      </c>
      <c r="L16" s="1782">
        <f>F16-K16</f>
        <v>3872047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305772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7" activePane="bottomLeft" state="frozen"/>
      <selection activeCell="A47" sqref="A47"/>
      <selection pane="bottomLeft" activeCell="F191" sqref="F19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5199233</v>
      </c>
      <c r="G8" s="866"/>
    </row>
    <row r="9" spans="1:7" x14ac:dyDescent="0.2">
      <c r="A9" s="870" t="s">
        <v>480</v>
      </c>
      <c r="B9" s="871" t="s">
        <v>1989</v>
      </c>
      <c r="C9" s="872"/>
      <c r="D9" s="870" t="s">
        <v>522</v>
      </c>
      <c r="E9" s="869"/>
      <c r="F9" s="1935">
        <f>'Expenditures 15-22'!K151</f>
        <v>507569</v>
      </c>
      <c r="G9" s="873"/>
    </row>
    <row r="10" spans="1:7" x14ac:dyDescent="0.2">
      <c r="A10" s="870" t="s">
        <v>520</v>
      </c>
      <c r="B10" s="871" t="s">
        <v>1990</v>
      </c>
      <c r="C10" s="872"/>
      <c r="D10" s="870" t="s">
        <v>522</v>
      </c>
      <c r="E10" s="869"/>
      <c r="F10" s="1935">
        <f>'Expenditures 15-22'!K174</f>
        <v>314692</v>
      </c>
      <c r="G10" s="873"/>
    </row>
    <row r="11" spans="1:7" x14ac:dyDescent="0.2">
      <c r="A11" s="870" t="s">
        <v>481</v>
      </c>
      <c r="B11" s="871" t="s">
        <v>1991</v>
      </c>
      <c r="C11" s="872"/>
      <c r="D11" s="870" t="s">
        <v>522</v>
      </c>
      <c r="E11" s="869"/>
      <c r="F11" s="1935">
        <f>'Expenditures 15-22'!K210</f>
        <v>428309</v>
      </c>
      <c r="G11" s="873"/>
    </row>
    <row r="12" spans="1:7" x14ac:dyDescent="0.2">
      <c r="A12" s="870" t="s">
        <v>482</v>
      </c>
      <c r="B12" s="871" t="s">
        <v>1992</v>
      </c>
      <c r="C12" s="872"/>
      <c r="D12" s="870" t="s">
        <v>522</v>
      </c>
      <c r="E12" s="869"/>
      <c r="F12" s="1935">
        <f>'Expenditures 15-22'!K295</f>
        <v>256954</v>
      </c>
      <c r="G12" s="873"/>
    </row>
    <row r="13" spans="1:7" x14ac:dyDescent="0.2">
      <c r="A13" s="870" t="s">
        <v>108</v>
      </c>
      <c r="B13" s="871" t="s">
        <v>1993</v>
      </c>
      <c r="C13" s="872"/>
      <c r="D13" s="870" t="s">
        <v>522</v>
      </c>
      <c r="E13" s="869"/>
      <c r="F13" s="1935">
        <f>'Expenditures 15-22'!K342</f>
        <v>368146</v>
      </c>
      <c r="G13" s="874"/>
    </row>
    <row r="14" spans="1:7" ht="12" customHeight="1" thickBot="1" x14ac:dyDescent="0.25">
      <c r="A14" s="1792"/>
      <c r="B14" s="1793"/>
      <c r="C14" s="1794"/>
      <c r="D14" s="1795" t="s">
        <v>522</v>
      </c>
      <c r="E14" s="1796" t="s">
        <v>1015</v>
      </c>
      <c r="F14" s="1797">
        <f>SUM(F8:F13)</f>
        <v>7074903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129194</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49158</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142409</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1697</v>
      </c>
      <c r="G52" s="866"/>
    </row>
    <row r="53" spans="1:7" x14ac:dyDescent="0.2">
      <c r="A53" s="870" t="s">
        <v>479</v>
      </c>
      <c r="B53" s="870" t="s">
        <v>1551</v>
      </c>
      <c r="C53" s="890">
        <f>'Expenditures 15-22'!B102</f>
        <v>4000</v>
      </c>
      <c r="D53" s="889" t="str">
        <f>'Expenditures 15-22'!A102</f>
        <v>Total Payments to Other Govt Units</v>
      </c>
      <c r="E53" s="869"/>
      <c r="F53" s="1939">
        <f>'Expenditures 15-22'!K102</f>
        <v>183722</v>
      </c>
      <c r="G53" s="866"/>
    </row>
    <row r="54" spans="1:7" x14ac:dyDescent="0.2">
      <c r="A54" s="870" t="s">
        <v>479</v>
      </c>
      <c r="B54" s="870" t="s">
        <v>1552</v>
      </c>
      <c r="C54" s="890" t="s">
        <v>1039</v>
      </c>
      <c r="D54" s="886" t="s">
        <v>1157</v>
      </c>
      <c r="E54" s="869"/>
      <c r="F54" s="1939">
        <f>'Expenditures 15-22'!G114</f>
        <v>52816</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44281</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300000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22060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5336</v>
      </c>
      <c r="G67" s="866"/>
    </row>
    <row r="68" spans="1:8" x14ac:dyDescent="0.2">
      <c r="A68" s="870" t="s">
        <v>482</v>
      </c>
      <c r="B68" s="870" t="s">
        <v>1555</v>
      </c>
      <c r="C68" s="887" t="str">
        <f>'Expenditures 15-22'!B218</f>
        <v>1225</v>
      </c>
      <c r="D68" s="893" t="str">
        <f>'Expenditures 15-22'!A218</f>
        <v>Special Education Programs - Pre-K</v>
      </c>
      <c r="E68" s="869"/>
      <c r="F68" s="1939">
        <f>'Expenditures 15-22'!K218</f>
        <v>4555</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11</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935239</v>
      </c>
      <c r="G76" s="866"/>
    </row>
    <row r="77" spans="1:8" s="894" customFormat="1" ht="12" customHeight="1" thickTop="1" thickBot="1" x14ac:dyDescent="0.25">
      <c r="A77" s="1801"/>
      <c r="B77" s="1798"/>
      <c r="C77" s="1794"/>
      <c r="D77" s="1799" t="s">
        <v>2012</v>
      </c>
      <c r="E77" s="1796"/>
      <c r="F77" s="1802">
        <f>(F14-F76)</f>
        <v>6139664</v>
      </c>
      <c r="G77" s="870"/>
    </row>
    <row r="78" spans="1:8" s="894" customFormat="1" ht="12" customHeight="1" thickTop="1" x14ac:dyDescent="0.2">
      <c r="A78" s="1803"/>
      <c r="B78" s="1798"/>
      <c r="C78" s="1794"/>
      <c r="D78" s="1799" t="s">
        <v>2059</v>
      </c>
      <c r="E78" s="1796"/>
      <c r="F78" s="899">
        <v>493.43</v>
      </c>
      <c r="G78" s="900"/>
      <c r="H78" s="870"/>
    </row>
    <row r="79" spans="1:8" s="894" customFormat="1" ht="12" customHeight="1" thickBot="1" x14ac:dyDescent="0.25">
      <c r="A79" s="1804"/>
      <c r="B79" s="1798"/>
      <c r="C79" s="1794"/>
      <c r="D79" s="1799" t="s">
        <v>2013</v>
      </c>
      <c r="E79" s="1796" t="s">
        <v>1015</v>
      </c>
      <c r="F79" s="1805">
        <f>IF(F78&gt;0,F77/F78," Complete Line 78")</f>
        <v>12442.826743408386</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70570</v>
      </c>
      <c r="G94" s="913"/>
    </row>
    <row r="95" spans="1:7" x14ac:dyDescent="0.2">
      <c r="A95" s="909" t="s">
        <v>142</v>
      </c>
      <c r="B95" s="909" t="s">
        <v>177</v>
      </c>
      <c r="C95" s="911">
        <v>1700</v>
      </c>
      <c r="D95" s="919" t="str">
        <f>'Revenues 9-14'!A82</f>
        <v>Total District/School Activity Income</v>
      </c>
      <c r="E95" s="907"/>
      <c r="F95" s="1811">
        <f>SUM('Revenues 9-14'!C82,'Revenues 9-14'!D82)</f>
        <v>32120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300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10660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4921</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144548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6887</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1893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7938</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326335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799</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33986</v>
      </c>
      <c r="G128" s="931"/>
    </row>
    <row r="129" spans="1:7" x14ac:dyDescent="0.2">
      <c r="A129" s="928" t="s">
        <v>685</v>
      </c>
      <c r="B129" s="928" t="s">
        <v>803</v>
      </c>
      <c r="C129" s="933">
        <v>4200</v>
      </c>
      <c r="D129" s="930" t="str">
        <f>'Revenues 9-14'!A201</f>
        <v>Total Food Service</v>
      </c>
      <c r="E129" s="907"/>
      <c r="F129" s="1811">
        <f>SUM('Revenues 9-14'!C201,'Revenues 9-14'!G201)</f>
        <v>128409</v>
      </c>
      <c r="G129" s="931"/>
    </row>
    <row r="130" spans="1:7" x14ac:dyDescent="0.2">
      <c r="A130" s="928" t="s">
        <v>689</v>
      </c>
      <c r="B130" s="928" t="s">
        <v>804</v>
      </c>
      <c r="C130" s="933">
        <v>4300</v>
      </c>
      <c r="D130" s="934" t="str">
        <f>'Revenues 9-14'!A211</f>
        <v>Total Title I</v>
      </c>
      <c r="E130" s="907"/>
      <c r="F130" s="1811">
        <f>SUM('Revenues 9-14'!C211,'Revenues 9-14'!D211,'Revenues 9-14'!F211,'Revenues 9-14'!G211)</f>
        <v>133168</v>
      </c>
      <c r="G130" s="931"/>
    </row>
    <row r="131" spans="1:7" x14ac:dyDescent="0.2">
      <c r="A131" s="928" t="s">
        <v>689</v>
      </c>
      <c r="B131" s="928" t="s">
        <v>805</v>
      </c>
      <c r="C131" s="933">
        <v>4400</v>
      </c>
      <c r="D131" s="934" t="str">
        <f>'Revenues 9-14'!A216</f>
        <v>Total Title IV</v>
      </c>
      <c r="E131" s="907"/>
      <c r="F131" s="1811">
        <f>SUM('Revenues 9-14'!C216,'Revenues 9-14'!D216,'Revenues 9-14'!F216,'Revenues 9-14'!G216)</f>
        <v>3511</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16503</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13185</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62118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997851</v>
      </c>
    </row>
    <row r="179" spans="1:7" ht="12" customHeight="1" x14ac:dyDescent="0.2">
      <c r="A179" s="1792"/>
      <c r="B179" s="1806"/>
      <c r="C179" s="1807"/>
      <c r="D179" s="1808" t="s">
        <v>2015</v>
      </c>
      <c r="E179" s="1809"/>
      <c r="F179" s="1811">
        <f>'PCTC-OEPP 27-28'!F77-F178</f>
        <v>5141813</v>
      </c>
    </row>
    <row r="180" spans="1:7" ht="12" customHeight="1" x14ac:dyDescent="0.2">
      <c r="A180" s="1792"/>
      <c r="B180" s="1806"/>
      <c r="C180" s="1807"/>
      <c r="D180" s="1808" t="s">
        <v>1924</v>
      </c>
      <c r="E180" s="1809"/>
      <c r="F180" s="1811">
        <f>'Cap Outlay Deprec 26'!I18</f>
        <v>305772</v>
      </c>
    </row>
    <row r="181" spans="1:7" ht="12" customHeight="1" x14ac:dyDescent="0.2">
      <c r="A181" s="1792"/>
      <c r="B181" s="1806"/>
      <c r="C181" s="1807"/>
      <c r="D181" s="1808" t="s">
        <v>2016</v>
      </c>
      <c r="E181" s="1809"/>
      <c r="F181" s="1811">
        <f>F179+F180</f>
        <v>5447585</v>
      </c>
    </row>
    <row r="182" spans="1:7" ht="12" customHeight="1" x14ac:dyDescent="0.2">
      <c r="A182" s="1792"/>
      <c r="B182" s="1812"/>
      <c r="C182" s="1807"/>
      <c r="D182" s="1808" t="str">
        <f>D78</f>
        <v>9 Month ADA from District Average Daily Attendance/Prior General State Aid Inquiry 2017-2018</v>
      </c>
      <c r="E182" s="1809"/>
      <c r="F182" s="1813">
        <f>'PCTC-OEPP 27-28'!F78</f>
        <v>493.43</v>
      </c>
      <c r="G182" s="931"/>
    </row>
    <row r="183" spans="1:7" ht="12" customHeight="1" thickBot="1" x14ac:dyDescent="0.25">
      <c r="A183" s="1792"/>
      <c r="B183" s="1812"/>
      <c r="C183" s="1807"/>
      <c r="D183" s="1808" t="s">
        <v>2017</v>
      </c>
      <c r="E183" s="1809" t="s">
        <v>1626</v>
      </c>
      <c r="F183" s="1814">
        <f>F181/F182</f>
        <v>11040.238737004236</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1"/>
  <sheetViews>
    <sheetView showGridLines="0" zoomScaleNormal="100" workbookViewId="0">
      <pane ySplit="16" topLeftCell="A17" activePane="bottomLeft" state="frozen"/>
      <selection pane="bottomLeft" activeCell="C26" sqref="C26"/>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4" t="s">
        <v>2103</v>
      </c>
      <c r="B17" s="1955" t="s">
        <v>2102</v>
      </c>
      <c r="C17" s="1956" t="s">
        <v>2101</v>
      </c>
      <c r="D17" s="1867">
        <v>4944</v>
      </c>
      <c r="E17" s="1562">
        <f t="shared" ref="E17:E141" si="1">IF(D17&lt;=25000,D17,IF(D17&gt;25000,25000,0))</f>
        <v>4944</v>
      </c>
      <c r="F17" s="1815">
        <f t="shared" si="0"/>
        <v>4944</v>
      </c>
      <c r="G17" s="1816">
        <f>IF(F17=0,0,D17-F17)</f>
        <v>0</v>
      </c>
      <c r="H17" s="1669"/>
    </row>
    <row r="18" spans="1:8" x14ac:dyDescent="0.25">
      <c r="A18" s="1954" t="s">
        <v>2103</v>
      </c>
      <c r="B18" s="1955" t="s">
        <v>2102</v>
      </c>
      <c r="C18" s="1956" t="s">
        <v>2104</v>
      </c>
      <c r="D18" s="1867">
        <v>399</v>
      </c>
      <c r="E18" s="1562">
        <f t="shared" ref="E18:E140" si="2">IF(D18&lt;=25000,D18,IF(D18&gt;25000,25000,0))</f>
        <v>399</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399</v>
      </c>
      <c r="G18" s="1816">
        <f t="shared" ref="G18:G140" si="4">IF(F18=0,0,D18-F18)</f>
        <v>0</v>
      </c>
    </row>
    <row r="19" spans="1:8" x14ac:dyDescent="0.25">
      <c r="A19" s="1954" t="s">
        <v>2103</v>
      </c>
      <c r="B19" s="1955" t="s">
        <v>2102</v>
      </c>
      <c r="C19" s="1956" t="s">
        <v>2105</v>
      </c>
      <c r="D19" s="1867">
        <v>29445</v>
      </c>
      <c r="E19" s="1562">
        <f t="shared" si="2"/>
        <v>25000</v>
      </c>
      <c r="F19" s="1815">
        <f t="shared" si="3"/>
        <v>25000</v>
      </c>
      <c r="G19" s="1816">
        <f t="shared" si="4"/>
        <v>4445</v>
      </c>
    </row>
    <row r="20" spans="1:8" x14ac:dyDescent="0.25">
      <c r="A20" s="1954" t="s">
        <v>2103</v>
      </c>
      <c r="B20" s="1955" t="s">
        <v>2102</v>
      </c>
      <c r="C20" s="1956" t="s">
        <v>2106</v>
      </c>
      <c r="D20" s="1867">
        <v>720</v>
      </c>
      <c r="E20" s="1562">
        <f t="shared" si="2"/>
        <v>720</v>
      </c>
      <c r="F20" s="1815">
        <f t="shared" si="3"/>
        <v>720</v>
      </c>
      <c r="G20" s="1816">
        <f t="shared" si="4"/>
        <v>0</v>
      </c>
    </row>
    <row r="21" spans="1:8" x14ac:dyDescent="0.25">
      <c r="A21" s="1954" t="s">
        <v>2103</v>
      </c>
      <c r="B21" s="1955" t="s">
        <v>2102</v>
      </c>
      <c r="C21" s="1956" t="s">
        <v>2107</v>
      </c>
      <c r="D21" s="1867">
        <v>5851</v>
      </c>
      <c r="E21" s="1562">
        <f t="shared" si="2"/>
        <v>5851</v>
      </c>
      <c r="F21" s="1815">
        <f t="shared" si="3"/>
        <v>5851</v>
      </c>
      <c r="G21" s="1816">
        <f t="shared" si="4"/>
        <v>0</v>
      </c>
    </row>
    <row r="22" spans="1:8" x14ac:dyDescent="0.25">
      <c r="A22" s="1954" t="s">
        <v>2103</v>
      </c>
      <c r="B22" s="1955" t="s">
        <v>2102</v>
      </c>
      <c r="C22" s="1956" t="s">
        <v>2108</v>
      </c>
      <c r="D22" s="1867">
        <v>418</v>
      </c>
      <c r="E22" s="1562">
        <f t="shared" si="2"/>
        <v>418</v>
      </c>
      <c r="F22" s="1815">
        <f t="shared" si="3"/>
        <v>418</v>
      </c>
      <c r="G22" s="1816">
        <f t="shared" si="4"/>
        <v>0</v>
      </c>
    </row>
    <row r="23" spans="1:8" hidden="1" x14ac:dyDescent="0.25">
      <c r="A23" s="1675"/>
      <c r="B23" s="1868"/>
      <c r="C23" s="1678"/>
      <c r="D23" s="1867"/>
      <c r="E23" s="1562">
        <f t="shared" si="2"/>
        <v>0</v>
      </c>
      <c r="F23" s="1815">
        <f t="shared" si="3"/>
        <v>0</v>
      </c>
      <c r="G23" s="1816">
        <f t="shared" si="4"/>
        <v>0</v>
      </c>
    </row>
    <row r="24" spans="1:8" hidden="1" x14ac:dyDescent="0.25">
      <c r="A24" s="1675"/>
      <c r="B24" s="1869"/>
      <c r="C24" s="1678"/>
      <c r="D24" s="1867"/>
      <c r="E24" s="1562">
        <f t="shared" si="2"/>
        <v>0</v>
      </c>
      <c r="F24" s="1815">
        <f t="shared" si="3"/>
        <v>0</v>
      </c>
      <c r="G24" s="1816">
        <f t="shared" si="4"/>
        <v>0</v>
      </c>
    </row>
    <row r="25" spans="1:8" x14ac:dyDescent="0.25">
      <c r="A25" s="1954" t="s">
        <v>2103</v>
      </c>
      <c r="B25" s="1955" t="s">
        <v>2102</v>
      </c>
      <c r="C25" s="1956" t="s">
        <v>2109</v>
      </c>
      <c r="D25" s="1867">
        <v>1510</v>
      </c>
      <c r="E25" s="1562">
        <f t="shared" si="2"/>
        <v>1510</v>
      </c>
      <c r="F25" s="1815">
        <f t="shared" si="3"/>
        <v>1510</v>
      </c>
      <c r="G25" s="1816">
        <f t="shared" si="4"/>
        <v>0</v>
      </c>
    </row>
    <row r="26" spans="1:8" x14ac:dyDescent="0.25">
      <c r="A26" s="1954"/>
      <c r="B26" s="1955"/>
      <c r="C26" s="1676"/>
      <c r="D26" s="1867"/>
      <c r="E26" s="1562">
        <f t="shared" si="2"/>
        <v>0</v>
      </c>
      <c r="F26" s="1815">
        <f t="shared" si="3"/>
        <v>0</v>
      </c>
      <c r="G26" s="1816">
        <f t="shared" si="4"/>
        <v>0</v>
      </c>
    </row>
    <row r="27" spans="1:8" x14ac:dyDescent="0.25">
      <c r="A27" s="1954"/>
      <c r="B27" s="1955"/>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hidden="1" x14ac:dyDescent="0.25">
      <c r="A29" s="1675"/>
      <c r="B29" s="1869"/>
      <c r="C29" s="1676"/>
      <c r="D29" s="1867"/>
      <c r="E29" s="1562">
        <f t="shared" si="2"/>
        <v>0</v>
      </c>
      <c r="F29" s="1815">
        <f t="shared" si="3"/>
        <v>0</v>
      </c>
      <c r="G29" s="1816">
        <f t="shared" si="4"/>
        <v>0</v>
      </c>
    </row>
    <row r="30" spans="1:8" hidden="1"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hidden="1" x14ac:dyDescent="0.25">
      <c r="A133" s="1675"/>
      <c r="B133" s="1689"/>
      <c r="C133" s="1676"/>
      <c r="D133" s="1867"/>
      <c r="E133" s="1562">
        <f t="shared" si="23"/>
        <v>0</v>
      </c>
      <c r="F133" s="1815">
        <f t="shared" si="24"/>
        <v>0</v>
      </c>
      <c r="G133" s="1816">
        <f t="shared" si="25"/>
        <v>0</v>
      </c>
    </row>
    <row r="134" spans="1:7" hidden="1" x14ac:dyDescent="0.25">
      <c r="A134" s="1675"/>
      <c r="B134" s="1689"/>
      <c r="C134" s="1676"/>
      <c r="D134" s="1867"/>
      <c r="E134" s="1562">
        <f t="shared" si="23"/>
        <v>0</v>
      </c>
      <c r="F134" s="1815">
        <f t="shared" si="24"/>
        <v>0</v>
      </c>
      <c r="G134" s="1816">
        <f t="shared" si="25"/>
        <v>0</v>
      </c>
    </row>
    <row r="135" spans="1:7" hidden="1"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hidden="1" x14ac:dyDescent="0.25">
      <c r="A136" s="1675"/>
      <c r="B136" s="1689"/>
      <c r="C136" s="1676"/>
      <c r="D136" s="1867"/>
      <c r="E136" s="1562">
        <f t="shared" si="26"/>
        <v>0</v>
      </c>
      <c r="F136" s="1815">
        <f t="shared" si="27"/>
        <v>0</v>
      </c>
      <c r="G136" s="1816">
        <f t="shared" si="28"/>
        <v>0</v>
      </c>
    </row>
    <row r="137" spans="1:7" hidden="1" x14ac:dyDescent="0.25">
      <c r="A137" s="1675"/>
      <c r="B137" s="1689"/>
      <c r="C137" s="1676"/>
      <c r="D137" s="1867"/>
      <c r="E137" s="1562">
        <f t="shared" si="26"/>
        <v>0</v>
      </c>
      <c r="F137" s="1815">
        <f t="shared" si="27"/>
        <v>0</v>
      </c>
      <c r="G137" s="1816">
        <f t="shared" si="28"/>
        <v>0</v>
      </c>
    </row>
    <row r="138" spans="1:7" hidden="1" x14ac:dyDescent="0.25">
      <c r="A138" s="1675"/>
      <c r="B138" s="1689"/>
      <c r="C138" s="1676"/>
      <c r="D138" s="1867"/>
      <c r="E138" s="1562">
        <f t="shared" si="26"/>
        <v>0</v>
      </c>
      <c r="F138" s="1815">
        <f t="shared" si="27"/>
        <v>0</v>
      </c>
      <c r="G138" s="1816">
        <f t="shared" si="28"/>
        <v>0</v>
      </c>
    </row>
    <row r="139" spans="1:7" hidden="1"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43287</v>
      </c>
      <c r="E141" s="1563">
        <f t="shared" si="1"/>
        <v>25000</v>
      </c>
      <c r="F141" s="1817">
        <f>SUM(F17:F140)</f>
        <v>38842</v>
      </c>
      <c r="G141" s="1818">
        <f>SUM(G17:G140)</f>
        <v>4445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F28" sqref="F2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5" t="s">
        <v>1945</v>
      </c>
      <c r="B11" s="2306"/>
      <c r="C11" s="2306"/>
      <c r="D11" s="2307"/>
      <c r="E11" s="978">
        <v>16650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3655575</v>
      </c>
      <c r="F19" s="1822"/>
      <c r="G19" s="1824">
        <f>'Expenditures 15-22'!K33-SUM('Expenditures 15-22'!G33,'Expenditures 15-22'!I33)+'Expenditures 15-22'!D229</f>
        <v>3655575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279886</v>
      </c>
      <c r="F21" s="1825"/>
      <c r="G21" s="1828">
        <f>'Expenditures 15-22'!K42-SUM('Expenditures 15-22'!G42,'Expenditures 15-22'!I42)+'Expenditures 15-22'!K120-SUM('Expenditures 15-22'!G120,'Expenditures 15-22'!I120)+'Expenditures 15-22'!K180-SUM('Expenditures 15-22'!G180,'Expenditures 15-22'!I180)+'Expenditures 15-22'!D238</f>
        <v>279886</v>
      </c>
      <c r="H21" s="988"/>
      <c r="I21" s="162"/>
    </row>
    <row r="22" spans="1:9" s="669" customFormat="1" ht="12" customHeight="1" x14ac:dyDescent="0.2">
      <c r="A22" s="995" t="s">
        <v>585</v>
      </c>
      <c r="B22" s="996"/>
      <c r="C22" s="994">
        <v>2200</v>
      </c>
      <c r="D22" s="1825"/>
      <c r="E22" s="1827">
        <f>'Expenditures 15-22'!K47-SUM('Expenditures 15-22'!G47,'Expenditures 15-22'!I47)+'Expenditures 15-22'!D243</f>
        <v>279446</v>
      </c>
      <c r="F22" s="1825"/>
      <c r="G22" s="1828">
        <f>'Expenditures 15-22'!K47-SUM('Expenditures 15-22'!G47,'Expenditures 15-22'!I47)+'Expenditures 15-22'!D243</f>
        <v>279446</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478479</v>
      </c>
      <c r="F23" s="1825"/>
      <c r="G23" s="1827">
        <f>'Expenditures 15-22'!K53-SUM('Expenditures 15-22'!G53,'Expenditures 15-22'!I53)+'Expenditures 15-22'!D257+'Expenditures 15-22'!K330-SUM('Expenditures 15-22'!G330,'Expenditures 15-22'!I330)</f>
        <v>478479</v>
      </c>
      <c r="H23" s="988"/>
      <c r="I23" s="162"/>
    </row>
    <row r="24" spans="1:9" s="669" customFormat="1" ht="12" customHeight="1" x14ac:dyDescent="0.2">
      <c r="A24" s="995" t="s">
        <v>587</v>
      </c>
      <c r="B24" s="996"/>
      <c r="C24" s="994">
        <v>2400</v>
      </c>
      <c r="D24" s="1825"/>
      <c r="E24" s="1827">
        <f>'Expenditures 15-22'!K57-SUM('Expenditures 15-22'!G57,'Expenditures 15-22'!I57)+'Expenditures 15-22'!D261</f>
        <v>334111</v>
      </c>
      <c r="F24" s="1825"/>
      <c r="G24" s="1828">
        <f>'Expenditures 15-22'!K57-SUM('Expenditures 15-22'!G57,'Expenditures 15-22'!I57)+'Expenditures 15-22'!D261</f>
        <v>334111</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95210</v>
      </c>
      <c r="E27" s="1827">
        <f>E8</f>
        <v>0</v>
      </c>
      <c r="F27" s="1827">
        <f>'Expenditures 15-22'!K60-SUM('Expenditures 15-22'!G60,'Expenditures 15-22'!I60)+'Expenditures 15-22'!D264-E8</f>
        <v>95210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484032</v>
      </c>
      <c r="F28" s="1829">
        <f>'Expenditures 15-22'!K61-SUM('Expenditures 15-22'!G61,'Expenditures 15-22'!I61)+'Expenditures 15-22'!K124-SUM('Expenditures 15-22'!G124,'Expenditures 15-22'!I124)+'Expenditures 15-22'!D266-E9</f>
        <v>484032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455016</v>
      </c>
      <c r="F29" s="1825"/>
      <c r="G29" s="1828">
        <f>'Expenditures 15-22'!K62-SUM('Expenditures 15-22'!G62,'Expenditures 15-22'!I62)+'Expenditures 15-22'!K125-SUM('Expenditures 15-22'!G125,'Expenditures 15-22'!I125)+'Expenditures 15-22'!K182-SUM('Expenditures 15-22'!G182,'Expenditures 15-22'!I182)+'Expenditures 15-22'!D267</f>
        <v>455016</v>
      </c>
      <c r="H29" s="986"/>
    </row>
    <row r="30" spans="1:9" ht="12" customHeight="1" x14ac:dyDescent="0.2">
      <c r="A30" s="995" t="s">
        <v>102</v>
      </c>
      <c r="B30" s="998"/>
      <c r="C30" s="994">
        <v>2560</v>
      </c>
      <c r="D30" s="1825"/>
      <c r="E30" s="1827">
        <f>'Expenditures 15-22'!K63-SUM('Expenditures 15-22'!G63,'Expenditures 15-22'!I63)+'Expenditures 15-22'!D268-E10</f>
        <v>288576</v>
      </c>
      <c r="F30" s="1825"/>
      <c r="G30" s="1827">
        <f>'Expenditures 15-22'!K63-SUM('Expenditures 15-22'!G63,'Expenditures 15-22'!I63)+'Expenditures 15-22'!D268-E10</f>
        <v>288576</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1697</v>
      </c>
      <c r="F39" s="1825"/>
      <c r="G39" s="1827">
        <f>'Expenditures 15-22'!K75-SUM('Expenditures 15-22'!G75,'Expenditures 15-22'!I75)+'Expenditures 15-22'!K130-SUM('Expenditures 15-22'!G130,'Expenditures 15-22'!I130)+'Expenditures 15-22'!K185-SUM('Expenditures 15-22'!G185,'Expenditures 15-22'!I185)+'Expenditures 15-22'!D280</f>
        <v>1697</v>
      </c>
    </row>
    <row r="40" spans="1:7" ht="12" customHeight="1" x14ac:dyDescent="0.2">
      <c r="A40" s="991" t="s">
        <v>1930</v>
      </c>
      <c r="B40" s="992"/>
      <c r="C40" s="994"/>
      <c r="D40" s="1825"/>
      <c r="E40" s="1829">
        <f>-'Contracts Paid in CY 29'!G141</f>
        <v>-4445</v>
      </c>
      <c r="F40" s="1825"/>
      <c r="G40" s="1829">
        <f>-'Contracts Paid in CY 29'!G141</f>
        <v>-4445</v>
      </c>
    </row>
    <row r="41" spans="1:7" ht="12" customHeight="1" x14ac:dyDescent="0.2">
      <c r="A41" s="999" t="s">
        <v>158</v>
      </c>
      <c r="B41" s="1000"/>
      <c r="C41" s="1001"/>
      <c r="D41" s="1829">
        <f>SUM(D19:D39)</f>
        <v>95210</v>
      </c>
      <c r="E41" s="1829">
        <f>SUM(E19:E40)</f>
        <v>6252373</v>
      </c>
      <c r="F41" s="1829">
        <f>SUM(F19:F39)</f>
        <v>579242</v>
      </c>
      <c r="G41" s="1829">
        <f>SUM(G19:G40)</f>
        <v>5768341</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95210</v>
      </c>
      <c r="F43" s="1830" t="s">
        <v>495</v>
      </c>
      <c r="G43" s="1831">
        <f>F41</f>
        <v>579242</v>
      </c>
    </row>
    <row r="44" spans="1:7" ht="12" customHeight="1" x14ac:dyDescent="0.2">
      <c r="A44" s="988"/>
      <c r="B44" s="162"/>
      <c r="C44" s="1002"/>
      <c r="D44" s="1830" t="s">
        <v>494</v>
      </c>
      <c r="E44" s="1831">
        <f>E41</f>
        <v>6252373</v>
      </c>
      <c r="F44" s="1830" t="s">
        <v>494</v>
      </c>
      <c r="G44" s="1831">
        <f>G41</f>
        <v>5768341</v>
      </c>
    </row>
    <row r="45" spans="1:7" ht="12" customHeight="1" x14ac:dyDescent="0.2">
      <c r="A45" s="988"/>
      <c r="B45" s="162"/>
      <c r="C45" s="162"/>
      <c r="D45" s="1832" t="s">
        <v>1063</v>
      </c>
      <c r="E45" s="1833">
        <f>(E43/E44)</f>
        <v>1.5227818301947117E-2</v>
      </c>
      <c r="F45" s="1832" t="s">
        <v>1063</v>
      </c>
      <c r="G45" s="1833">
        <f>(G43/G44)</f>
        <v>0.10041743371274341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7109375" style="1903" bestFit="1" customWidth="1"/>
    <col min="9" max="9" width="4" style="1903" bestFit="1" customWidth="1"/>
    <col min="10" max="10" width="2.7109375"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Henry-Senachwine CUSD 5</v>
      </c>
      <c r="D6" s="2315"/>
      <c r="E6" s="2315"/>
      <c r="F6" s="1877"/>
    </row>
    <row r="7" spans="1:10" ht="11.25" customHeight="1" thickBot="1" x14ac:dyDescent="0.3">
      <c r="A7" s="1875"/>
      <c r="B7" s="1876"/>
      <c r="C7" s="2316">
        <f>COVER!A13</f>
        <v>35059005026</v>
      </c>
      <c r="D7" s="2316"/>
      <c r="E7" s="2316"/>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2077</v>
      </c>
      <c r="D13" s="1890" t="s">
        <v>2077</v>
      </c>
      <c r="E13" s="1893"/>
      <c r="F13" s="1892" t="s">
        <v>2097</v>
      </c>
      <c r="H13" s="1903">
        <f t="shared" si="0"/>
        <v>5</v>
      </c>
      <c r="I13" s="1903">
        <f t="shared" si="1"/>
        <v>5</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t="s">
        <v>2098</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t="s">
        <v>2077</v>
      </c>
      <c r="D32" s="1890" t="s">
        <v>2077</v>
      </c>
      <c r="E32" s="1893"/>
      <c r="F32" s="1892" t="s">
        <v>2099</v>
      </c>
      <c r="H32" s="1903">
        <f t="shared" si="0"/>
        <v>5</v>
      </c>
      <c r="I32" s="1903">
        <f t="shared" si="1"/>
        <v>5</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0</v>
      </c>
      <c r="K34" s="1903">
        <f>SUM(H34:J34)</f>
        <v>30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Henry-Senachwine CUSD 5</v>
      </c>
      <c r="J6" s="2336"/>
      <c r="Q6" s="1686"/>
    </row>
    <row r="7" spans="1:17" x14ac:dyDescent="0.2">
      <c r="A7" s="2337" t="s">
        <v>924</v>
      </c>
      <c r="B7" s="2338"/>
      <c r="C7" s="2338"/>
      <c r="D7" s="2338"/>
      <c r="E7" s="2339"/>
      <c r="F7" s="1018"/>
      <c r="G7" s="1010"/>
      <c r="H7" s="1017" t="s">
        <v>390</v>
      </c>
      <c r="I7" s="2340">
        <f>COVER!A13</f>
        <v>35059005026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135399</v>
      </c>
      <c r="F12" s="1040"/>
      <c r="G12" s="1834">
        <f t="shared" ref="G12:G18" si="0">SUM(E12:F12)</f>
        <v>135399</v>
      </c>
      <c r="H12" s="1041">
        <v>141993</v>
      </c>
      <c r="I12" s="1040"/>
      <c r="J12" s="1834">
        <f t="shared" ref="J12:J18" si="1">SUM(H12:I12)</f>
        <v>141993</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135399</v>
      </c>
      <c r="F19" s="1836">
        <f t="shared" si="2"/>
        <v>0</v>
      </c>
      <c r="G19" s="1836">
        <f t="shared" si="2"/>
        <v>135399</v>
      </c>
      <c r="H19" s="1836">
        <f t="shared" si="2"/>
        <v>141993</v>
      </c>
      <c r="I19" s="1836">
        <f t="shared" si="2"/>
        <v>0</v>
      </c>
      <c r="J19" s="1836">
        <f t="shared" si="2"/>
        <v>141993</v>
      </c>
    </row>
    <row r="20" spans="1:10" ht="13.5" thickTop="1" x14ac:dyDescent="0.2">
      <c r="A20" s="1036">
        <v>9</v>
      </c>
      <c r="B20" s="2347" t="s">
        <v>1703</v>
      </c>
      <c r="C20" s="2347"/>
      <c r="D20" s="2348"/>
      <c r="E20" s="1047"/>
      <c r="F20" s="1047"/>
      <c r="G20" s="1047"/>
      <c r="H20" s="1047"/>
      <c r="I20" s="1047"/>
      <c r="J20" s="1837">
        <f>IF(AND(G19&gt;0,J19&gt;0),(((J19-G19)/G19)),"Enter Budget Data")</f>
        <v>4.8700507389271709E-2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20" sqref="B2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2100</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Henry-Senachwine CUSD 5</v>
      </c>
    </row>
    <row r="65" spans="2:2" x14ac:dyDescent="0.2">
      <c r="B65" s="1071">
        <f>COVER!A13</f>
        <v>35059005026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4" sqref="B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H19" sqref="H1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561975</xdr:colOff>
                <xdr:row>3</xdr:row>
                <xdr:rowOff>76200</xdr:rowOff>
              </from>
              <to>
                <xdr:col>1</xdr:col>
                <xdr:colOff>1476375</xdr:colOff>
                <xdr:row>7</xdr:row>
                <xdr:rowOff>114300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C12" sqref="C12:F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5202356</v>
      </c>
      <c r="C8" s="1838">
        <f>'Acct Summary 7-8'!D8</f>
        <v>632372</v>
      </c>
      <c r="D8" s="1838">
        <f>'Acct Summary 7-8'!F8</f>
        <v>534758</v>
      </c>
      <c r="E8" s="1838">
        <f>'Acct Summary 7-8'!I8</f>
        <v>72883</v>
      </c>
      <c r="F8" s="1838">
        <f>SUM(B8:E8)</f>
        <v>6442369</v>
      </c>
    </row>
    <row r="9" spans="1:8" s="1080" customFormat="1" ht="14.25" customHeight="1" thickBot="1" x14ac:dyDescent="0.25">
      <c r="A9" s="1079" t="s">
        <v>1436</v>
      </c>
      <c r="B9" s="1839">
        <f>'Acct Summary 7-8'!C17</f>
        <v>5199233</v>
      </c>
      <c r="C9" s="1839">
        <f>'Acct Summary 7-8'!D17</f>
        <v>507569</v>
      </c>
      <c r="D9" s="1839">
        <f>'Acct Summary 7-8'!F17</f>
        <v>428309</v>
      </c>
      <c r="E9" s="1838"/>
      <c r="F9" s="1838">
        <f>SUM(B9:E9)</f>
        <v>6135111</v>
      </c>
    </row>
    <row r="10" spans="1:8" s="1080" customFormat="1" ht="14.25" thickTop="1" thickBot="1" x14ac:dyDescent="0.25">
      <c r="A10" s="1081" t="s">
        <v>1437</v>
      </c>
      <c r="B10" s="1840">
        <f>(B8-B9)</f>
        <v>3123</v>
      </c>
      <c r="C10" s="1840">
        <f>(C8-C9)</f>
        <v>124803</v>
      </c>
      <c r="D10" s="1840">
        <f>(D8-D9)</f>
        <v>106449</v>
      </c>
      <c r="E10" s="1839">
        <f>(E8-E9)</f>
        <v>72883</v>
      </c>
      <c r="F10" s="1841">
        <f>SUM(F8-F9)</f>
        <v>307258</v>
      </c>
    </row>
    <row r="11" spans="1:8" s="1080" customFormat="1" ht="14.25" thickTop="1" thickBot="1" x14ac:dyDescent="0.25">
      <c r="A11" s="1082" t="s">
        <v>1785</v>
      </c>
      <c r="B11" s="1842">
        <f>'Acct Summary 7-8'!C81</f>
        <v>1027369</v>
      </c>
      <c r="C11" s="1842">
        <f>'Acct Summary 7-8'!D81</f>
        <v>838985</v>
      </c>
      <c r="D11" s="1842">
        <f>'Acct Summary 7-8'!F81</f>
        <v>353520</v>
      </c>
      <c r="E11" s="1842">
        <f>'Acct Summary 7-8'!I81</f>
        <v>1909326</v>
      </c>
      <c r="F11" s="1843">
        <f>SUM(B11:E11)</f>
        <v>4129200</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35059005026</v>
      </c>
    </row>
    <row r="3" spans="1:2" x14ac:dyDescent="0.2">
      <c r="A3" t="s">
        <v>1013</v>
      </c>
      <c r="B3" s="138" t="str">
        <f>COVER!A15</f>
        <v>Marshall</v>
      </c>
    </row>
    <row r="4" spans="1:2" x14ac:dyDescent="0.2">
      <c r="A4" t="s">
        <v>1064</v>
      </c>
      <c r="B4" s="138" t="str">
        <f>COVER!A17</f>
        <v>Henry-Senachwine CUSD 5</v>
      </c>
    </row>
    <row r="5" spans="1:2" x14ac:dyDescent="0.2">
      <c r="A5" t="s">
        <v>728</v>
      </c>
      <c r="B5" s="138" t="str">
        <f>COVER!A38</f>
        <v>Michael S. Miller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066-004501</v>
      </c>
    </row>
    <row r="16" spans="1:2" x14ac:dyDescent="0.2">
      <c r="A16" t="s">
        <v>442</v>
      </c>
      <c r="B16" s="138" t="str">
        <f>COVER!T13</f>
        <v>Hopkins &amp; Associates, CPAs</v>
      </c>
    </row>
    <row r="17" spans="1:2" x14ac:dyDescent="0.2">
      <c r="A17" t="s">
        <v>939</v>
      </c>
      <c r="B17" s="138" t="str">
        <f>COVER!T15</f>
        <v>Kim Bird</v>
      </c>
    </row>
    <row r="18" spans="1:2" x14ac:dyDescent="0.2">
      <c r="A18" t="s">
        <v>1212</v>
      </c>
      <c r="B18" s="138" t="str">
        <f>COVER!T17</f>
        <v>314 S McCoy St</v>
      </c>
    </row>
    <row r="19" spans="1:2" x14ac:dyDescent="0.2">
      <c r="A19" t="s">
        <v>941</v>
      </c>
      <c r="B19" s="138" t="str">
        <f>COVER!T25</f>
        <v>kim@hopkinsoffice.com</v>
      </c>
    </row>
    <row r="20" spans="1:2" x14ac:dyDescent="0.2">
      <c r="A20" t="s">
        <v>942</v>
      </c>
      <c r="B20" s="138" t="str">
        <f>COVER!T19</f>
        <v>Granville</v>
      </c>
    </row>
    <row r="21" spans="1:2" x14ac:dyDescent="0.2">
      <c r="A21" t="s">
        <v>500</v>
      </c>
      <c r="B21" s="138" t="str">
        <f>COVER!X19</f>
        <v>IL</v>
      </c>
    </row>
    <row r="22" spans="1:2" x14ac:dyDescent="0.2">
      <c r="A22" t="s">
        <v>943</v>
      </c>
      <c r="B22" s="138">
        <f>COVER!Z19</f>
        <v>61326</v>
      </c>
    </row>
    <row r="23" spans="1:2" x14ac:dyDescent="0.2">
      <c r="A23" t="s">
        <v>1214</v>
      </c>
      <c r="B23" s="138" t="str">
        <f>COVER!T21</f>
        <v>815-339-6630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1027369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1027369</v>
      </c>
      <c r="D92" s="2" t="str">
        <f t="shared" si="0"/>
        <v>Error?</v>
      </c>
    </row>
    <row r="93" spans="1:4" x14ac:dyDescent="0.2">
      <c r="A93" s="5">
        <v>32</v>
      </c>
      <c r="B93" s="138">
        <f>'Assets-Liab 5-6'!C41</f>
        <v>1027369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838985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838985</v>
      </c>
      <c r="D123" s="2" t="str">
        <f t="shared" si="0"/>
        <v>Error?</v>
      </c>
    </row>
    <row r="124" spans="1:4" x14ac:dyDescent="0.2">
      <c r="A124" s="5">
        <v>63</v>
      </c>
      <c r="B124" s="138">
        <f>'Assets-Liab 5-6'!D41</f>
        <v>838985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353520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353520</v>
      </c>
      <c r="D170" s="2" t="str">
        <f t="shared" si="1"/>
        <v>Error?</v>
      </c>
    </row>
    <row r="171" spans="1:4" x14ac:dyDescent="0.2">
      <c r="A171" s="5">
        <v>110</v>
      </c>
      <c r="B171" s="138">
        <f>'Assets-Liab 5-6'!F41</f>
        <v>353520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209283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209283</v>
      </c>
      <c r="D189" s="2" t="str">
        <f t="shared" si="1"/>
        <v>Error?</v>
      </c>
    </row>
    <row r="190" spans="1:4" x14ac:dyDescent="0.2">
      <c r="A190" s="5">
        <v>129</v>
      </c>
      <c r="B190" s="138">
        <f>'Assets-Liab 5-6'!G41</f>
        <v>209283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103400</v>
      </c>
      <c r="D273" s="2" t="str">
        <f t="shared" si="3"/>
        <v>Error?</v>
      </c>
    </row>
    <row r="274" spans="1:4" x14ac:dyDescent="0.2">
      <c r="A274" s="5">
        <v>213</v>
      </c>
      <c r="B274" s="138">
        <f>'Assets-Liab 5-6'!M17</f>
        <v>6770203</v>
      </c>
      <c r="D274" s="2" t="str">
        <f t="shared" si="3"/>
        <v>Error?</v>
      </c>
    </row>
    <row r="275" spans="1:4" x14ac:dyDescent="0.2">
      <c r="A275" s="5">
        <v>214</v>
      </c>
      <c r="B275" s="138">
        <f>'Assets-Liab 5-6'!M18</f>
        <v>589979</v>
      </c>
      <c r="D275" s="2" t="str">
        <f t="shared" si="3"/>
        <v>Error?</v>
      </c>
    </row>
    <row r="276" spans="1:4" x14ac:dyDescent="0.2">
      <c r="A276" s="5">
        <v>215</v>
      </c>
      <c r="B276" s="138">
        <f>'Assets-Liab 5-6'!M19</f>
        <v>3115883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10579465</v>
      </c>
      <c r="C279" s="2" t="s">
        <v>594</v>
      </c>
      <c r="D279" s="2" t="str">
        <f t="shared" si="3"/>
        <v>Error?</v>
      </c>
    </row>
    <row r="280" spans="1:4" x14ac:dyDescent="0.2">
      <c r="A280" s="5">
        <v>219</v>
      </c>
      <c r="B280" s="138">
        <f>'Assets-Liab 5-6'!M40</f>
        <v>10579465</v>
      </c>
      <c r="D280" s="2" t="str">
        <f t="shared" si="3"/>
        <v>Error?</v>
      </c>
    </row>
    <row r="281" spans="1:4" x14ac:dyDescent="0.2">
      <c r="A281" s="5">
        <v>220</v>
      </c>
      <c r="B281" s="138">
        <f>'Assets-Liab 5-6'!M41</f>
        <v>10579465</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2108029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4628</v>
      </c>
      <c r="D717" s="2" t="str">
        <f t="shared" si="10"/>
        <v>Error?</v>
      </c>
    </row>
    <row r="718" spans="1:4" x14ac:dyDescent="0.2">
      <c r="A718" s="5">
        <v>657</v>
      </c>
      <c r="B718" s="138">
        <f>'Expenditures 15-22'!C14</f>
        <v>115661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2971600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123390</v>
      </c>
      <c r="D722" s="2" t="str">
        <f t="shared" si="10"/>
        <v>Error?</v>
      </c>
    </row>
    <row r="723" spans="1:4" x14ac:dyDescent="0.2">
      <c r="A723" s="5">
        <v>662</v>
      </c>
      <c r="B723" s="138">
        <f>'Expenditures 15-22'!C38</f>
        <v>34041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83335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240766</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83234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83234</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103645</v>
      </c>
      <c r="D733" s="2" t="str">
        <f t="shared" si="10"/>
        <v>Error?</v>
      </c>
    </row>
    <row r="734" spans="1:4" x14ac:dyDescent="0.2">
      <c r="A734" s="5">
        <v>673</v>
      </c>
      <c r="B734" s="138">
        <f>'Expenditures 15-22'!C53</f>
        <v>103645</v>
      </c>
      <c r="C734" s="2" t="s">
        <v>594</v>
      </c>
      <c r="D734" s="2" t="str">
        <f t="shared" si="10"/>
        <v>Error?</v>
      </c>
    </row>
    <row r="735" spans="1:4" x14ac:dyDescent="0.2">
      <c r="A735" s="5">
        <v>674</v>
      </c>
      <c r="B735" s="138">
        <f>'Expenditures 15-22'!C55</f>
        <v>271478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271478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83229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116060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199289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898412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3870012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149507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13</v>
      </c>
      <c r="D775" s="2" t="str">
        <f t="shared" si="11"/>
        <v>Error?</v>
      </c>
    </row>
    <row r="776" spans="1:4" x14ac:dyDescent="0.2">
      <c r="A776" s="5">
        <v>715</v>
      </c>
      <c r="B776" s="138">
        <f>'Expenditures 15-22'!D14</f>
        <v>2265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238941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3144</v>
      </c>
      <c r="D780" s="2" t="str">
        <f t="shared" si="11"/>
        <v>Error?</v>
      </c>
    </row>
    <row r="781" spans="1:4" x14ac:dyDescent="0.2">
      <c r="A781" s="5">
        <v>720</v>
      </c>
      <c r="B781" s="138">
        <f>'Expenditures 15-22'!D38</f>
        <v>27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2121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5292</v>
      </c>
      <c r="C785" s="2" t="s">
        <v>594</v>
      </c>
      <c r="D785" s="2" t="str">
        <f t="shared" si="11"/>
        <v>Error?</v>
      </c>
    </row>
    <row r="786" spans="1:4" x14ac:dyDescent="0.2">
      <c r="A786" s="5">
        <v>725</v>
      </c>
      <c r="B786" s="138">
        <f>'Expenditures 15-22'!D44</f>
        <v>8555</v>
      </c>
      <c r="D786" s="2" t="str">
        <f t="shared" si="11"/>
        <v>Error?</v>
      </c>
    </row>
    <row r="787" spans="1:4" x14ac:dyDescent="0.2">
      <c r="A787" s="5">
        <v>726</v>
      </c>
      <c r="B787" s="138">
        <f>'Expenditures 15-22'!D45</f>
        <v>12387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20942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30634</v>
      </c>
      <c r="D791" s="2" t="str">
        <f t="shared" si="11"/>
        <v>Error?</v>
      </c>
    </row>
    <row r="792" spans="1:4" x14ac:dyDescent="0.2">
      <c r="A792" s="5">
        <v>731</v>
      </c>
      <c r="B792" s="138">
        <f>'Expenditures 15-22'!D53</f>
        <v>30634</v>
      </c>
      <c r="C792" s="2" t="s">
        <v>594</v>
      </c>
      <c r="D792" s="2" t="str">
        <f t="shared" si="11"/>
        <v>Error?</v>
      </c>
    </row>
    <row r="793" spans="1:4" x14ac:dyDescent="0.2">
      <c r="A793" s="5">
        <v>732</v>
      </c>
      <c r="B793" s="138">
        <f>'Expenditures 15-22'!D55</f>
        <v>33135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33135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8731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13449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22180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112183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351124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24389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31014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62383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13583</v>
      </c>
      <c r="D838" s="2" t="str">
        <f t="shared" si="12"/>
        <v>Error?</v>
      </c>
    </row>
    <row r="839" spans="1:4" x14ac:dyDescent="0.2">
      <c r="A839" s="5">
        <v>778</v>
      </c>
      <c r="B839" s="138">
        <f>'Expenditures 15-22'!E38</f>
        <v>7251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20834</v>
      </c>
      <c r="C843" s="2" t="s">
        <v>594</v>
      </c>
      <c r="D843" s="2" t="str">
        <f t="shared" si="12"/>
        <v>Error?</v>
      </c>
    </row>
    <row r="844" spans="1:4" x14ac:dyDescent="0.2">
      <c r="A844" s="5">
        <v>783</v>
      </c>
      <c r="B844" s="138">
        <f>'Expenditures 15-22'!E44</f>
        <v>25533</v>
      </c>
      <c r="D844" s="2" t="str">
        <f t="shared" si="12"/>
        <v>Error?</v>
      </c>
    </row>
    <row r="845" spans="1:4" x14ac:dyDescent="0.2">
      <c r="A845" s="5">
        <v>784</v>
      </c>
      <c r="B845" s="138">
        <f>'Expenditures 15-22'!E45</f>
        <v>35020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60553</v>
      </c>
      <c r="C847" s="2" t="s">
        <v>594</v>
      </c>
      <c r="D847" s="2" t="str">
        <f t="shared" si="12"/>
        <v>Error?</v>
      </c>
    </row>
    <row r="848" spans="1:4" x14ac:dyDescent="0.2">
      <c r="A848" s="5">
        <v>787</v>
      </c>
      <c r="B848" s="138">
        <f>'Expenditures 15-22'!E49</f>
        <v>28061</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28061</v>
      </c>
      <c r="C850" s="2" t="s">
        <v>594</v>
      </c>
      <c r="D850" s="2" t="str">
        <f t="shared" si="12"/>
        <v>Error?</v>
      </c>
    </row>
    <row r="851" spans="1:4" x14ac:dyDescent="0.2">
      <c r="A851" s="5">
        <v>790</v>
      </c>
      <c r="B851" s="138">
        <f>'Expenditures 15-22'!E55</f>
        <v>4890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4890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991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4370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5361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119699</v>
      </c>
      <c r="C871" s="2" t="s">
        <v>594</v>
      </c>
      <c r="D871" s="2" t="str">
        <f t="shared" si="12"/>
        <v>Error?</v>
      </c>
    </row>
    <row r="872" spans="1:4" x14ac:dyDescent="0.2">
      <c r="A872" s="5">
        <v>811</v>
      </c>
      <c r="B872" s="138">
        <f>'Expenditures 15-22'!E75</f>
        <v>385</v>
      </c>
      <c r="D872" s="2" t="str">
        <f t="shared" si="12"/>
        <v>Error?</v>
      </c>
    </row>
    <row r="873" spans="1:4" x14ac:dyDescent="0.2">
      <c r="A873" s="5">
        <v>812</v>
      </c>
      <c r="B873" s="138">
        <f>'Expenditures 15-22'!E114</f>
        <v>280362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106875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2794</v>
      </c>
      <c r="D891" s="2" t="str">
        <f t="shared" si="12"/>
        <v>Error?</v>
      </c>
    </row>
    <row r="892" spans="1:4" x14ac:dyDescent="0.2">
      <c r="A892" s="5">
        <v>831</v>
      </c>
      <c r="B892" s="138">
        <f>'Expenditures 15-22'!F14</f>
        <v>16218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148692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155</v>
      </c>
      <c r="D896" s="2" t="str">
        <f t="shared" si="13"/>
        <v>Error?</v>
      </c>
    </row>
    <row r="897" spans="1:4" x14ac:dyDescent="0.2">
      <c r="A897" s="5">
        <v>836</v>
      </c>
      <c r="B897" s="138">
        <f>'Expenditures 15-22'!F38</f>
        <v>3180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3335</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95118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95118</v>
      </c>
      <c r="C905" s="2" t="s">
        <v>594</v>
      </c>
      <c r="D905" s="2" t="str">
        <f t="shared" si="13"/>
        <v>Error?</v>
      </c>
    </row>
    <row r="906" spans="1:4" x14ac:dyDescent="0.2">
      <c r="A906" s="5">
        <v>845</v>
      </c>
      <c r="B906" s="138">
        <f>'Expenditures 15-22'!F49</f>
        <v>7161</v>
      </c>
      <c r="D906" s="2" t="str">
        <f t="shared" si="13"/>
        <v>Error?</v>
      </c>
    </row>
    <row r="907" spans="1:4" x14ac:dyDescent="0.2">
      <c r="A907" s="5">
        <v>846</v>
      </c>
      <c r="B907" s="138">
        <f>'Expenditures 15-22'!F50</f>
        <v>0</v>
      </c>
      <c r="D907" s="2" t="str">
        <f t="shared" si="13"/>
        <v>Error?</v>
      </c>
    </row>
    <row r="908" spans="1:4" x14ac:dyDescent="0.2">
      <c r="A908" s="5">
        <v>847</v>
      </c>
      <c r="B908" s="138">
        <f>'Expenditures 15-22'!F53</f>
        <v>7161</v>
      </c>
      <c r="C908" s="2" t="s">
        <v>594</v>
      </c>
      <c r="D908" s="2" t="str">
        <f t="shared" si="13"/>
        <v>Error?</v>
      </c>
    </row>
    <row r="909" spans="1:4" x14ac:dyDescent="0.2">
      <c r="A909" s="5">
        <v>848</v>
      </c>
      <c r="B909" s="138">
        <f>'Expenditures 15-22'!F55</f>
        <v>2699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2699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2259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133484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135743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244056</v>
      </c>
      <c r="C929" s="2" t="s">
        <v>594</v>
      </c>
      <c r="D929" s="2" t="str">
        <f t="shared" si="13"/>
        <v>Error?</v>
      </c>
    </row>
    <row r="930" spans="1:4" x14ac:dyDescent="0.2">
      <c r="A930" s="5">
        <v>869</v>
      </c>
      <c r="B930" s="138">
        <f>'Expenditures 15-22'!F75</f>
        <v>1312</v>
      </c>
      <c r="D930" s="2" t="str">
        <f t="shared" si="13"/>
        <v>Error?</v>
      </c>
    </row>
    <row r="931" spans="1:4" x14ac:dyDescent="0.2">
      <c r="A931" s="5">
        <v>870</v>
      </c>
      <c r="B931" s="138">
        <f>'Expenditures 15-22'!F114</f>
        <v>394060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45653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47282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1250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4284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5534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5534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52816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10242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152651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4022</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4022</v>
      </c>
      <c r="C1021" s="2" t="s">
        <v>594</v>
      </c>
      <c r="D1021" s="2" t="str">
        <f t="shared" si="14"/>
        <v>Error?</v>
      </c>
    </row>
    <row r="1022" spans="1:4" x14ac:dyDescent="0.2">
      <c r="A1022" s="5">
        <v>961</v>
      </c>
      <c r="B1022" s="138">
        <f>'Expenditures 15-22'!H49</f>
        <v>6188</v>
      </c>
      <c r="D1022" s="2" t="str">
        <f t="shared" si="14"/>
        <v>Error?</v>
      </c>
    </row>
    <row r="1023" spans="1:4" x14ac:dyDescent="0.2">
      <c r="A1023" s="5">
        <v>962</v>
      </c>
      <c r="B1023" s="138">
        <f>'Expenditures 15-22'!H50</f>
        <v>1120</v>
      </c>
      <c r="D1023" s="2" t="str">
        <f t="shared" ref="D1023:D1086" si="15">IF(ISBLANK(B1023),"OK",IF(A1023-B1023=0,"OK","Error?"))</f>
        <v>Error?</v>
      </c>
    </row>
    <row r="1024" spans="1:4" x14ac:dyDescent="0.2">
      <c r="A1024" s="5">
        <v>963</v>
      </c>
      <c r="B1024" s="138">
        <f>'Expenditures 15-22'!H53</f>
        <v>7308</v>
      </c>
      <c r="C1024" s="2" t="s">
        <v>594</v>
      </c>
      <c r="D1024" s="2" t="str">
        <f t="shared" si="15"/>
        <v>Error?</v>
      </c>
    </row>
    <row r="1025" spans="1:4" x14ac:dyDescent="0.2">
      <c r="A1025" s="5">
        <v>964</v>
      </c>
      <c r="B1025" s="138">
        <f>'Expenditures 15-22'!H55</f>
        <v>998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998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53</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12381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85827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250859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2434453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7435</v>
      </c>
      <c r="C1105" s="2" t="s">
        <v>594</v>
      </c>
      <c r="D1105" s="2" t="str">
        <f t="shared" si="16"/>
        <v>Error?</v>
      </c>
    </row>
    <row r="1106" spans="1:4" x14ac:dyDescent="0.2">
      <c r="A1106" s="5">
        <v>1045</v>
      </c>
      <c r="B1106" s="138">
        <f>'Expenditures 15-22'!K14</f>
        <v>175400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3621549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140272</v>
      </c>
      <c r="C1110" s="2" t="s">
        <v>594</v>
      </c>
      <c r="D1110" s="2" t="str">
        <f t="shared" si="16"/>
        <v>Error?</v>
      </c>
    </row>
    <row r="1111" spans="1:4" x14ac:dyDescent="0.2">
      <c r="A1111" s="5">
        <v>1050</v>
      </c>
      <c r="B1111" s="138">
        <f>'Expenditures 15-22'!K38</f>
        <v>44499</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85456</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270227</v>
      </c>
      <c r="C1115" s="2" t="s">
        <v>594</v>
      </c>
      <c r="D1115" s="2" t="str">
        <f t="shared" si="16"/>
        <v>Error?</v>
      </c>
    </row>
    <row r="1116" spans="1:4" x14ac:dyDescent="0.2">
      <c r="A1116" s="5">
        <v>1055</v>
      </c>
      <c r="B1116" s="138">
        <f>'Expenditures 15-22'!K44</f>
        <v>34088</v>
      </c>
      <c r="C1116" s="2" t="s">
        <v>594</v>
      </c>
      <c r="D1116" s="2" t="str">
        <f t="shared" si="16"/>
        <v>Error?</v>
      </c>
    </row>
    <row r="1117" spans="1:4" x14ac:dyDescent="0.2">
      <c r="A1117" s="5">
        <v>1056</v>
      </c>
      <c r="B1117" s="138">
        <f>'Expenditures 15-22'!K45</f>
        <v>229781</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263869</v>
      </c>
      <c r="C1119" s="2" t="s">
        <v>594</v>
      </c>
      <c r="D1119" s="2" t="str">
        <f t="shared" si="16"/>
        <v>Error?</v>
      </c>
    </row>
    <row r="1120" spans="1:4" x14ac:dyDescent="0.2">
      <c r="A1120" s="5">
        <v>1059</v>
      </c>
      <c r="B1120" s="138">
        <f>'Expenditures 15-22'!K49</f>
        <v>41410</v>
      </c>
      <c r="C1120" s="2" t="s">
        <v>594</v>
      </c>
      <c r="D1120" s="2" t="str">
        <f t="shared" si="16"/>
        <v>Error?</v>
      </c>
    </row>
    <row r="1121" spans="1:4" x14ac:dyDescent="0.2">
      <c r="A1121" s="5">
        <v>1060</v>
      </c>
      <c r="B1121" s="138">
        <f>'Expenditures 15-22'!K50</f>
        <v>135399</v>
      </c>
      <c r="C1121" s="2" t="s">
        <v>594</v>
      </c>
      <c r="D1121" s="2" t="str">
        <f t="shared" si="16"/>
        <v>Error?</v>
      </c>
    </row>
    <row r="1122" spans="1:4" x14ac:dyDescent="0.2">
      <c r="A1122" s="5">
        <v>1061</v>
      </c>
      <c r="B1122" s="138">
        <f>'Expenditures 15-22'!K53</f>
        <v>176809</v>
      </c>
      <c r="C1122" s="2" t="s">
        <v>594</v>
      </c>
      <c r="D1122" s="2" t="str">
        <f t="shared" si="16"/>
        <v>Error?</v>
      </c>
    </row>
    <row r="1123" spans="1:4" x14ac:dyDescent="0.2">
      <c r="A1123" s="5">
        <v>1062</v>
      </c>
      <c r="B1123" s="138">
        <f>'Expenditures 15-22'!K55</f>
        <v>313200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313200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96460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271700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368160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1392265</v>
      </c>
      <c r="C1143" s="2" t="s">
        <v>594</v>
      </c>
      <c r="D1143" s="2" t="str">
        <f t="shared" si="16"/>
        <v>Error?</v>
      </c>
    </row>
    <row r="1144" spans="1:4" x14ac:dyDescent="0.2">
      <c r="A1144" s="5">
        <v>1083</v>
      </c>
      <c r="B1144" s="138">
        <f>'Expenditures 15-22'!K75</f>
        <v>1697</v>
      </c>
      <c r="C1144" s="2" t="s">
        <v>594</v>
      </c>
      <c r="D1144" s="2" t="str">
        <f t="shared" si="16"/>
        <v>Error?</v>
      </c>
    </row>
    <row r="1145" spans="1:4" x14ac:dyDescent="0.2">
      <c r="A1145" s="5">
        <v>1084</v>
      </c>
      <c r="B1145" s="138">
        <f>'Expenditures 15-22'!K102</f>
        <v>183722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5199233</v>
      </c>
      <c r="C1152" s="2" t="s">
        <v>594</v>
      </c>
      <c r="D1152" s="2" t="str">
        <f t="shared" si="17"/>
        <v>Error?</v>
      </c>
    </row>
    <row r="1153" spans="1:4" x14ac:dyDescent="0.2">
      <c r="A1153" s="5">
        <v>1092</v>
      </c>
      <c r="B1153" s="138">
        <f>'Expenditures 15-22'!K115</f>
        <v>3123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183612</v>
      </c>
      <c r="D1221" s="2" t="str">
        <f t="shared" si="18"/>
        <v>Error?</v>
      </c>
    </row>
    <row r="1222" spans="1:4" x14ac:dyDescent="0.2">
      <c r="A1222" s="10">
        <v>1161</v>
      </c>
      <c r="D1222" s="2" t="str">
        <f t="shared" si="18"/>
        <v>OK</v>
      </c>
    </row>
    <row r="1223" spans="1:4" x14ac:dyDescent="0.2">
      <c r="A1223" s="5">
        <v>1162</v>
      </c>
      <c r="B1223" s="138">
        <f>'Expenditures 15-22'!C127</f>
        <v>183612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183612</v>
      </c>
      <c r="C1225" s="2" t="s">
        <v>594</v>
      </c>
      <c r="D1225" s="2" t="str">
        <f t="shared" si="18"/>
        <v>Error?</v>
      </c>
    </row>
    <row r="1226" spans="1:4" x14ac:dyDescent="0.2">
      <c r="A1226" s="5">
        <v>1165</v>
      </c>
      <c r="B1226" s="138">
        <f>'Expenditures 15-22'!C151</f>
        <v>183612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24468</v>
      </c>
      <c r="D1229" s="2" t="str">
        <f t="shared" si="18"/>
        <v>Error?</v>
      </c>
    </row>
    <row r="1230" spans="1:4" x14ac:dyDescent="0.2">
      <c r="A1230" s="10">
        <v>1169</v>
      </c>
      <c r="D1230" s="2" t="str">
        <f t="shared" si="18"/>
        <v>OK</v>
      </c>
    </row>
    <row r="1231" spans="1:4" x14ac:dyDescent="0.2">
      <c r="A1231" s="5">
        <v>1170</v>
      </c>
      <c r="B1231" s="138">
        <f>'Expenditures 15-22'!D127</f>
        <v>24468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24468</v>
      </c>
      <c r="C1233" s="2" t="s">
        <v>594</v>
      </c>
      <c r="D1233" s="2" t="str">
        <f t="shared" si="18"/>
        <v>Error?</v>
      </c>
    </row>
    <row r="1234" spans="1:4" x14ac:dyDescent="0.2">
      <c r="A1234" s="5">
        <v>1173</v>
      </c>
      <c r="B1234" s="138">
        <f>'Expenditures 15-22'!D151</f>
        <v>24468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13672</v>
      </c>
      <c r="D1236" s="2" t="str">
        <f t="shared" si="18"/>
        <v>Error?</v>
      </c>
    </row>
    <row r="1237" spans="1:4" x14ac:dyDescent="0.2">
      <c r="A1237" s="5">
        <v>1176</v>
      </c>
      <c r="B1237" s="138">
        <f>'Expenditures 15-22'!E124</f>
        <v>86817</v>
      </c>
      <c r="D1237" s="2" t="str">
        <f t="shared" si="18"/>
        <v>Error?</v>
      </c>
    </row>
    <row r="1238" spans="1:4" x14ac:dyDescent="0.2">
      <c r="A1238" s="10">
        <v>1177</v>
      </c>
      <c r="D1238" s="2" t="str">
        <f t="shared" si="18"/>
        <v>OK</v>
      </c>
    </row>
    <row r="1239" spans="1:4" x14ac:dyDescent="0.2">
      <c r="A1239" s="5">
        <v>1178</v>
      </c>
      <c r="B1239" s="138">
        <f>'Expenditures 15-22'!E127</f>
        <v>103213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103213</v>
      </c>
      <c r="C1241" s="2" t="s">
        <v>594</v>
      </c>
      <c r="D1241" s="2" t="str">
        <f t="shared" si="18"/>
        <v>Error?</v>
      </c>
    </row>
    <row r="1242" spans="1:4" x14ac:dyDescent="0.2">
      <c r="A1242" s="5">
        <v>1181</v>
      </c>
      <c r="B1242" s="138">
        <f>'Expenditures 15-22'!E151</f>
        <v>103213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151995</v>
      </c>
      <c r="D1245" s="2" t="str">
        <f t="shared" si="18"/>
        <v>Error?</v>
      </c>
    </row>
    <row r="1246" spans="1:4" x14ac:dyDescent="0.2">
      <c r="A1246" s="10">
        <v>1185</v>
      </c>
      <c r="D1246" s="2" t="str">
        <f t="shared" si="18"/>
        <v>OK</v>
      </c>
    </row>
    <row r="1247" spans="1:4" x14ac:dyDescent="0.2">
      <c r="A1247" s="5">
        <v>1186</v>
      </c>
      <c r="B1247" s="138">
        <f>'Expenditures 15-22'!F127</f>
        <v>151995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151995</v>
      </c>
      <c r="C1249" s="2" t="s">
        <v>594</v>
      </c>
      <c r="D1249" s="2" t="str">
        <f t="shared" si="18"/>
        <v>Error?</v>
      </c>
    </row>
    <row r="1250" spans="1:4" x14ac:dyDescent="0.2">
      <c r="A1250" s="5">
        <v>1189</v>
      </c>
      <c r="B1250" s="138">
        <f>'Expenditures 15-22'!F151</f>
        <v>151995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39107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44281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44281</v>
      </c>
      <c r="C1258" s="2" t="s">
        <v>594</v>
      </c>
      <c r="D1258" s="2" t="str">
        <f t="shared" si="18"/>
        <v>Error?</v>
      </c>
    </row>
    <row r="1259" spans="1:4" x14ac:dyDescent="0.2">
      <c r="A1259" s="5">
        <v>1198</v>
      </c>
      <c r="B1259" s="138">
        <f>'Expenditures 15-22'!G151</f>
        <v>44281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13672</v>
      </c>
      <c r="C1275" s="2" t="s">
        <v>594</v>
      </c>
      <c r="D1275" s="2" t="str">
        <f t="shared" si="18"/>
        <v>Error?</v>
      </c>
    </row>
    <row r="1276" spans="1:4" x14ac:dyDescent="0.2">
      <c r="A1276" s="5">
        <v>1215</v>
      </c>
      <c r="B1276" s="138">
        <f>'Expenditures 15-22'!K124</f>
        <v>485999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507569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507569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507569</v>
      </c>
      <c r="C1288" s="2" t="s">
        <v>594</v>
      </c>
      <c r="D1288" s="2" t="str">
        <f t="shared" si="19"/>
        <v>Error?</v>
      </c>
    </row>
    <row r="1289" spans="1:4" x14ac:dyDescent="0.2">
      <c r="A1289" s="5">
        <v>1228</v>
      </c>
      <c r="B1289" s="138">
        <f>'Expenditures 15-22'!K152</f>
        <v>124803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14192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300000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314692</v>
      </c>
      <c r="C1317" s="2" t="s">
        <v>594</v>
      </c>
      <c r="D1317" s="2" t="str">
        <f t="shared" si="19"/>
        <v>Error?</v>
      </c>
    </row>
    <row r="1318" spans="1:4" x14ac:dyDescent="0.2">
      <c r="A1318" s="5">
        <v>1257</v>
      </c>
      <c r="B1318" s="138">
        <f>'Expenditures 15-22'!H174</f>
        <v>314692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14192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300000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314692</v>
      </c>
      <c r="C1331" s="2" t="s">
        <v>594</v>
      </c>
      <c r="D1331" s="2" t="str">
        <f t="shared" si="19"/>
        <v>Error?</v>
      </c>
    </row>
    <row r="1332" spans="1:4" x14ac:dyDescent="0.2">
      <c r="A1332" s="5">
        <v>1271</v>
      </c>
      <c r="B1332" s="138">
        <f>'Expenditures 15-22'!K174</f>
        <v>314692</v>
      </c>
      <c r="C1332" s="2" t="s">
        <v>594</v>
      </c>
      <c r="D1332" s="2" t="str">
        <f t="shared" si="19"/>
        <v>Error?</v>
      </c>
    </row>
    <row r="1333" spans="1:4" x14ac:dyDescent="0.2">
      <c r="A1333" s="5">
        <v>1272</v>
      </c>
      <c r="B1333" s="138">
        <f>'Expenditures 15-22'!K175</f>
        <v>-4042</v>
      </c>
      <c r="C1333" s="2" t="s">
        <v>594</v>
      </c>
      <c r="D1333" s="2" t="str">
        <f t="shared" si="19"/>
        <v>Error?</v>
      </c>
    </row>
    <row r="1334" spans="1:4" x14ac:dyDescent="0.2">
      <c r="A1334" s="10">
        <v>1273</v>
      </c>
      <c r="D1334" s="2" t="str">
        <f t="shared" si="19"/>
        <v>OK</v>
      </c>
    </row>
    <row r="1335" spans="1:4" x14ac:dyDescent="0.2">
      <c r="A1335" s="5">
        <v>1274</v>
      </c>
      <c r="B1335" s="138">
        <f>'Expenditures 15-22'!C182</f>
        <v>286883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286883</v>
      </c>
      <c r="C1339" s="2" t="s">
        <v>594</v>
      </c>
      <c r="D1339" s="2" t="str">
        <f t="shared" si="19"/>
        <v>Error?</v>
      </c>
    </row>
    <row r="1340" spans="1:4" x14ac:dyDescent="0.2">
      <c r="A1340" s="5">
        <v>1279</v>
      </c>
      <c r="B1340" s="138">
        <f>'Expenditures 15-22'!C210</f>
        <v>286883</v>
      </c>
      <c r="C1340" s="2" t="s">
        <v>594</v>
      </c>
      <c r="D1340" s="2" t="str">
        <f t="shared" si="19"/>
        <v>Error?</v>
      </c>
    </row>
    <row r="1341" spans="1:4" x14ac:dyDescent="0.2">
      <c r="A1341" s="5">
        <v>1280</v>
      </c>
      <c r="B1341" s="138">
        <f>'Expenditures 15-22'!D182</f>
        <v>19487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19487</v>
      </c>
      <c r="C1345" s="2" t="s">
        <v>594</v>
      </c>
      <c r="D1345" s="2" t="str">
        <f t="shared" si="20"/>
        <v>Error?</v>
      </c>
    </row>
    <row r="1346" spans="1:4" x14ac:dyDescent="0.2">
      <c r="A1346" s="5">
        <v>1285</v>
      </c>
      <c r="B1346" s="138">
        <f>'Expenditures 15-22'!D210</f>
        <v>19487</v>
      </c>
      <c r="C1346" s="2" t="s">
        <v>594</v>
      </c>
      <c r="D1346" s="2" t="str">
        <f t="shared" si="20"/>
        <v>Error?</v>
      </c>
    </row>
    <row r="1347" spans="1:4" x14ac:dyDescent="0.2">
      <c r="A1347" s="5">
        <v>1286</v>
      </c>
      <c r="B1347" s="138">
        <f>'Expenditures 15-22'!E182</f>
        <v>20975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20975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20975</v>
      </c>
      <c r="C1353" s="2" t="s">
        <v>594</v>
      </c>
      <c r="D1353" s="2" t="str">
        <f t="shared" si="20"/>
        <v>Error?</v>
      </c>
    </row>
    <row r="1354" spans="1:4" x14ac:dyDescent="0.2">
      <c r="A1354" s="5">
        <v>1293</v>
      </c>
      <c r="B1354" s="138">
        <f>'Expenditures 15-22'!F182</f>
        <v>73495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73495</v>
      </c>
      <c r="C1358" s="2" t="s">
        <v>594</v>
      </c>
      <c r="D1358" s="2" t="str">
        <f t="shared" si="20"/>
        <v>Error?</v>
      </c>
    </row>
    <row r="1359" spans="1:4" x14ac:dyDescent="0.2">
      <c r="A1359" s="5">
        <v>1298</v>
      </c>
      <c r="B1359" s="138">
        <f>'Expenditures 15-22'!F210</f>
        <v>73495</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27469</v>
      </c>
      <c r="C1375" s="2" t="s">
        <v>594</v>
      </c>
      <c r="D1375" s="2" t="str">
        <f t="shared" si="20"/>
        <v>Error?</v>
      </c>
    </row>
    <row r="1376" spans="1:4" x14ac:dyDescent="0.2">
      <c r="A1376" s="5">
        <v>1315</v>
      </c>
      <c r="B1376" s="138">
        <f>'Expenditures 15-22'!H210</f>
        <v>27469</v>
      </c>
      <c r="C1376" s="2" t="s">
        <v>594</v>
      </c>
      <c r="D1376" s="2" t="str">
        <f t="shared" si="20"/>
        <v>Error?</v>
      </c>
    </row>
    <row r="1377" spans="1:4" x14ac:dyDescent="0.2">
      <c r="A1377" s="5">
        <v>1316</v>
      </c>
      <c r="B1377" s="138">
        <f>'Expenditures 15-22'!K182</f>
        <v>400840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400840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27469</v>
      </c>
      <c r="C1387" s="2" t="s">
        <v>594</v>
      </c>
      <c r="D1387" s="2" t="str">
        <f t="shared" si="20"/>
        <v>Error?</v>
      </c>
    </row>
    <row r="1388" spans="1:4" x14ac:dyDescent="0.2">
      <c r="A1388" s="5">
        <v>1327</v>
      </c>
      <c r="B1388" s="138">
        <f>'Expenditures 15-22'!K210</f>
        <v>428309</v>
      </c>
      <c r="C1388" s="2" t="s">
        <v>594</v>
      </c>
      <c r="D1388" s="2" t="str">
        <f t="shared" si="20"/>
        <v>Error?</v>
      </c>
    </row>
    <row r="1389" spans="1:4" x14ac:dyDescent="0.2">
      <c r="A1389" s="5">
        <v>1328</v>
      </c>
      <c r="B1389" s="138">
        <f>'Expenditures 15-22'!K211</f>
        <v>106449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67</v>
      </c>
      <c r="D1407" s="2" t="str">
        <f t="shared" ref="D1407:D1470" si="21">IF(ISBLANK(B1407),"OK",IF(A1407-B1407=0,"OK","Error?"))</f>
        <v>Error?</v>
      </c>
    </row>
    <row r="1408" spans="1:4" x14ac:dyDescent="0.2">
      <c r="A1408" s="5">
        <v>1347</v>
      </c>
      <c r="B1408" s="138">
        <f>'Expenditures 15-22'!D223</f>
        <v>6587</v>
      </c>
      <c r="D1408" s="2" t="str">
        <f t="shared" si="21"/>
        <v>Error?</v>
      </c>
    </row>
    <row r="1409" spans="1:4" x14ac:dyDescent="0.2">
      <c r="A1409" s="5">
        <v>1348</v>
      </c>
      <c r="B1409" s="138">
        <f>'Expenditures 15-22'!D224</f>
        <v>11</v>
      </c>
      <c r="D1409" s="2" t="str">
        <f t="shared" si="21"/>
        <v>Error?</v>
      </c>
    </row>
    <row r="1410" spans="1:4" x14ac:dyDescent="0.2">
      <c r="A1410" s="5">
        <v>1349</v>
      </c>
      <c r="B1410" s="138">
        <f>'Expenditures 15-22'!D229</f>
        <v>81308</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1660</v>
      </c>
      <c r="D1412" s="2" t="str">
        <f t="shared" si="21"/>
        <v>Error?</v>
      </c>
    </row>
    <row r="1413" spans="1:4" x14ac:dyDescent="0.2">
      <c r="A1413" s="5">
        <v>1352</v>
      </c>
      <c r="B1413" s="138">
        <f>'Expenditures 15-22'!D234</f>
        <v>6927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1072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9659</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15577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15577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3631</v>
      </c>
      <c r="D1423" s="2" t="str">
        <f t="shared" si="21"/>
        <v>Error?</v>
      </c>
    </row>
    <row r="1424" spans="1:4" x14ac:dyDescent="0.2">
      <c r="A1424" s="5">
        <v>1363</v>
      </c>
      <c r="B1424" s="138">
        <f>'Expenditures 15-22'!D257</f>
        <v>19747</v>
      </c>
      <c r="C1424" s="2" t="s">
        <v>594</v>
      </c>
      <c r="D1424" s="2" t="str">
        <f t="shared" si="21"/>
        <v>Error?</v>
      </c>
    </row>
    <row r="1425" spans="1:4" x14ac:dyDescent="0.2">
      <c r="A1425" s="5">
        <v>1364</v>
      </c>
      <c r="B1425" s="138">
        <f>'Expenditures 15-22'!D259</f>
        <v>20911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20911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37140</v>
      </c>
      <c r="D1431" s="2" t="str">
        <f t="shared" si="21"/>
        <v>Error?</v>
      </c>
    </row>
    <row r="1432" spans="1:4" x14ac:dyDescent="0.2">
      <c r="A1432" s="5">
        <v>1371</v>
      </c>
      <c r="B1432" s="138">
        <f>'Expenditures 15-22'!D267</f>
        <v>51452</v>
      </c>
      <c r="D1432" s="2" t="str">
        <f t="shared" si="21"/>
        <v>Error?</v>
      </c>
    </row>
    <row r="1433" spans="1:4" x14ac:dyDescent="0.2">
      <c r="A1433" s="5">
        <v>1372</v>
      </c>
      <c r="B1433" s="138">
        <f>'Expenditures 15-22'!D268</f>
        <v>21160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109752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175646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256954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67</v>
      </c>
      <c r="C1471" s="2" t="s">
        <v>594</v>
      </c>
      <c r="D1471" s="2" t="str">
        <f t="shared" ref="D1471:D1534" si="22">IF(ISBLANK(B1471),"OK",IF(A1471-B1471=0,"OK","Error?"))</f>
        <v>Error?</v>
      </c>
    </row>
    <row r="1472" spans="1:4" x14ac:dyDescent="0.2">
      <c r="A1472" s="5">
        <v>1411</v>
      </c>
      <c r="B1472" s="138">
        <f>'Expenditures 15-22'!K223</f>
        <v>6587</v>
      </c>
      <c r="C1472" s="2" t="s">
        <v>594</v>
      </c>
      <c r="D1472" s="2" t="str">
        <f t="shared" si="22"/>
        <v>Error?</v>
      </c>
    </row>
    <row r="1473" spans="1:4" x14ac:dyDescent="0.2">
      <c r="A1473" s="5">
        <v>1412</v>
      </c>
      <c r="B1473" s="138">
        <f>'Expenditures 15-22'!K224</f>
        <v>11</v>
      </c>
      <c r="C1473" s="2" t="s">
        <v>594</v>
      </c>
      <c r="D1473" s="2" t="str">
        <f t="shared" si="22"/>
        <v>Error?</v>
      </c>
    </row>
    <row r="1474" spans="1:4" x14ac:dyDescent="0.2">
      <c r="A1474" s="5">
        <v>1413</v>
      </c>
      <c r="B1474" s="138">
        <f>'Expenditures 15-22'!K229</f>
        <v>81308</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1660</v>
      </c>
      <c r="C1476" s="2" t="s">
        <v>594</v>
      </c>
      <c r="D1476" s="2" t="str">
        <f t="shared" si="22"/>
        <v>Error?</v>
      </c>
    </row>
    <row r="1477" spans="1:4" x14ac:dyDescent="0.2">
      <c r="A1477" s="5">
        <v>1416</v>
      </c>
      <c r="B1477" s="138">
        <f>'Expenditures 15-22'!K234</f>
        <v>6927</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1072</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9659</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15577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15577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3631</v>
      </c>
      <c r="C1487" s="2" t="s">
        <v>594</v>
      </c>
      <c r="D1487" s="2" t="str">
        <f t="shared" si="22"/>
        <v>Error?</v>
      </c>
    </row>
    <row r="1488" spans="1:4" x14ac:dyDescent="0.2">
      <c r="A1488" s="5">
        <v>1427</v>
      </c>
      <c r="B1488" s="138">
        <f>'Expenditures 15-22'!K257</f>
        <v>19747</v>
      </c>
      <c r="C1488" s="2" t="s">
        <v>594</v>
      </c>
      <c r="D1488" s="2" t="str">
        <f t="shared" si="22"/>
        <v>Error?</v>
      </c>
    </row>
    <row r="1489" spans="1:4" x14ac:dyDescent="0.2">
      <c r="A1489" s="5">
        <v>1428</v>
      </c>
      <c r="B1489" s="138">
        <f>'Expenditures 15-22'!K259</f>
        <v>20911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20911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37140</v>
      </c>
      <c r="C1495" s="2" t="s">
        <v>594</v>
      </c>
      <c r="D1495" s="2" t="str">
        <f t="shared" si="22"/>
        <v>Error?</v>
      </c>
    </row>
    <row r="1496" spans="1:4" x14ac:dyDescent="0.2">
      <c r="A1496" s="5">
        <v>1435</v>
      </c>
      <c r="B1496" s="138">
        <f>'Expenditures 15-22'!K267</f>
        <v>51452</v>
      </c>
      <c r="C1496" s="2" t="s">
        <v>594</v>
      </c>
      <c r="D1496" s="2" t="str">
        <f t="shared" si="22"/>
        <v>Error?</v>
      </c>
    </row>
    <row r="1497" spans="1:4" x14ac:dyDescent="0.2">
      <c r="A1497" s="5">
        <v>1436</v>
      </c>
      <c r="B1497" s="138">
        <f>'Expenditures 15-22'!K268</f>
        <v>21160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109752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175646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256954</v>
      </c>
      <c r="C1517" s="2" t="s">
        <v>594</v>
      </c>
      <c r="D1517" s="2" t="str">
        <f t="shared" si="22"/>
        <v>Error?</v>
      </c>
    </row>
    <row r="1518" spans="1:4" x14ac:dyDescent="0.2">
      <c r="A1518" s="5">
        <v>1457</v>
      </c>
      <c r="B1518" s="138">
        <f>'Expenditures 15-22'!K296</f>
        <v>28515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1024246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1027369</v>
      </c>
      <c r="C1630" s="2" t="s">
        <v>594</v>
      </c>
      <c r="D1630" s="2" t="str">
        <f t="shared" si="24"/>
        <v>Error?</v>
      </c>
    </row>
    <row r="1631" spans="1:4" x14ac:dyDescent="0.2">
      <c r="A1631" s="5">
        <v>1570</v>
      </c>
      <c r="B1631" s="138">
        <f>'Acct Summary 7-8'!D79</f>
        <v>714182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838985</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247071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353520</v>
      </c>
      <c r="C1672" s="2" t="s">
        <v>594</v>
      </c>
      <c r="D1672" s="2" t="str">
        <f t="shared" si="25"/>
        <v>Error?</v>
      </c>
    </row>
    <row r="1673" spans="1:4" x14ac:dyDescent="0.2">
      <c r="A1673" s="5">
        <v>1612</v>
      </c>
      <c r="B1673" s="138">
        <f>'Acct Summary 7-8'!G79</f>
        <v>180768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209283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2960807</v>
      </c>
      <c r="C1744" s="2" t="s">
        <v>594</v>
      </c>
      <c r="D1744" s="2" t="str">
        <f t="shared" si="26"/>
        <v>Error?</v>
      </c>
    </row>
    <row r="1745" spans="1:5" x14ac:dyDescent="0.2">
      <c r="A1745" s="5">
        <v>1684</v>
      </c>
      <c r="B1745" s="138">
        <f>'Tax Sched 23'!B5</f>
        <v>616834</v>
      </c>
      <c r="C1745" s="2" t="s">
        <v>594</v>
      </c>
      <c r="D1745" s="2" t="str">
        <f t="shared" si="26"/>
        <v>Error?</v>
      </c>
    </row>
    <row r="1746" spans="1:5" x14ac:dyDescent="0.2">
      <c r="A1746" s="5">
        <v>1685</v>
      </c>
      <c r="B1746" s="138">
        <f>'Tax Sched 23'!B6</f>
        <v>310279</v>
      </c>
      <c r="C1746" s="2" t="s">
        <v>594</v>
      </c>
      <c r="D1746" s="2" t="str">
        <f t="shared" si="26"/>
        <v>Error?</v>
      </c>
    </row>
    <row r="1747" spans="1:5" x14ac:dyDescent="0.2">
      <c r="A1747" s="5">
        <v>1686</v>
      </c>
      <c r="B1747" s="138">
        <f>'Tax Sched 23'!B7</f>
        <v>205610</v>
      </c>
      <c r="C1747" s="2" t="s">
        <v>594</v>
      </c>
      <c r="D1747" s="2" t="str">
        <f t="shared" si="26"/>
        <v>Error?</v>
      </c>
    </row>
    <row r="1748" spans="1:5" x14ac:dyDescent="0.2">
      <c r="A1748" s="5">
        <v>1687</v>
      </c>
      <c r="B1748" s="138">
        <f>'Tax Sched 23'!B8</f>
        <v>141300</v>
      </c>
      <c r="C1748" s="2" t="s">
        <v>594</v>
      </c>
      <c r="D1748" s="2" t="str">
        <f t="shared" si="26"/>
        <v>Error?</v>
      </c>
    </row>
    <row r="1749" spans="1:5" x14ac:dyDescent="0.2">
      <c r="A1749" s="5">
        <v>1688</v>
      </c>
      <c r="B1749" s="138">
        <f>'Tax Sched 23'!B10</f>
        <v>53449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281609</v>
      </c>
      <c r="C1752" s="2" t="s">
        <v>594</v>
      </c>
      <c r="D1752" s="2" t="str">
        <f t="shared" si="26"/>
        <v>Error?</v>
      </c>
    </row>
    <row r="1753" spans="1:5" x14ac:dyDescent="0.2">
      <c r="A1753" s="5">
        <v>1692</v>
      </c>
      <c r="B1753" s="138">
        <f>'Tax Sched 23'!B12</f>
        <v>51403</v>
      </c>
      <c r="C1753" s="2" t="s">
        <v>594</v>
      </c>
      <c r="D1753" s="2" t="str">
        <f t="shared" si="26"/>
        <v>Error?</v>
      </c>
    </row>
    <row r="1754" spans="1:5" x14ac:dyDescent="0.2">
      <c r="A1754" s="5">
        <v>1693</v>
      </c>
      <c r="B1754" s="138">
        <f>'Tax Sched 23'!B14</f>
        <v>41122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4855116</v>
      </c>
      <c r="C1759" s="2" t="s">
        <v>594</v>
      </c>
      <c r="D1759" s="2" t="str">
        <f t="shared" si="26"/>
        <v>Error?</v>
      </c>
    </row>
    <row r="1760" spans="1:5" x14ac:dyDescent="0.2">
      <c r="A1760" s="5">
        <v>1699</v>
      </c>
      <c r="B1760" s="138">
        <f>'Tax Sched 23'!D4</f>
        <v>2960807</v>
      </c>
      <c r="C1760" s="2" t="s">
        <v>594</v>
      </c>
      <c r="D1760" s="2" t="str">
        <f t="shared" si="26"/>
        <v>Error?</v>
      </c>
    </row>
    <row r="1761" spans="1:5" x14ac:dyDescent="0.2">
      <c r="A1761" s="5">
        <v>1700</v>
      </c>
      <c r="B1761" s="138">
        <f>'Tax Sched 23'!D5</f>
        <v>616834</v>
      </c>
      <c r="C1761" s="2" t="s">
        <v>594</v>
      </c>
      <c r="D1761" s="2" t="str">
        <f t="shared" si="26"/>
        <v>Error?</v>
      </c>
    </row>
    <row r="1762" spans="1:5" s="8" customFormat="1" x14ac:dyDescent="0.2">
      <c r="A1762" s="5">
        <v>1701</v>
      </c>
      <c r="B1762" s="138">
        <f>'Tax Sched 23'!D6</f>
        <v>310279</v>
      </c>
      <c r="C1762" s="2" t="s">
        <v>594</v>
      </c>
      <c r="D1762" s="2" t="str">
        <f t="shared" si="26"/>
        <v>Error?</v>
      </c>
      <c r="E1762" s="9"/>
    </row>
    <row r="1763" spans="1:5" x14ac:dyDescent="0.2">
      <c r="A1763" s="5">
        <v>1702</v>
      </c>
      <c r="B1763" s="138">
        <f>'Tax Sched 23'!D7</f>
        <v>205610</v>
      </c>
      <c r="C1763" s="2" t="s">
        <v>594</v>
      </c>
      <c r="D1763" s="2" t="str">
        <f t="shared" si="26"/>
        <v>Error?</v>
      </c>
    </row>
    <row r="1764" spans="1:5" x14ac:dyDescent="0.2">
      <c r="A1764" s="5">
        <v>1703</v>
      </c>
      <c r="B1764" s="138">
        <f>'Tax Sched 23'!D8</f>
        <v>141300</v>
      </c>
      <c r="C1764" s="2" t="s">
        <v>594</v>
      </c>
      <c r="D1764" s="2" t="str">
        <f t="shared" si="26"/>
        <v>Error?</v>
      </c>
    </row>
    <row r="1765" spans="1:5" x14ac:dyDescent="0.2">
      <c r="A1765" s="5">
        <v>1704</v>
      </c>
      <c r="B1765" s="138">
        <f>'Tax Sched 23'!D10</f>
        <v>53449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281609</v>
      </c>
      <c r="C1768" s="2" t="s">
        <v>594</v>
      </c>
      <c r="D1768" s="2" t="str">
        <f t="shared" si="26"/>
        <v>Error?</v>
      </c>
    </row>
    <row r="1769" spans="1:5" x14ac:dyDescent="0.2">
      <c r="A1769" s="5">
        <v>1708</v>
      </c>
      <c r="B1769" s="138">
        <f>'Tax Sched 23'!D12</f>
        <v>51403</v>
      </c>
      <c r="C1769" s="2" t="s">
        <v>594</v>
      </c>
      <c r="D1769" s="2" t="str">
        <f t="shared" si="26"/>
        <v>Error?</v>
      </c>
    </row>
    <row r="1770" spans="1:5" x14ac:dyDescent="0.2">
      <c r="A1770" s="5">
        <v>1709</v>
      </c>
      <c r="B1770" s="138">
        <f>'Tax Sched 23'!D14</f>
        <v>41122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4855116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2943547.0559999999</v>
      </c>
      <c r="C1792" s="2" t="s">
        <v>594</v>
      </c>
      <c r="D1792" s="2" t="str">
        <f t="shared" si="27"/>
        <v>Error?</v>
      </c>
    </row>
    <row r="1793" spans="1:4" x14ac:dyDescent="0.2">
      <c r="A1793" s="5">
        <v>1732</v>
      </c>
      <c r="B1793" s="138">
        <f>'Tax Sched 23'!F5</f>
        <v>613238.97</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204412.99</v>
      </c>
      <c r="C1795" s="2" t="s">
        <v>594</v>
      </c>
      <c r="D1795" s="2" t="str">
        <f t="shared" si="27"/>
        <v>Error?</v>
      </c>
    </row>
    <row r="1796" spans="1:4" x14ac:dyDescent="0.2">
      <c r="A1796" s="5">
        <v>1735</v>
      </c>
      <c r="B1796" s="138">
        <f>'Tax Sched 23'!F8</f>
        <v>143007</v>
      </c>
      <c r="C1796" s="2" t="s">
        <v>594</v>
      </c>
      <c r="D1796" s="2" t="str">
        <f t="shared" si="27"/>
        <v>Error?</v>
      </c>
    </row>
    <row r="1797" spans="1:4" x14ac:dyDescent="0.2">
      <c r="A1797" s="5">
        <v>1736</v>
      </c>
      <c r="B1797" s="138">
        <f>'Tax Sched 23'!F10</f>
        <v>51103.247499999998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300006.7247735</v>
      </c>
      <c r="C1800" s="2" t="s">
        <v>594</v>
      </c>
      <c r="D1800" s="2" t="str">
        <f t="shared" si="27"/>
        <v>Error?</v>
      </c>
    </row>
    <row r="1801" spans="1:4" x14ac:dyDescent="0.2">
      <c r="A1801" s="5">
        <v>1740</v>
      </c>
      <c r="B1801" s="138">
        <f>'Tax Sched 23'!F12</f>
        <v>51103.247499999998</v>
      </c>
      <c r="C1801" s="2" t="s">
        <v>594</v>
      </c>
      <c r="D1801" s="2" t="str">
        <f t="shared" si="27"/>
        <v>Error?</v>
      </c>
    </row>
    <row r="1802" spans="1:4" x14ac:dyDescent="0.2">
      <c r="A1802" s="5">
        <v>1741</v>
      </c>
      <c r="B1802" s="138">
        <f>'Tax Sched 23'!F14</f>
        <v>40882.598000000005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4541412.4090774991</v>
      </c>
      <c r="C1807" s="2" t="s">
        <v>594</v>
      </c>
      <c r="D1807" s="2" t="str">
        <f t="shared" si="27"/>
        <v>Error?</v>
      </c>
    </row>
    <row r="1808" spans="1:4" x14ac:dyDescent="0.2">
      <c r="A1808" s="5">
        <v>1747</v>
      </c>
      <c r="B1808" s="138">
        <f>'Tax Sched 23'!E4</f>
        <v>2943547.0559999999</v>
      </c>
      <c r="D1808" s="2" t="str">
        <f t="shared" si="27"/>
        <v>Error?</v>
      </c>
    </row>
    <row r="1809" spans="1:4" x14ac:dyDescent="0.2">
      <c r="A1809" s="5">
        <v>1748</v>
      </c>
      <c r="B1809" s="138">
        <f>'Tax Sched 23'!E5</f>
        <v>613238.97</v>
      </c>
      <c r="D1809" s="2" t="str">
        <f t="shared" si="27"/>
        <v>Error?</v>
      </c>
    </row>
    <row r="1810" spans="1:4" x14ac:dyDescent="0.2">
      <c r="A1810" s="5">
        <v>1749</v>
      </c>
      <c r="B1810" s="138">
        <f>'Tax Sched 23'!E6</f>
        <v>0</v>
      </c>
      <c r="D1810" s="2" t="str">
        <f t="shared" si="27"/>
        <v>Error?</v>
      </c>
    </row>
    <row r="1811" spans="1:4" x14ac:dyDescent="0.2">
      <c r="A1811" s="5">
        <v>1750</v>
      </c>
      <c r="B1811" s="138">
        <f>'Tax Sched 23'!E7</f>
        <v>204412.99</v>
      </c>
      <c r="D1811" s="2" t="str">
        <f t="shared" si="27"/>
        <v>Error?</v>
      </c>
    </row>
    <row r="1812" spans="1:4" x14ac:dyDescent="0.2">
      <c r="A1812" s="5">
        <v>1751</v>
      </c>
      <c r="B1812" s="138">
        <f>'Tax Sched 23'!E8</f>
        <v>143007</v>
      </c>
      <c r="D1812" s="2" t="str">
        <f t="shared" si="27"/>
        <v>Error?</v>
      </c>
    </row>
    <row r="1813" spans="1:4" x14ac:dyDescent="0.2">
      <c r="A1813" s="5">
        <v>1752</v>
      </c>
      <c r="B1813" s="138">
        <f>'Tax Sched 23'!E10</f>
        <v>51103.247499999998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300006.7247735</v>
      </c>
      <c r="D1816" s="2" t="str">
        <f t="shared" si="27"/>
        <v>Error?</v>
      </c>
    </row>
    <row r="1817" spans="1:4" x14ac:dyDescent="0.2">
      <c r="A1817" s="5">
        <v>1756</v>
      </c>
      <c r="B1817" s="138">
        <f>'Tax Sched 23'!E12</f>
        <v>51103.247499999998</v>
      </c>
      <c r="D1817" s="2" t="str">
        <f t="shared" si="27"/>
        <v>Error?</v>
      </c>
    </row>
    <row r="1818" spans="1:4" x14ac:dyDescent="0.2">
      <c r="A1818" s="5">
        <v>1757</v>
      </c>
      <c r="B1818" s="138">
        <f>'Tax Sched 23'!E14</f>
        <v>40882.598000000005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4541412.4090774991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300000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41122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41122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41122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103400</v>
      </c>
      <c r="D2008" s="2" t="str">
        <f t="shared" si="30"/>
        <v>Error?</v>
      </c>
    </row>
    <row r="2009" spans="1:4" x14ac:dyDescent="0.2">
      <c r="A2009" s="5">
        <v>1948</v>
      </c>
      <c r="B2009" s="138">
        <f>'Cap Outlay Deprec 26'!C8</f>
        <v>6743569</v>
      </c>
      <c r="D2009" s="2" t="str">
        <f t="shared" si="30"/>
        <v>Error?</v>
      </c>
    </row>
    <row r="2010" spans="1:4" x14ac:dyDescent="0.2">
      <c r="A2010" s="5">
        <v>1949</v>
      </c>
      <c r="B2010" s="138">
        <f>'Cap Outlay Deprec 26'!C10</f>
        <v>589979</v>
      </c>
      <c r="D2010" s="2" t="str">
        <f t="shared" si="30"/>
        <v>Error?</v>
      </c>
    </row>
    <row r="2011" spans="1:4" x14ac:dyDescent="0.2">
      <c r="A2011" s="5">
        <v>1950</v>
      </c>
      <c r="B2011" s="138">
        <f>'Cap Outlay Deprec 26'!C12</f>
        <v>1114906</v>
      </c>
      <c r="D2011" s="2" t="str">
        <f t="shared" si="30"/>
        <v>Error?</v>
      </c>
    </row>
    <row r="2012" spans="1:4" x14ac:dyDescent="0.2">
      <c r="A2012" s="5">
        <v>1951</v>
      </c>
      <c r="B2012" s="138">
        <f>'Cap Outlay Deprec 26'!C13</f>
        <v>1379179</v>
      </c>
      <c r="D2012" s="2" t="str">
        <f t="shared" si="30"/>
        <v>Error?</v>
      </c>
    </row>
    <row r="2013" spans="1:4" x14ac:dyDescent="0.2">
      <c r="A2013" s="5">
        <v>1952</v>
      </c>
      <c r="B2013" s="138">
        <f>'Cap Outlay Deprec 26'!C16</f>
        <v>10376896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26634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134926</v>
      </c>
      <c r="D2017" s="2" t="str">
        <f t="shared" si="30"/>
        <v>Error?</v>
      </c>
    </row>
    <row r="2018" spans="1:4" x14ac:dyDescent="0.2">
      <c r="A2018" s="5">
        <v>1957</v>
      </c>
      <c r="B2018" s="138">
        <f>'Cap Outlay Deprec 26'!D13</f>
        <v>44519</v>
      </c>
      <c r="D2018" s="2" t="str">
        <f t="shared" si="30"/>
        <v>Error?</v>
      </c>
    </row>
    <row r="2019" spans="1:4" x14ac:dyDescent="0.2">
      <c r="A2019" s="5">
        <v>1958</v>
      </c>
      <c r="B2019" s="138">
        <f>'Cap Outlay Deprec 26'!D16</f>
        <v>206079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3510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3510</v>
      </c>
      <c r="C2025" s="2" t="s">
        <v>594</v>
      </c>
      <c r="D2025" s="2" t="str">
        <f t="shared" si="30"/>
        <v>Error?</v>
      </c>
    </row>
    <row r="2026" spans="1:4" x14ac:dyDescent="0.2">
      <c r="A2026" s="5">
        <v>1965</v>
      </c>
      <c r="B2026" s="138">
        <f>'Cap Outlay Deprec 26'!F5</f>
        <v>103400</v>
      </c>
      <c r="C2026" s="2" t="s">
        <v>594</v>
      </c>
      <c r="D2026" s="2" t="str">
        <f t="shared" si="30"/>
        <v>Error?</v>
      </c>
    </row>
    <row r="2027" spans="1:4" x14ac:dyDescent="0.2">
      <c r="A2027" s="5">
        <v>1966</v>
      </c>
      <c r="B2027" s="138">
        <f>'Cap Outlay Deprec 26'!F8</f>
        <v>6770203</v>
      </c>
      <c r="C2027" s="2" t="s">
        <v>594</v>
      </c>
      <c r="D2027" s="2" t="str">
        <f t="shared" si="30"/>
        <v>Error?</v>
      </c>
    </row>
    <row r="2028" spans="1:4" x14ac:dyDescent="0.2">
      <c r="A2028" s="5">
        <v>1967</v>
      </c>
      <c r="B2028" s="138">
        <f>'Cap Outlay Deprec 26'!F10</f>
        <v>589979</v>
      </c>
      <c r="C2028" s="2" t="s">
        <v>594</v>
      </c>
      <c r="D2028" s="2" t="str">
        <f t="shared" si="30"/>
        <v>Error?</v>
      </c>
    </row>
    <row r="2029" spans="1:4" x14ac:dyDescent="0.2">
      <c r="A2029" s="5">
        <v>1968</v>
      </c>
      <c r="B2029" s="138">
        <f>'Cap Outlay Deprec 26'!F12</f>
        <v>1246322</v>
      </c>
      <c r="C2029" s="2" t="s">
        <v>594</v>
      </c>
      <c r="D2029" s="2" t="str">
        <f t="shared" si="30"/>
        <v>Error?</v>
      </c>
    </row>
    <row r="2030" spans="1:4" x14ac:dyDescent="0.2">
      <c r="A2030" s="5">
        <v>1969</v>
      </c>
      <c r="B2030" s="138">
        <f>'Cap Outlay Deprec 26'!F13</f>
        <v>1423698</v>
      </c>
      <c r="C2030" s="2" t="s">
        <v>594</v>
      </c>
      <c r="D2030" s="2" t="str">
        <f t="shared" si="30"/>
        <v>Error?</v>
      </c>
    </row>
    <row r="2031" spans="1:4" x14ac:dyDescent="0.2">
      <c r="A2031" s="5">
        <v>1970</v>
      </c>
      <c r="B2031" s="138">
        <f>'Cap Outlay Deprec 26'!F16</f>
        <v>10579465</v>
      </c>
      <c r="C2031" s="2" t="s">
        <v>594</v>
      </c>
      <c r="D2031" s="2" t="str">
        <f t="shared" si="30"/>
        <v>Error?</v>
      </c>
    </row>
    <row r="2032" spans="1:4" x14ac:dyDescent="0.2">
      <c r="A2032" s="10">
        <v>1971</v>
      </c>
      <c r="D2032" s="2" t="str">
        <f t="shared" si="30"/>
        <v>OK</v>
      </c>
    </row>
    <row r="2033" spans="1:4" x14ac:dyDescent="0.2">
      <c r="A2033" s="5">
        <v>1972</v>
      </c>
      <c r="B2033" s="138">
        <f>'Cap Outlay Deprec 26'!H8</f>
        <v>3594816</v>
      </c>
      <c r="D2033" s="2" t="str">
        <f t="shared" si="30"/>
        <v>Error?</v>
      </c>
    </row>
    <row r="2034" spans="1:4" x14ac:dyDescent="0.2">
      <c r="A2034" s="5">
        <v>1973</v>
      </c>
      <c r="B2034" s="138">
        <f>'Cap Outlay Deprec 26'!H10</f>
        <v>342386</v>
      </c>
      <c r="D2034" s="2" t="str">
        <f t="shared" si="30"/>
        <v>Error?</v>
      </c>
    </row>
    <row r="2035" spans="1:4" x14ac:dyDescent="0.2">
      <c r="A2035" s="5">
        <v>1974</v>
      </c>
      <c r="B2035" s="138">
        <f>'Cap Outlay Deprec 26'!H12</f>
        <v>1043314</v>
      </c>
      <c r="D2035" s="2" t="str">
        <f t="shared" si="30"/>
        <v>Error?</v>
      </c>
    </row>
    <row r="2036" spans="1:4" x14ac:dyDescent="0.2">
      <c r="A2036" s="5">
        <v>1975</v>
      </c>
      <c r="B2036" s="138">
        <f>'Cap Outlay Deprec 26'!H13</f>
        <v>976671</v>
      </c>
      <c r="D2036" s="2" t="str">
        <f t="shared" si="30"/>
        <v>Error?</v>
      </c>
    </row>
    <row r="2037" spans="1:4" x14ac:dyDescent="0.2">
      <c r="A2037" s="5">
        <v>1976</v>
      </c>
      <c r="B2037" s="138">
        <f>'Cap Outlay Deprec 26'!H16</f>
        <v>6403050</v>
      </c>
      <c r="C2037" s="2" t="s">
        <v>594</v>
      </c>
      <c r="D2037" s="2" t="str">
        <f t="shared" si="30"/>
        <v>Error?</v>
      </c>
    </row>
    <row r="2038" spans="1:4" x14ac:dyDescent="0.2">
      <c r="A2038" s="10">
        <v>1977</v>
      </c>
      <c r="D2038" s="2" t="str">
        <f t="shared" si="30"/>
        <v>OK</v>
      </c>
    </row>
    <row r="2039" spans="1:4" x14ac:dyDescent="0.2">
      <c r="A2039" s="5">
        <v>1978</v>
      </c>
      <c r="B2039" s="138">
        <f>'Cap Outlay Deprec 26'!I8</f>
        <v>128291</v>
      </c>
      <c r="D2039" s="2" t="str">
        <f t="shared" si="30"/>
        <v>Error?</v>
      </c>
    </row>
    <row r="2040" spans="1:4" x14ac:dyDescent="0.2">
      <c r="A2040" s="5">
        <v>1979</v>
      </c>
      <c r="B2040" s="138">
        <f>'Cap Outlay Deprec 26'!I10</f>
        <v>19704</v>
      </c>
      <c r="D2040" s="2" t="str">
        <f t="shared" si="30"/>
        <v>Error?</v>
      </c>
    </row>
    <row r="2041" spans="1:4" x14ac:dyDescent="0.2">
      <c r="A2041" s="5">
        <v>1980</v>
      </c>
      <c r="B2041" s="138">
        <f>'Cap Outlay Deprec 26'!I12</f>
        <v>31047</v>
      </c>
      <c r="D2041" s="2" t="str">
        <f t="shared" si="30"/>
        <v>Error?</v>
      </c>
    </row>
    <row r="2042" spans="1:4" x14ac:dyDescent="0.2">
      <c r="A2042" s="5">
        <v>1981</v>
      </c>
      <c r="B2042" s="138">
        <f>'Cap Outlay Deprec 26'!I13</f>
        <v>126730</v>
      </c>
      <c r="D2042" s="2" t="str">
        <f t="shared" si="30"/>
        <v>Error?</v>
      </c>
    </row>
    <row r="2043" spans="1:4" x14ac:dyDescent="0.2">
      <c r="A2043" s="5">
        <v>1982</v>
      </c>
      <c r="B2043" s="138">
        <f>'Cap Outlay Deprec 26'!I16</f>
        <v>305772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1404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1404</v>
      </c>
      <c r="C2049" s="2" t="s">
        <v>594</v>
      </c>
      <c r="D2049" s="2" t="str">
        <f t="shared" si="31"/>
        <v>Error?</v>
      </c>
    </row>
    <row r="2050" spans="1:4" x14ac:dyDescent="0.2">
      <c r="A2050" s="10">
        <v>1989</v>
      </c>
      <c r="D2050" s="2" t="str">
        <f t="shared" si="31"/>
        <v>OK</v>
      </c>
    </row>
    <row r="2051" spans="1:4" x14ac:dyDescent="0.2">
      <c r="A2051" s="5">
        <v>1990</v>
      </c>
      <c r="B2051" s="138">
        <f>'Cap Outlay Deprec 26'!K8</f>
        <v>3723107</v>
      </c>
      <c r="C2051" s="2" t="s">
        <v>594</v>
      </c>
      <c r="D2051" s="2" t="str">
        <f t="shared" si="31"/>
        <v>Error?</v>
      </c>
    </row>
    <row r="2052" spans="1:4" x14ac:dyDescent="0.2">
      <c r="A2052" s="5">
        <v>1991</v>
      </c>
      <c r="B2052" s="138">
        <f>'Cap Outlay Deprec 26'!K10</f>
        <v>362090</v>
      </c>
      <c r="C2052" s="2" t="s">
        <v>594</v>
      </c>
      <c r="D2052" s="2" t="str">
        <f t="shared" si="31"/>
        <v>Error?</v>
      </c>
    </row>
    <row r="2053" spans="1:4" x14ac:dyDescent="0.2">
      <c r="A2053" s="5">
        <v>1992</v>
      </c>
      <c r="B2053" s="138">
        <f>'Cap Outlay Deprec 26'!K12</f>
        <v>1072957</v>
      </c>
      <c r="C2053" s="2" t="s">
        <v>594</v>
      </c>
      <c r="D2053" s="2" t="str">
        <f t="shared" si="31"/>
        <v>Error?</v>
      </c>
    </row>
    <row r="2054" spans="1:4" x14ac:dyDescent="0.2">
      <c r="A2054" s="5">
        <v>1993</v>
      </c>
      <c r="B2054" s="138">
        <f>'Cap Outlay Deprec 26'!K13</f>
        <v>1103401</v>
      </c>
      <c r="C2054" s="2" t="s">
        <v>594</v>
      </c>
      <c r="D2054" s="2" t="str">
        <f t="shared" si="31"/>
        <v>Error?</v>
      </c>
    </row>
    <row r="2055" spans="1:4" x14ac:dyDescent="0.2">
      <c r="A2055" s="5">
        <v>1994</v>
      </c>
      <c r="B2055" s="138">
        <f>'Cap Outlay Deprec 26'!K16</f>
        <v>6707418</v>
      </c>
      <c r="C2055" s="2" t="s">
        <v>594</v>
      </c>
      <c r="D2055" s="2" t="str">
        <f t="shared" si="31"/>
        <v>Error?</v>
      </c>
    </row>
    <row r="2056" spans="1:4" x14ac:dyDescent="0.2">
      <c r="A2056" s="5">
        <v>1995</v>
      </c>
      <c r="B2056" s="138">
        <f>'Cap Outlay Deprec 26'!L5</f>
        <v>103400</v>
      </c>
      <c r="C2056" s="2" t="s">
        <v>594</v>
      </c>
      <c r="D2056" s="2" t="str">
        <f t="shared" si="31"/>
        <v>Error?</v>
      </c>
    </row>
    <row r="2057" spans="1:4" x14ac:dyDescent="0.2">
      <c r="A2057" s="5">
        <v>1996</v>
      </c>
      <c r="B2057" s="138">
        <f>'Cap Outlay Deprec 26'!L8</f>
        <v>3047096</v>
      </c>
      <c r="C2057" s="2" t="s">
        <v>594</v>
      </c>
      <c r="D2057" s="2" t="str">
        <f t="shared" si="31"/>
        <v>Error?</v>
      </c>
    </row>
    <row r="2058" spans="1:4" x14ac:dyDescent="0.2">
      <c r="A2058" s="5">
        <v>1997</v>
      </c>
      <c r="B2058" s="138">
        <f>'Cap Outlay Deprec 26'!L10</f>
        <v>227889</v>
      </c>
      <c r="C2058" s="2" t="s">
        <v>594</v>
      </c>
      <c r="D2058" s="2" t="str">
        <f t="shared" si="31"/>
        <v>Error?</v>
      </c>
    </row>
    <row r="2059" spans="1:4" x14ac:dyDescent="0.2">
      <c r="A2059" s="5">
        <v>1998</v>
      </c>
      <c r="B2059" s="138">
        <f>'Cap Outlay Deprec 26'!L12</f>
        <v>173365</v>
      </c>
      <c r="C2059" s="2" t="s">
        <v>594</v>
      </c>
      <c r="D2059" s="2" t="str">
        <f t="shared" si="31"/>
        <v>Error?</v>
      </c>
    </row>
    <row r="2060" spans="1:4" x14ac:dyDescent="0.2">
      <c r="A2060" s="5">
        <v>1999</v>
      </c>
      <c r="B2060" s="138">
        <f>'Cap Outlay Deprec 26'!L13</f>
        <v>320297</v>
      </c>
      <c r="C2060" s="2" t="s">
        <v>594</v>
      </c>
      <c r="D2060" s="2" t="str">
        <f t="shared" si="31"/>
        <v>Error?</v>
      </c>
    </row>
    <row r="2061" spans="1:4" x14ac:dyDescent="0.2">
      <c r="A2061" s="5">
        <v>2000</v>
      </c>
      <c r="B2061" s="138">
        <f>'Cap Outlay Deprec 26'!L16</f>
        <v>3872047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4302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102197</v>
      </c>
      <c r="C2088" s="2" t="s">
        <v>594</v>
      </c>
      <c r="D2088" s="2" t="str">
        <f t="shared" si="31"/>
        <v>Error?</v>
      </c>
    </row>
    <row r="2089" spans="1:4" x14ac:dyDescent="0.2">
      <c r="A2089" s="5">
        <v>2028</v>
      </c>
      <c r="B2089" s="138">
        <f>'Expenditures 15-22'!K92</f>
        <v>81525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4042</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3823747</v>
      </c>
      <c r="C2551" s="2" t="s">
        <v>594</v>
      </c>
      <c r="D2551" s="2" t="str">
        <f t="shared" si="38"/>
        <v>Error?</v>
      </c>
    </row>
    <row r="2552" spans="1:4" x14ac:dyDescent="0.2">
      <c r="A2552" s="10">
        <v>2491</v>
      </c>
      <c r="D2552" s="2" t="str">
        <f t="shared" si="38"/>
        <v>OK</v>
      </c>
    </row>
    <row r="2553" spans="1:4" x14ac:dyDescent="0.2">
      <c r="A2553" s="5">
        <v>2492</v>
      </c>
      <c r="B2553" s="138">
        <f>'Acct Summary 7-8'!C6</f>
        <v>987729</v>
      </c>
      <c r="C2553" s="2" t="s">
        <v>594</v>
      </c>
      <c r="D2553" s="2" t="str">
        <f t="shared" si="38"/>
        <v>Error?</v>
      </c>
    </row>
    <row r="2554" spans="1:4" x14ac:dyDescent="0.2">
      <c r="A2554" s="5">
        <v>2493</v>
      </c>
      <c r="B2554" s="138">
        <f>'Acct Summary 7-8'!C7</f>
        <v>390880</v>
      </c>
      <c r="C2554" s="2" t="s">
        <v>594</v>
      </c>
      <c r="D2554" s="2" t="str">
        <f t="shared" si="38"/>
        <v>Error?</v>
      </c>
    </row>
    <row r="2555" spans="1:4" x14ac:dyDescent="0.2">
      <c r="A2555" s="5">
        <v>2494</v>
      </c>
      <c r="B2555" s="138">
        <f>'Acct Summary 7-8'!C8</f>
        <v>5202356</v>
      </c>
      <c r="C2555" s="2" t="s">
        <v>594</v>
      </c>
      <c r="D2555" s="2" t="str">
        <f t="shared" si="38"/>
        <v>Error?</v>
      </c>
    </row>
    <row r="2556" spans="1:4" x14ac:dyDescent="0.2">
      <c r="A2556" s="5">
        <v>2495</v>
      </c>
      <c r="B2556" s="138">
        <f>'Acct Summary 7-8'!C12</f>
        <v>3621549</v>
      </c>
      <c r="C2556" s="2" t="s">
        <v>594</v>
      </c>
      <c r="D2556" s="2" t="str">
        <f t="shared" si="38"/>
        <v>Error?</v>
      </c>
    </row>
    <row r="2557" spans="1:4" x14ac:dyDescent="0.2">
      <c r="A2557" s="5">
        <v>2496</v>
      </c>
      <c r="B2557" s="138">
        <f>'Acct Summary 7-8'!C13</f>
        <v>1392265</v>
      </c>
      <c r="C2557" s="2" t="s">
        <v>594</v>
      </c>
      <c r="D2557" s="2" t="str">
        <f t="shared" si="38"/>
        <v>Error?</v>
      </c>
    </row>
    <row r="2558" spans="1:4" x14ac:dyDescent="0.2">
      <c r="A2558" s="5">
        <v>2497</v>
      </c>
      <c r="B2558" s="138">
        <f>'Acct Summary 7-8'!C14</f>
        <v>1697</v>
      </c>
      <c r="C2558" s="2" t="s">
        <v>594</v>
      </c>
      <c r="D2558" s="2" t="str">
        <f t="shared" si="38"/>
        <v>Error?</v>
      </c>
    </row>
    <row r="2559" spans="1:4" x14ac:dyDescent="0.2">
      <c r="A2559" s="5">
        <v>2498</v>
      </c>
      <c r="B2559" s="138">
        <f>'Acct Summary 7-8'!C15</f>
        <v>183722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5199233</v>
      </c>
      <c r="C2561" s="2" t="s">
        <v>594</v>
      </c>
      <c r="D2561" s="2" t="str">
        <f t="shared" si="39"/>
        <v>Error?</v>
      </c>
    </row>
    <row r="2562" spans="1:4" x14ac:dyDescent="0.2">
      <c r="A2562" s="5">
        <v>2501</v>
      </c>
      <c r="B2562" s="138">
        <f>'Acct Summary 7-8'!C20</f>
        <v>3123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632372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632372</v>
      </c>
      <c r="C2568" s="2" t="s">
        <v>594</v>
      </c>
      <c r="D2568" s="2" t="str">
        <f t="shared" si="39"/>
        <v>Error?</v>
      </c>
    </row>
    <row r="2569" spans="1:4" x14ac:dyDescent="0.2">
      <c r="A2569" s="5">
        <v>2508</v>
      </c>
      <c r="B2569" s="138">
        <f>'Acct Summary 7-8'!D13</f>
        <v>507569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507569</v>
      </c>
      <c r="C2573" s="2" t="s">
        <v>594</v>
      </c>
      <c r="D2573" s="2" t="str">
        <f t="shared" si="39"/>
        <v>Error?</v>
      </c>
    </row>
    <row r="2574" spans="1:4" x14ac:dyDescent="0.2">
      <c r="A2574" s="5">
        <v>2513</v>
      </c>
      <c r="B2574" s="138">
        <f>'Acct Summary 7-8'!D20</f>
        <v>124803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208423</v>
      </c>
      <c r="C2591" s="2" t="s">
        <v>594</v>
      </c>
      <c r="D2591" s="2" t="str">
        <f t="shared" si="39"/>
        <v>Error?</v>
      </c>
    </row>
    <row r="2592" spans="1:4" x14ac:dyDescent="0.2">
      <c r="A2592" s="10">
        <v>2531</v>
      </c>
      <c r="D2592" s="2" t="str">
        <f t="shared" si="39"/>
        <v>OK</v>
      </c>
    </row>
    <row r="2593" spans="1:4" x14ac:dyDescent="0.2">
      <c r="A2593" s="5">
        <v>2532</v>
      </c>
      <c r="B2593" s="138">
        <f>'Acct Summary 7-8'!F6</f>
        <v>326335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534758</v>
      </c>
      <c r="C2595" s="2" t="s">
        <v>594</v>
      </c>
      <c r="D2595" s="2" t="str">
        <f t="shared" si="39"/>
        <v>Error?</v>
      </c>
    </row>
    <row r="2596" spans="1:4" x14ac:dyDescent="0.2">
      <c r="A2596" s="5">
        <v>2535</v>
      </c>
      <c r="B2596" s="138">
        <f>'Acct Summary 7-8'!F13</f>
        <v>400840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27469</v>
      </c>
      <c r="C2599" s="2" t="s">
        <v>594</v>
      </c>
      <c r="D2599" s="2" t="str">
        <f t="shared" si="39"/>
        <v>Error?</v>
      </c>
    </row>
    <row r="2600" spans="1:4" x14ac:dyDescent="0.2">
      <c r="A2600" s="5">
        <v>2539</v>
      </c>
      <c r="B2600" s="138">
        <f>'Acct Summary 7-8'!F17</f>
        <v>428309</v>
      </c>
      <c r="C2600" s="2" t="s">
        <v>594</v>
      </c>
      <c r="D2600" s="2" t="str">
        <f t="shared" si="39"/>
        <v>Error?</v>
      </c>
    </row>
    <row r="2601" spans="1:4" x14ac:dyDescent="0.2">
      <c r="A2601" s="5">
        <v>2540</v>
      </c>
      <c r="B2601" s="138">
        <f>'Acct Summary 7-8'!F20</f>
        <v>106449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285469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285469</v>
      </c>
      <c r="C2606" s="2" t="s">
        <v>594</v>
      </c>
      <c r="D2606" s="2" t="str">
        <f t="shared" si="39"/>
        <v>Error?</v>
      </c>
    </row>
    <row r="2607" spans="1:4" x14ac:dyDescent="0.2">
      <c r="A2607" s="5">
        <v>2546</v>
      </c>
      <c r="B2607" s="138">
        <f>'Acct Summary 7-8'!G12</f>
        <v>81308</v>
      </c>
      <c r="C2607" s="2" t="s">
        <v>594</v>
      </c>
      <c r="D2607" s="2" t="str">
        <f t="shared" si="39"/>
        <v>Error?</v>
      </c>
    </row>
    <row r="2608" spans="1:4" x14ac:dyDescent="0.2">
      <c r="A2608" s="5">
        <v>2547</v>
      </c>
      <c r="B2608" s="138">
        <f>'Acct Summary 7-8'!G13</f>
        <v>175646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256954</v>
      </c>
      <c r="C2612" s="2" t="s">
        <v>594</v>
      </c>
      <c r="D2612" s="2" t="str">
        <f t="shared" si="39"/>
        <v>Error?</v>
      </c>
    </row>
    <row r="2613" spans="1:4" x14ac:dyDescent="0.2">
      <c r="A2613" s="5">
        <v>2552</v>
      </c>
      <c r="B2613" s="138">
        <f>'Acct Summary 7-8'!G20</f>
        <v>28515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310650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310650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314692</v>
      </c>
      <c r="C2634" s="2" t="s">
        <v>594</v>
      </c>
      <c r="D2634" s="2" t="str">
        <f t="shared" si="40"/>
        <v>Error?</v>
      </c>
    </row>
    <row r="2635" spans="1:4" x14ac:dyDescent="0.2">
      <c r="A2635" s="5">
        <v>2574</v>
      </c>
      <c r="B2635" s="138">
        <f>'Acct Summary 7-8'!E17</f>
        <v>314692</v>
      </c>
      <c r="C2635" s="2" t="s">
        <v>594</v>
      </c>
      <c r="D2635" s="2" t="str">
        <f t="shared" si="40"/>
        <v>Error?</v>
      </c>
    </row>
    <row r="2636" spans="1:4" x14ac:dyDescent="0.2">
      <c r="A2636" s="5">
        <v>2575</v>
      </c>
      <c r="B2636" s="138">
        <f>'Acct Summary 7-8'!E20</f>
        <v>-4042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16116</v>
      </c>
      <c r="D2725" s="2" t="str">
        <f t="shared" si="41"/>
        <v>Error?</v>
      </c>
    </row>
    <row r="2726" spans="1:4" x14ac:dyDescent="0.2">
      <c r="A2726" s="5">
        <v>2665</v>
      </c>
      <c r="B2726" s="138">
        <f>'Expenditures 15-22'!K247</f>
        <v>16116</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97895</v>
      </c>
      <c r="C2789" s="2" t="s">
        <v>594</v>
      </c>
      <c r="D2789" s="2" t="str">
        <f t="shared" si="42"/>
        <v>Error?</v>
      </c>
    </row>
    <row r="2790" spans="1:4" x14ac:dyDescent="0.2">
      <c r="A2790" s="5">
        <v>2729</v>
      </c>
      <c r="B2790" s="138">
        <f>'Expenditures 15-22'!E102</f>
        <v>97895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1909326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94593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1909326</v>
      </c>
      <c r="D2912" s="2" t="str">
        <f t="shared" si="44"/>
        <v>Error?</v>
      </c>
    </row>
    <row r="2913" spans="1:4" x14ac:dyDescent="0.2">
      <c r="A2913" s="5">
        <v>2852</v>
      </c>
      <c r="B2913" s="138">
        <f>'Assets-Liab 5-6'!I41</f>
        <v>1909326</v>
      </c>
      <c r="C2913" s="2" t="s">
        <v>594</v>
      </c>
      <c r="D2913" s="2" t="str">
        <f t="shared" si="44"/>
        <v>Error?</v>
      </c>
    </row>
    <row r="2914" spans="1:4" x14ac:dyDescent="0.2">
      <c r="A2914" s="5">
        <v>2853</v>
      </c>
      <c r="B2914" s="138">
        <f>'Assets-Liab 5-6'!L33</f>
        <v>94593</v>
      </c>
      <c r="D2914" s="2" t="str">
        <f t="shared" si="44"/>
        <v>Error?</v>
      </c>
    </row>
    <row r="2915" spans="1:4" x14ac:dyDescent="0.2">
      <c r="A2915" s="10">
        <v>2854</v>
      </c>
      <c r="D2915" s="2" t="str">
        <f t="shared" si="44"/>
        <v>OK</v>
      </c>
    </row>
    <row r="2916" spans="1:4" x14ac:dyDescent="0.2">
      <c r="A2916" s="5">
        <v>2855</v>
      </c>
      <c r="B2916" s="138">
        <f>'Assets-Liab 5-6'!L34</f>
        <v>94593</v>
      </c>
      <c r="C2916" s="2" t="s">
        <v>594</v>
      </c>
      <c r="D2916" s="2" t="str">
        <f t="shared" si="44"/>
        <v>Error?</v>
      </c>
    </row>
    <row r="2917" spans="1:4" x14ac:dyDescent="0.2">
      <c r="A2917" s="5">
        <v>2856</v>
      </c>
      <c r="B2917" s="138">
        <f>'Assets-Liab 5-6'!L41</f>
        <v>94593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31</v>
      </c>
      <c r="D2949" s="2" t="str">
        <f t="shared" si="45"/>
        <v>Error?</v>
      </c>
    </row>
    <row r="2950" spans="1:4" x14ac:dyDescent="0.2">
      <c r="A2950" s="5">
        <v>2889</v>
      </c>
      <c r="B2950" s="138">
        <f>'Expenditures 15-22'!E79</f>
        <v>97864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4302</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4333</v>
      </c>
      <c r="C2973" s="2" t="s">
        <v>594</v>
      </c>
      <c r="D2973" s="2" t="str">
        <f t="shared" si="45"/>
        <v>Error?</v>
      </c>
    </row>
    <row r="2974" spans="1:4" x14ac:dyDescent="0.2">
      <c r="A2974" s="5">
        <v>2913</v>
      </c>
      <c r="B2974" s="138">
        <f>'Expenditures 15-22'!K79</f>
        <v>97864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106624</v>
      </c>
      <c r="D3055" s="2" t="str">
        <f t="shared" si="46"/>
        <v>Error?</v>
      </c>
    </row>
    <row r="3056" spans="1:4" x14ac:dyDescent="0.2">
      <c r="A3056" s="5">
        <v>2995</v>
      </c>
      <c r="B3056" s="138">
        <f>'Expenditures 15-22'!D10</f>
        <v>13677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6337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126638</v>
      </c>
      <c r="C3062" s="2" t="s">
        <v>594</v>
      </c>
      <c r="D3062" s="2" t="str">
        <f t="shared" si="46"/>
        <v>Error?</v>
      </c>
    </row>
    <row r="3063" spans="1:4" x14ac:dyDescent="0.2">
      <c r="A3063" s="10">
        <v>3002</v>
      </c>
      <c r="D3063" s="2" t="str">
        <f t="shared" si="46"/>
        <v>OK</v>
      </c>
    </row>
    <row r="3064" spans="1:4" x14ac:dyDescent="0.2">
      <c r="A3064" s="5">
        <v>3003</v>
      </c>
      <c r="B3064" s="138">
        <f>'Expenditures 15-22'!D219</f>
        <v>1546</v>
      </c>
      <c r="D3064" s="2" t="str">
        <f t="shared" si="46"/>
        <v>Error?</v>
      </c>
    </row>
    <row r="3065" spans="1:4" x14ac:dyDescent="0.2">
      <c r="A3065" s="5">
        <v>3004</v>
      </c>
      <c r="B3065" s="138">
        <f>'Expenditures 15-22'!K219</f>
        <v>1546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72883</v>
      </c>
      <c r="C3225" s="2" t="s">
        <v>594</v>
      </c>
      <c r="D3225" s="2" t="str">
        <f t="shared" si="49"/>
        <v>Error?</v>
      </c>
    </row>
    <row r="3226" spans="1:4" x14ac:dyDescent="0.2">
      <c r="A3226" s="5">
        <v>3165</v>
      </c>
      <c r="B3226" s="138">
        <f>'Acct Summary 7-8'!I8</f>
        <v>72883</v>
      </c>
      <c r="C3226" s="2" t="s">
        <v>594</v>
      </c>
      <c r="D3226" s="2" t="str">
        <f t="shared" si="49"/>
        <v>Error?</v>
      </c>
    </row>
    <row r="3227" spans="1:4" x14ac:dyDescent="0.2">
      <c r="A3227" s="5">
        <v>3166</v>
      </c>
      <c r="B3227" s="138">
        <f>'Acct Summary 7-8'!I20</f>
        <v>72883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3123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124803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106449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28515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4042</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4042</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4042</v>
      </c>
      <c r="C3318" s="2" t="s">
        <v>594</v>
      </c>
      <c r="D3318" s="2" t="str">
        <f t="shared" si="50"/>
        <v>Error?</v>
      </c>
    </row>
    <row r="3319" spans="1:4" x14ac:dyDescent="0.2">
      <c r="A3319" s="5">
        <v>3258</v>
      </c>
      <c r="B3319" s="138">
        <f>'Acct Summary 7-8'!I77</f>
        <v>-4042</v>
      </c>
      <c r="C3319" s="2" t="s">
        <v>594</v>
      </c>
      <c r="D3319" s="2" t="str">
        <f t="shared" si="50"/>
        <v>Error?</v>
      </c>
    </row>
    <row r="3320" spans="1:4" x14ac:dyDescent="0.2">
      <c r="A3320" s="5">
        <v>3259</v>
      </c>
      <c r="B3320" s="138">
        <f>'Acct Summary 7-8'!I78</f>
        <v>68841</v>
      </c>
      <c r="C3320" s="2" t="s">
        <v>594</v>
      </c>
      <c r="D3320" s="2" t="str">
        <f t="shared" si="50"/>
        <v>Error?</v>
      </c>
    </row>
    <row r="3321" spans="1:4" x14ac:dyDescent="0.2">
      <c r="A3321" s="5">
        <v>3260</v>
      </c>
      <c r="B3321" s="138">
        <f>'Acct Summary 7-8'!I79</f>
        <v>1840485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1909326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416494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60711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4741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9258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491204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27761</v>
      </c>
      <c r="D3387" s="2" t="str">
        <f t="shared" si="51"/>
        <v>Error?</v>
      </c>
    </row>
    <row r="3388" spans="1:4" x14ac:dyDescent="0.2">
      <c r="A3388" s="5">
        <v>3327</v>
      </c>
      <c r="B3388" s="138">
        <f>'Expenditures 15-22'!D217</f>
        <v>34674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27761</v>
      </c>
      <c r="C3390" s="2" t="s">
        <v>594</v>
      </c>
      <c r="D3390" s="2" t="str">
        <f t="shared" si="51"/>
        <v>Error?</v>
      </c>
    </row>
    <row r="3391" spans="1:4" x14ac:dyDescent="0.2">
      <c r="A3391" s="5">
        <v>3330</v>
      </c>
      <c r="B3391" s="138">
        <f>'Expenditures 15-22'!K217</f>
        <v>34674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1027369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838985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353520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209283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1909326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94593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141300</v>
      </c>
      <c r="C3446" s="2" t="s">
        <v>594</v>
      </c>
      <c r="D3446" s="2" t="str">
        <f t="shared" si="52"/>
        <v>Error?</v>
      </c>
    </row>
    <row r="3447" spans="1:4" x14ac:dyDescent="0.2">
      <c r="A3447" s="5">
        <v>3386</v>
      </c>
      <c r="B3447" s="138">
        <f>'Tax Sched 23'!D16</f>
        <v>141300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143007.327804</v>
      </c>
      <c r="C3449" s="2" t="s">
        <v>594</v>
      </c>
      <c r="D3449" s="2" t="str">
        <f t="shared" si="52"/>
        <v>Error?</v>
      </c>
    </row>
    <row r="3450" spans="1:4" x14ac:dyDescent="0.2">
      <c r="A3450" s="5">
        <v>3389</v>
      </c>
      <c r="B3450" s="138">
        <f>'Tax Sched 23'!E16</f>
        <v>143007.327804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2724</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5174</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7898</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650371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650371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650371</v>
      </c>
      <c r="D3567" s="2" t="str">
        <f t="shared" si="54"/>
        <v>Error?</v>
      </c>
    </row>
    <row r="3568" spans="1:4" x14ac:dyDescent="0.2">
      <c r="A3568" s="5">
        <v>3507</v>
      </c>
      <c r="B3568" s="138">
        <f>'Assets-Liab 5-6'!K41</f>
        <v>650371</v>
      </c>
      <c r="C3568" s="2" t="s">
        <v>594</v>
      </c>
      <c r="D3568" s="2" t="str">
        <f t="shared" si="54"/>
        <v>Error?</v>
      </c>
    </row>
    <row r="3569" spans="1:4" x14ac:dyDescent="0.2">
      <c r="A3569" s="5">
        <v>3508</v>
      </c>
      <c r="B3569" s="138">
        <f>'Acct Summary 7-8'!K4</f>
        <v>57395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57395</v>
      </c>
      <c r="C3571" s="2" t="s">
        <v>594</v>
      </c>
      <c r="D3571" s="2" t="str">
        <f t="shared" si="54"/>
        <v>Error?</v>
      </c>
    </row>
    <row r="3572" spans="1:4" x14ac:dyDescent="0.2">
      <c r="A3572" s="5">
        <v>3511</v>
      </c>
      <c r="B3572" s="138">
        <f>'Acct Summary 7-8'!K13</f>
        <v>64754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64754</v>
      </c>
      <c r="C3575" s="2" t="s">
        <v>594</v>
      </c>
      <c r="D3575" s="2" t="str">
        <f t="shared" si="54"/>
        <v>Error?</v>
      </c>
    </row>
    <row r="3576" spans="1:4" x14ac:dyDescent="0.2">
      <c r="A3576" s="5">
        <v>3515</v>
      </c>
      <c r="B3576" s="138">
        <f>'Acct Summary 7-8'!K20</f>
        <v>-7359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-7359</v>
      </c>
      <c r="C3588" s="2" t="s">
        <v>594</v>
      </c>
      <c r="D3588" s="2" t="str">
        <f t="shared" si="55"/>
        <v>Error?</v>
      </c>
    </row>
    <row r="3589" spans="1:4" x14ac:dyDescent="0.2">
      <c r="A3589" s="5">
        <v>3528</v>
      </c>
      <c r="B3589" s="138">
        <f>'Acct Summary 7-8'!K79</f>
        <v>657730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650371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41995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41995</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41995</v>
      </c>
      <c r="C3635" s="2" t="s">
        <v>594</v>
      </c>
      <c r="D3635" s="2" t="str">
        <f t="shared" si="55"/>
        <v>Error?</v>
      </c>
    </row>
    <row r="3636" spans="1:4" x14ac:dyDescent="0.2">
      <c r="A3636" s="5">
        <v>3575</v>
      </c>
      <c r="B3636" s="138">
        <f>'Expenditures 15-22'!E367</f>
        <v>41995</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22759</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22759</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22759</v>
      </c>
      <c r="C3649" s="2" t="s">
        <v>594</v>
      </c>
      <c r="D3649" s="2" t="str">
        <f t="shared" si="56"/>
        <v>Error?</v>
      </c>
    </row>
    <row r="3650" spans="1:4" x14ac:dyDescent="0.2">
      <c r="A3650" s="5">
        <v>3589</v>
      </c>
      <c r="B3650" s="138">
        <f>'Expenditures 15-22'!G367</f>
        <v>22759</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64754</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64754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64754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64754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-7359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51403</v>
      </c>
      <c r="C3725" s="2" t="s">
        <v>594</v>
      </c>
      <c r="D3725" s="2" t="str">
        <f t="shared" si="57"/>
        <v>Error?</v>
      </c>
    </row>
    <row r="3726" spans="1:4" x14ac:dyDescent="0.2">
      <c r="A3726" s="5">
        <v>3665</v>
      </c>
      <c r="B3726" s="138">
        <f>'Tax Sched 23'!D13</f>
        <v>51403</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51103.247499999998</v>
      </c>
      <c r="C3728" s="2" t="s">
        <v>594</v>
      </c>
      <c r="D3728" s="2" t="str">
        <f t="shared" si="57"/>
        <v>Error?</v>
      </c>
    </row>
    <row r="3729" spans="1:4" x14ac:dyDescent="0.2">
      <c r="A3729" s="5">
        <v>3668</v>
      </c>
      <c r="B3729" s="138">
        <f>'Tax Sched 23'!E13</f>
        <v>51103.247499999998</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2466385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7668741</v>
      </c>
      <c r="C4122" s="2" t="s">
        <v>594</v>
      </c>
      <c r="D4122" s="2" t="str">
        <f t="shared" si="63"/>
        <v>Error?</v>
      </c>
    </row>
    <row r="4123" spans="1:4" x14ac:dyDescent="0.2">
      <c r="A4123" s="5">
        <v>4062</v>
      </c>
      <c r="B4123" s="138">
        <f>'Acct Summary 7-8'!D10</f>
        <v>632372</v>
      </c>
      <c r="C4123" s="2" t="s">
        <v>594</v>
      </c>
      <c r="D4123" s="2" t="str">
        <f t="shared" si="63"/>
        <v>Error?</v>
      </c>
    </row>
    <row r="4124" spans="1:4" x14ac:dyDescent="0.2">
      <c r="A4124" s="5">
        <v>4063</v>
      </c>
      <c r="B4124" s="138">
        <f>'Acct Summary 7-8'!E10</f>
        <v>310650</v>
      </c>
      <c r="C4124" s="2" t="s">
        <v>594</v>
      </c>
      <c r="D4124" s="2" t="str">
        <f t="shared" si="63"/>
        <v>Error?</v>
      </c>
    </row>
    <row r="4125" spans="1:4" x14ac:dyDescent="0.2">
      <c r="A4125" s="5">
        <v>4064</v>
      </c>
      <c r="B4125" s="138">
        <f>'Acct Summary 7-8'!F10</f>
        <v>534758</v>
      </c>
      <c r="C4125" s="2" t="s">
        <v>594</v>
      </c>
      <c r="D4125" s="2" t="str">
        <f t="shared" si="63"/>
        <v>Error?</v>
      </c>
    </row>
    <row r="4126" spans="1:4" x14ac:dyDescent="0.2">
      <c r="A4126" s="5">
        <v>4065</v>
      </c>
      <c r="B4126" s="138">
        <f>'Acct Summary 7-8'!G10</f>
        <v>285469</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72883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57395</v>
      </c>
      <c r="C4130" s="2" t="s">
        <v>594</v>
      </c>
      <c r="D4130" s="2" t="str">
        <f t="shared" si="63"/>
        <v>Error?</v>
      </c>
    </row>
    <row r="4131" spans="1:4" x14ac:dyDescent="0.2">
      <c r="A4131" s="5">
        <v>4070</v>
      </c>
      <c r="B4131" s="138">
        <f>'Acct Summary 7-8'!C18</f>
        <v>2466385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7665618</v>
      </c>
      <c r="C4136" s="2" t="s">
        <v>594</v>
      </c>
      <c r="D4136" s="2" t="str">
        <f t="shared" si="63"/>
        <v>Error?</v>
      </c>
    </row>
    <row r="4137" spans="1:4" x14ac:dyDescent="0.2">
      <c r="A4137" s="5">
        <v>4076</v>
      </c>
      <c r="B4137" s="138">
        <f>'Acct Summary 7-8'!D19</f>
        <v>507569</v>
      </c>
      <c r="C4137" s="2" t="s">
        <v>594</v>
      </c>
      <c r="D4137" s="2" t="str">
        <f t="shared" si="63"/>
        <v>Error?</v>
      </c>
    </row>
    <row r="4138" spans="1:4" x14ac:dyDescent="0.2">
      <c r="A4138" s="5">
        <v>4077</v>
      </c>
      <c r="B4138" s="138">
        <f>'Acct Summary 7-8'!E19</f>
        <v>314692</v>
      </c>
      <c r="C4138" s="2" t="s">
        <v>594</v>
      </c>
      <c r="D4138" s="2" t="str">
        <f t="shared" si="63"/>
        <v>Error?</v>
      </c>
    </row>
    <row r="4139" spans="1:4" x14ac:dyDescent="0.2">
      <c r="A4139" s="5">
        <v>4078</v>
      </c>
      <c r="B4139" s="138">
        <f>'Acct Summary 7-8'!F19</f>
        <v>428309</v>
      </c>
      <c r="C4139" s="2" t="s">
        <v>594</v>
      </c>
      <c r="D4139" s="2" t="str">
        <f t="shared" si="63"/>
        <v>Error?</v>
      </c>
    </row>
    <row r="4140" spans="1:4" x14ac:dyDescent="0.2">
      <c r="A4140" s="5">
        <v>4079</v>
      </c>
      <c r="B4140" s="138">
        <f>'Acct Summary 7-8'!G19</f>
        <v>256954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64754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300000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22060</v>
      </c>
      <c r="D4210" s="2" t="str">
        <f t="shared" si="64"/>
        <v>Error?</v>
      </c>
    </row>
    <row r="4211" spans="1:4" x14ac:dyDescent="0.2">
      <c r="A4211" s="5">
        <v>4150</v>
      </c>
      <c r="B4211" s="138">
        <f>'Expenditures 15-22'!K206</f>
        <v>22060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2880</v>
      </c>
      <c r="C4265" s="2" t="s">
        <v>594</v>
      </c>
      <c r="D4265" s="2" t="str">
        <f t="shared" si="65"/>
        <v>Error?</v>
      </c>
      <c r="E4265" s="128"/>
    </row>
    <row r="4266" spans="1:5" x14ac:dyDescent="0.2">
      <c r="A4266" s="12">
        <v>4205</v>
      </c>
      <c r="B4266" s="138">
        <f>('FP Info 3'!F10)*100000</f>
        <v>600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3680</v>
      </c>
      <c r="C4268" s="2" t="s">
        <v>594</v>
      </c>
      <c r="D4268" s="2" t="str">
        <f t="shared" si="65"/>
        <v>Error?</v>
      </c>
    </row>
    <row r="4269" spans="1:5" x14ac:dyDescent="0.2">
      <c r="A4269" s="12">
        <v>4208</v>
      </c>
      <c r="B4269" s="138">
        <f>'FP Info 3'!J16</f>
        <v>4129200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13185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62118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33986</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33986</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3511</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16503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4921</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799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102206495</v>
      </c>
      <c r="D4995" s="2" t="str">
        <f t="shared" si="77"/>
        <v>Error?</v>
      </c>
    </row>
    <row r="4996" spans="1:4" x14ac:dyDescent="0.2">
      <c r="A4996" s="12">
        <v>4935</v>
      </c>
      <c r="B4996" s="138">
        <f>'FP Info 3'!H31</f>
        <v>14104496.310000001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51403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2960807</v>
      </c>
      <c r="D5061" s="2" t="str">
        <f t="shared" si="78"/>
        <v>Error?</v>
      </c>
    </row>
    <row r="5062" spans="1:4" x14ac:dyDescent="0.2">
      <c r="A5062" s="10">
        <v>5001</v>
      </c>
      <c r="D5062" s="2" t="str">
        <f t="shared" si="78"/>
        <v>OK</v>
      </c>
    </row>
    <row r="5063" spans="1:4" x14ac:dyDescent="0.2">
      <c r="A5063" s="5">
        <v>5002</v>
      </c>
      <c r="B5063" s="138">
        <f>'Revenues 9-14'!C7</f>
        <v>41122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3053332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518453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518453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89203</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89203</v>
      </c>
      <c r="C5087" s="2" t="s">
        <v>594</v>
      </c>
      <c r="D5087" s="2" t="str">
        <f t="shared" si="78"/>
        <v>Error?</v>
      </c>
    </row>
    <row r="5088" spans="1:4" x14ac:dyDescent="0.2">
      <c r="A5088" s="5">
        <v>5027</v>
      </c>
      <c r="B5088" s="138">
        <f>'Revenues 9-14'!C65</f>
        <v>20229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20229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19135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5923</v>
      </c>
      <c r="D5094" s="2" t="str">
        <f t="shared" si="78"/>
        <v>Error?</v>
      </c>
    </row>
    <row r="5095" spans="1:4" x14ac:dyDescent="0.2">
      <c r="A5095" s="5">
        <v>5034</v>
      </c>
      <c r="B5095" s="138">
        <f>'Revenues 9-14'!C74</f>
        <v>1299</v>
      </c>
      <c r="D5095" s="2" t="str">
        <f t="shared" si="78"/>
        <v>Error?</v>
      </c>
    </row>
    <row r="5096" spans="1:4" x14ac:dyDescent="0.2">
      <c r="A5096" s="5">
        <v>5035</v>
      </c>
      <c r="B5096" s="138">
        <f>'Revenues 9-14'!C75</f>
        <v>70570</v>
      </c>
      <c r="C5096" s="2" t="s">
        <v>594</v>
      </c>
      <c r="D5096" s="2" t="str">
        <f t="shared" si="78"/>
        <v>Error?</v>
      </c>
    </row>
    <row r="5097" spans="1:4" x14ac:dyDescent="0.2">
      <c r="A5097" s="5">
        <v>5036</v>
      </c>
      <c r="B5097" s="138">
        <f>'Revenues 9-14'!C77</f>
        <v>13600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18520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32120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10660</v>
      </c>
      <c r="D5115" s="2" t="str">
        <f t="shared" si="78"/>
        <v>Error?</v>
      </c>
    </row>
    <row r="5116" spans="1:4" x14ac:dyDescent="0.2">
      <c r="A5116" s="5">
        <v>5055</v>
      </c>
      <c r="B5116" s="138">
        <f>'Revenues 9-14'!C99</f>
        <v>16644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40</v>
      </c>
      <c r="D5119" s="2" t="str">
        <f t="shared" ref="D5119:D5182" si="79">IF(ISBLANK(B5119),"OK",IF(A5119-B5119=0,"OK","Error?"))</f>
        <v>Error?</v>
      </c>
    </row>
    <row r="5120" spans="1:4" x14ac:dyDescent="0.2">
      <c r="A5120" s="5">
        <v>5059</v>
      </c>
      <c r="B5120" s="138">
        <f>'Revenues 9-14'!C108</f>
        <v>39840</v>
      </c>
      <c r="C5120" s="2" t="s">
        <v>594</v>
      </c>
      <c r="D5120" s="2" t="str">
        <f t="shared" si="79"/>
        <v>Error?</v>
      </c>
    </row>
    <row r="5121" spans="1:4" x14ac:dyDescent="0.2">
      <c r="A5121" s="5">
        <v>5060</v>
      </c>
      <c r="B5121" s="138">
        <f>'Revenues 9-14'!C109</f>
        <v>3823747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659289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659289</v>
      </c>
      <c r="C5132" s="2" t="s">
        <v>594</v>
      </c>
      <c r="D5132" s="2" t="str">
        <f t="shared" si="79"/>
        <v>Error?</v>
      </c>
    </row>
    <row r="5133" spans="1:4" x14ac:dyDescent="0.2">
      <c r="A5133" s="5">
        <v>5072</v>
      </c>
      <c r="B5133" s="138">
        <f>'Revenues 9-14'!C124</f>
        <v>44899</v>
      </c>
      <c r="D5133" s="2" t="str">
        <f t="shared" si="79"/>
        <v>Error?</v>
      </c>
    </row>
    <row r="5134" spans="1:4" x14ac:dyDescent="0.2">
      <c r="A5134" s="5">
        <v>5073</v>
      </c>
      <c r="B5134" s="138">
        <f>'Revenues 9-14'!C125</f>
        <v>35141</v>
      </c>
      <c r="D5134" s="2" t="str">
        <f t="shared" si="79"/>
        <v>Error?</v>
      </c>
    </row>
    <row r="5135" spans="1:4" x14ac:dyDescent="0.2">
      <c r="A5135" s="5">
        <v>5074</v>
      </c>
      <c r="B5135" s="138">
        <f>'Revenues 9-14'!C126</f>
        <v>62613</v>
      </c>
      <c r="D5135" s="2" t="str">
        <f t="shared" si="79"/>
        <v>Error?</v>
      </c>
    </row>
    <row r="5136" spans="1:4" x14ac:dyDescent="0.2">
      <c r="A5136" s="10">
        <v>5075</v>
      </c>
      <c r="D5136" s="2" t="str">
        <f t="shared" si="79"/>
        <v>OK</v>
      </c>
    </row>
    <row r="5137" spans="1:4" x14ac:dyDescent="0.2">
      <c r="A5137" s="5">
        <v>5076</v>
      </c>
      <c r="B5137" s="138">
        <f>'Revenues 9-14'!C127</f>
        <v>1895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144548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6887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6887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1893</v>
      </c>
      <c r="D5167" s="2" t="str">
        <f t="shared" si="79"/>
        <v>Error?</v>
      </c>
    </row>
    <row r="5168" spans="1:4" x14ac:dyDescent="0.2">
      <c r="A5168" s="5">
        <v>5107</v>
      </c>
      <c r="B5168" s="138">
        <f>'Revenues 9-14'!C147</f>
        <v>7938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166375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328440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987729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99466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28943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128409</v>
      </c>
      <c r="C5246" s="2" t="s">
        <v>594</v>
      </c>
      <c r="D5246" s="2" t="str">
        <f t="shared" si="80"/>
        <v>Error?</v>
      </c>
    </row>
    <row r="5247" spans="1:4" x14ac:dyDescent="0.2">
      <c r="A5247" s="5">
        <v>5186</v>
      </c>
      <c r="B5247" s="138">
        <f>'Revenues 9-14'!C203</f>
        <v>133168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3511</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133168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390880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390880</v>
      </c>
      <c r="C5326" s="2" t="s">
        <v>594</v>
      </c>
      <c r="D5326" s="2" t="str">
        <f t="shared" si="82"/>
        <v>Error?</v>
      </c>
    </row>
    <row r="5327" spans="1:4" x14ac:dyDescent="0.2">
      <c r="A5327" s="5">
        <v>5266</v>
      </c>
      <c r="B5327" s="138">
        <f>'Revenues 9-14'!C275</f>
        <v>5202356</v>
      </c>
      <c r="C5327" s="2" t="s">
        <v>594</v>
      </c>
      <c r="D5327" s="2" t="str">
        <f t="shared" si="82"/>
        <v>Error?</v>
      </c>
    </row>
    <row r="5328" spans="1:4" x14ac:dyDescent="0.2">
      <c r="A5328" s="5">
        <v>5267</v>
      </c>
      <c r="B5328" s="138">
        <f>'Revenues 9-14'!D5</f>
        <v>616834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616834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8287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8287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6951</v>
      </c>
      <c r="D5354" s="2" t="str">
        <f t="shared" si="82"/>
        <v>Error?</v>
      </c>
    </row>
    <row r="5355" spans="1:4" x14ac:dyDescent="0.2">
      <c r="A5355" s="5">
        <v>5294</v>
      </c>
      <c r="B5355" s="138">
        <f>'Revenues 9-14'!D108</f>
        <v>7251</v>
      </c>
      <c r="C5355" s="2" t="s">
        <v>594</v>
      </c>
      <c r="D5355" s="2" t="str">
        <f t="shared" si="82"/>
        <v>Error?</v>
      </c>
    </row>
    <row r="5356" spans="1:4" x14ac:dyDescent="0.2">
      <c r="A5356" s="5">
        <v>5295</v>
      </c>
      <c r="B5356" s="138">
        <f>'Revenues 9-14'!D109</f>
        <v>632372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632372</v>
      </c>
      <c r="C5508" s="2" t="s">
        <v>594</v>
      </c>
      <c r="D5508" s="2" t="str">
        <f t="shared" si="85"/>
        <v>Error?</v>
      </c>
    </row>
    <row r="5509" spans="1:4" x14ac:dyDescent="0.2">
      <c r="A5509" s="5">
        <v>5448</v>
      </c>
      <c r="B5509" s="138">
        <f>'Revenues 9-14'!E5</f>
        <v>310279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310279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371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371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310650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310650</v>
      </c>
      <c r="C5552" s="2" t="s">
        <v>594</v>
      </c>
      <c r="D5552" s="2" t="str">
        <f t="shared" si="85"/>
        <v>Error?</v>
      </c>
    </row>
    <row r="5553" spans="1:4" x14ac:dyDescent="0.2">
      <c r="A5553" s="5">
        <v>5492</v>
      </c>
      <c r="B5553" s="138">
        <f>'Revenues 9-14'!F5</f>
        <v>205610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205610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2625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2625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188</v>
      </c>
      <c r="D5586" s="2" t="str">
        <f t="shared" si="86"/>
        <v>Error?</v>
      </c>
    </row>
    <row r="5587" spans="1:4" x14ac:dyDescent="0.2">
      <c r="A5587" s="5">
        <v>5526</v>
      </c>
      <c r="B5587" s="138">
        <f>'Revenues 9-14'!F108</f>
        <v>188</v>
      </c>
      <c r="C5587" s="2" t="s">
        <v>594</v>
      </c>
      <c r="D5587" s="2" t="str">
        <f t="shared" si="86"/>
        <v>Error?</v>
      </c>
    </row>
    <row r="5588" spans="1:4" x14ac:dyDescent="0.2">
      <c r="A5588" s="5">
        <v>5527</v>
      </c>
      <c r="B5588" s="138">
        <f>'Revenues 9-14'!F109</f>
        <v>208423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216264</v>
      </c>
      <c r="D5615" s="2" t="str">
        <f t="shared" si="86"/>
        <v>Error?</v>
      </c>
    </row>
    <row r="5616" spans="1:4" x14ac:dyDescent="0.2">
      <c r="A5616" s="10">
        <v>5555</v>
      </c>
      <c r="D5616" s="2" t="str">
        <f t="shared" si="86"/>
        <v>OK</v>
      </c>
    </row>
    <row r="5617" spans="1:4" x14ac:dyDescent="0.2">
      <c r="A5617" s="5">
        <v>5556</v>
      </c>
      <c r="B5617" s="138">
        <f>'Revenues 9-14'!F152</f>
        <v>110071</v>
      </c>
      <c r="D5617" s="2" t="str">
        <f t="shared" si="86"/>
        <v>Error?</v>
      </c>
    </row>
    <row r="5618" spans="1:4" x14ac:dyDescent="0.2">
      <c r="A5618" s="5">
        <v>5557</v>
      </c>
      <c r="B5618" s="138">
        <f>'Revenues 9-14'!F154</f>
        <v>326335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326335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326335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534758</v>
      </c>
      <c r="C5720" s="2" t="s">
        <v>594</v>
      </c>
      <c r="D5720" s="2" t="str">
        <f t="shared" si="88"/>
        <v>Error?</v>
      </c>
    </row>
    <row r="5721" spans="1:4" x14ac:dyDescent="0.2">
      <c r="A5721" s="5">
        <v>5660</v>
      </c>
      <c r="B5721" s="138">
        <f>'Revenues 9-14'!G5</f>
        <v>141300</v>
      </c>
      <c r="D5721" s="2" t="str">
        <f t="shared" si="88"/>
        <v>Error?</v>
      </c>
    </row>
    <row r="5722" spans="1:4" x14ac:dyDescent="0.2">
      <c r="A5722" s="5">
        <v>5661</v>
      </c>
      <c r="B5722" s="138">
        <f>'Revenues 9-14'!G7</f>
        <v>0</v>
      </c>
      <c r="D5722" s="2" t="str">
        <f t="shared" si="88"/>
        <v>Error?</v>
      </c>
    </row>
    <row r="5723" spans="1:4" x14ac:dyDescent="0.2">
      <c r="A5723" s="5">
        <v>5662</v>
      </c>
      <c r="B5723" s="138">
        <f>'Revenues 9-14'!G8</f>
        <v>141300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282600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2869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2869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285469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53449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53449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19434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19434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72883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51403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51403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5992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5992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57395</v>
      </c>
      <c r="C6023" s="2" t="s">
        <v>594</v>
      </c>
      <c r="D6023" s="2" t="str">
        <f t="shared" si="93"/>
        <v>Error?</v>
      </c>
    </row>
    <row r="6024" spans="1:5" x14ac:dyDescent="0.2">
      <c r="A6024" s="5">
        <v>5963</v>
      </c>
      <c r="B6024" s="138">
        <f>'Revenues 9-14'!G109</f>
        <v>285469</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72883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57395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44213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16650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493.43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118407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118407</v>
      </c>
      <c r="D6215" s="2" t="str">
        <f t="shared" si="96"/>
        <v>Error?</v>
      </c>
      <c r="E6215" s="2" t="s">
        <v>199</v>
      </c>
    </row>
    <row r="6216" spans="1:5" x14ac:dyDescent="0.2">
      <c r="A6216">
        <v>6155</v>
      </c>
      <c r="B6216" s="138">
        <f>'Assets-Liab 5-6'!J41</f>
        <v>118407</v>
      </c>
      <c r="D6216" s="2" t="str">
        <f t="shared" si="96"/>
        <v>Error?</v>
      </c>
      <c r="E6216" s="2" t="s">
        <v>199</v>
      </c>
    </row>
    <row r="6217" spans="1:5" x14ac:dyDescent="0.2">
      <c r="A6217">
        <v>6156</v>
      </c>
      <c r="B6217" s="138">
        <f>'Assets-Liab 5-6'!J4</f>
        <v>118407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284010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284010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284010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368146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368146</v>
      </c>
      <c r="D6229" s="2" t="str">
        <f t="shared" si="96"/>
        <v>Error?</v>
      </c>
      <c r="E6229" s="2" t="s">
        <v>199</v>
      </c>
    </row>
    <row r="6230" spans="1:5" x14ac:dyDescent="0.2">
      <c r="A6230">
        <v>6169</v>
      </c>
      <c r="B6230" s="138">
        <f>'Acct Summary 7-8'!J20</f>
        <v>-84136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-84136</v>
      </c>
      <c r="D6263" s="2" t="str">
        <f t="shared" si="96"/>
        <v>Error?</v>
      </c>
      <c r="E6263" s="2" t="s">
        <v>199</v>
      </c>
    </row>
    <row r="6264" spans="1:5" x14ac:dyDescent="0.2">
      <c r="A6264">
        <v>6203</v>
      </c>
      <c r="B6264" s="138">
        <f>'Acct Summary 7-8'!J79</f>
        <v>202543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118407</v>
      </c>
      <c r="D6266" s="2" t="str">
        <f t="shared" si="96"/>
        <v>Error?</v>
      </c>
      <c r="E6266" s="2" t="s">
        <v>199</v>
      </c>
    </row>
    <row r="6267" spans="1:5" x14ac:dyDescent="0.2">
      <c r="A6267">
        <v>6206</v>
      </c>
      <c r="B6267" s="138">
        <f>'Acct Summary 7-8'!C82</f>
        <v>3123</v>
      </c>
      <c r="D6267" s="2" t="str">
        <f t="shared" si="96"/>
        <v>Error?</v>
      </c>
      <c r="E6267" s="2" t="s">
        <v>199</v>
      </c>
    </row>
    <row r="6268" spans="1:5" x14ac:dyDescent="0.2">
      <c r="A6268">
        <v>6207</v>
      </c>
      <c r="B6268" s="138">
        <f>'Acct Summary 7-8'!D82</f>
        <v>124803</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106449</v>
      </c>
      <c r="D6270" s="2" t="str">
        <f t="shared" si="96"/>
        <v>Error?</v>
      </c>
      <c r="E6270" s="2" t="s">
        <v>199</v>
      </c>
    </row>
    <row r="6271" spans="1:5" x14ac:dyDescent="0.2">
      <c r="A6271">
        <v>6210</v>
      </c>
      <c r="B6271" s="138">
        <f>'Acct Summary 7-8'!G82</f>
        <v>28515</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68841</v>
      </c>
      <c r="D6273" s="2" t="str">
        <f t="shared" si="97"/>
        <v>Error?</v>
      </c>
      <c r="E6273" s="2" t="s">
        <v>199</v>
      </c>
    </row>
    <row r="6274" spans="1:5" x14ac:dyDescent="0.2">
      <c r="A6274">
        <v>6213</v>
      </c>
      <c r="B6274" s="138">
        <f>'Acct Summary 7-8'!J82</f>
        <v>-84136</v>
      </c>
      <c r="D6274" s="2" t="str">
        <f t="shared" si="97"/>
        <v>Error?</v>
      </c>
      <c r="E6274" s="2" t="s">
        <v>199</v>
      </c>
    </row>
    <row r="6275" spans="1:5" x14ac:dyDescent="0.2">
      <c r="A6275">
        <v>6214</v>
      </c>
      <c r="B6275" s="138">
        <f>'Acct Summary 7-8'!K82</f>
        <v>-7359</v>
      </c>
      <c r="D6275" s="2" t="str">
        <f t="shared" si="97"/>
        <v>Error?</v>
      </c>
      <c r="E6275" s="2" t="s">
        <v>199</v>
      </c>
    </row>
    <row r="6276" spans="1:5" x14ac:dyDescent="0.2">
      <c r="A6276">
        <v>6215</v>
      </c>
      <c r="B6276" s="138">
        <f>'Acct Summary 7-8'!C83</f>
        <v>3.0398036148647661E-3</v>
      </c>
      <c r="D6276" s="2" t="str">
        <f t="shared" si="97"/>
        <v>Error?</v>
      </c>
      <c r="E6276" s="2" t="s">
        <v>199</v>
      </c>
    </row>
    <row r="6277" spans="1:5" x14ac:dyDescent="0.2">
      <c r="A6277">
        <v>6216</v>
      </c>
      <c r="B6277" s="138">
        <f>'Acct Summary 7-8'!D83</f>
        <v>0.14875474531725835</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0.30111167684996604</v>
      </c>
      <c r="D6279" s="2" t="str">
        <f t="shared" si="97"/>
        <v>Error?</v>
      </c>
      <c r="E6279" s="2" t="s">
        <v>199</v>
      </c>
    </row>
    <row r="6280" spans="1:5" x14ac:dyDescent="0.2">
      <c r="A6280">
        <v>6219</v>
      </c>
      <c r="B6280" s="138">
        <f>'Acct Summary 7-8'!G83</f>
        <v>0.13625091383437737</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3.6055131496664269E-2</v>
      </c>
      <c r="D6282" s="2" t="str">
        <f t="shared" si="97"/>
        <v>Error?</v>
      </c>
      <c r="E6282" s="2" t="s">
        <v>199</v>
      </c>
    </row>
    <row r="6283" spans="1:5" x14ac:dyDescent="0.2">
      <c r="A6283">
        <v>6222</v>
      </c>
      <c r="B6283" s="138">
        <f>'Acct Summary 7-8'!J83</f>
        <v>-0.71056609828810802</v>
      </c>
      <c r="D6283" s="2" t="str">
        <f t="shared" si="97"/>
        <v>Error?</v>
      </c>
      <c r="E6283" s="2" t="s">
        <v>199</v>
      </c>
    </row>
    <row r="6284" spans="1:5" x14ac:dyDescent="0.2">
      <c r="A6284">
        <v>6223</v>
      </c>
      <c r="B6284" s="138">
        <f>'Acct Summary 7-8'!K83</f>
        <v>-1.1315080161938339E-2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281609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281609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2401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2401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7575</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284010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110399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129194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50787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64029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142409</v>
      </c>
      <c r="D6880" s="2" t="str">
        <f t="shared" si="106"/>
        <v>Error?</v>
      </c>
    </row>
    <row r="6881" spans="1:4" x14ac:dyDescent="0.2">
      <c r="A6881">
        <v>6820</v>
      </c>
      <c r="B6881" s="138">
        <f>'Expenditures 15-22'!K22</f>
        <v>142409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4386</v>
      </c>
      <c r="D6981" s="2" t="str">
        <f t="shared" si="108"/>
        <v>Error?</v>
      </c>
    </row>
    <row r="6982" spans="1:4" x14ac:dyDescent="0.2">
      <c r="A6982">
        <v>6921</v>
      </c>
      <c r="B6982" s="138">
        <f>'Expenditures 15-22'!K85</f>
        <v>4386</v>
      </c>
      <c r="D6982" s="2" t="str">
        <f t="shared" si="108"/>
        <v>Error?</v>
      </c>
    </row>
    <row r="6983" spans="1:4" x14ac:dyDescent="0.2">
      <c r="A6983">
        <v>6922</v>
      </c>
      <c r="B6983" s="138">
        <f>'Expenditures 15-22'!H86</f>
        <v>47889</v>
      </c>
      <c r="D6983" s="2" t="str">
        <f t="shared" si="108"/>
        <v>Error?</v>
      </c>
    </row>
    <row r="6984" spans="1:4" x14ac:dyDescent="0.2">
      <c r="A6984">
        <v>6923</v>
      </c>
      <c r="B6984" s="138">
        <f>'Expenditures 15-22'!K86</f>
        <v>47889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29250</v>
      </c>
      <c r="D6987" s="2" t="str">
        <f t="shared" si="108"/>
        <v>Error?</v>
      </c>
    </row>
    <row r="6988" spans="1:4" x14ac:dyDescent="0.2">
      <c r="A6988">
        <v>6927</v>
      </c>
      <c r="B6988" s="138">
        <f>'Expenditures 15-22'!K88</f>
        <v>29250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81525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368146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284010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5409</v>
      </c>
      <c r="D7067" s="2" t="str">
        <f t="shared" si="109"/>
        <v>Error?</v>
      </c>
    </row>
    <row r="7068" spans="1:4" x14ac:dyDescent="0.2">
      <c r="A7068">
        <v>7007</v>
      </c>
      <c r="B7068" s="138">
        <f>'Expenditures 15-22'!K205</f>
        <v>5409</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5336</v>
      </c>
      <c r="D7073" s="2" t="str">
        <f t="shared" si="109"/>
        <v>Error?</v>
      </c>
    </row>
    <row r="7074" spans="1:4" x14ac:dyDescent="0.2">
      <c r="A7074">
        <v>7013</v>
      </c>
      <c r="B7074" s="138">
        <f>'Expenditures 15-22'!K216</f>
        <v>5336</v>
      </c>
      <c r="D7074" s="2" t="str">
        <f t="shared" si="109"/>
        <v>Error?</v>
      </c>
    </row>
    <row r="7075" spans="1:4" x14ac:dyDescent="0.2">
      <c r="A7075">
        <v>7014</v>
      </c>
      <c r="B7075" s="138">
        <f>'Expenditures 15-22'!D218</f>
        <v>4555</v>
      </c>
      <c r="D7075" s="2" t="str">
        <f t="shared" si="109"/>
        <v>Error?</v>
      </c>
    </row>
    <row r="7076" spans="1:4" x14ac:dyDescent="0.2">
      <c r="A7076">
        <v>7015</v>
      </c>
      <c r="B7076" s="138">
        <f>'Expenditures 15-22'!K218</f>
        <v>4555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771</v>
      </c>
      <c r="D7079" s="2" t="str">
        <f t="shared" si="109"/>
        <v>Error?</v>
      </c>
    </row>
    <row r="7080" spans="1:4" x14ac:dyDescent="0.2">
      <c r="A7080">
        <v>7019</v>
      </c>
      <c r="B7080" s="138">
        <f>'Expenditures 15-22'!K226</f>
        <v>771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44709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44709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1736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1736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21838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21838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154329</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23109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86223</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263661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14695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14695</v>
      </c>
      <c r="D7198" s="2" t="str">
        <f t="shared" si="111"/>
        <v>Error?</v>
      </c>
    </row>
    <row r="7199" spans="1:4" x14ac:dyDescent="0.2">
      <c r="A7199">
        <v>7138</v>
      </c>
      <c r="B7199" s="138">
        <f>'Expenditures 15-22'!C330</f>
        <v>154329</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127594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86223</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368146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154329</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127594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86223</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368146</v>
      </c>
      <c r="D7224" s="2" t="str">
        <f t="shared" si="111"/>
        <v>Error?</v>
      </c>
    </row>
    <row r="7225" spans="1:4" x14ac:dyDescent="0.2">
      <c r="A7225">
        <v>7164</v>
      </c>
      <c r="B7225" s="138">
        <f>'Expenditures 15-22'!K343</f>
        <v>-84136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10356</v>
      </c>
      <c r="D7246" s="2" t="str">
        <f t="shared" si="112"/>
        <v>Error?</v>
      </c>
    </row>
    <row r="7247" spans="1:4" x14ac:dyDescent="0.2">
      <c r="A7247">
        <f t="shared" si="113"/>
        <v>7186</v>
      </c>
      <c r="B7247" s="138">
        <f>'Expenditures 15-22'!E7</f>
        <v>1828</v>
      </c>
      <c r="D7247" s="2" t="str">
        <f t="shared" si="112"/>
        <v>Error?</v>
      </c>
    </row>
    <row r="7248" spans="1:4" x14ac:dyDescent="0.2">
      <c r="A7248">
        <f t="shared" si="113"/>
        <v>7187</v>
      </c>
      <c r="B7248" s="138">
        <f>'Expenditures 15-22'!F7</f>
        <v>6611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48030</v>
      </c>
      <c r="D7251" s="2" t="str">
        <f t="shared" si="112"/>
        <v>Error?</v>
      </c>
    </row>
    <row r="7252" spans="1:4" x14ac:dyDescent="0.2">
      <c r="A7252">
        <f t="shared" si="113"/>
        <v>7191</v>
      </c>
      <c r="B7252" s="138">
        <f>'Expenditures 15-22'!D9</f>
        <v>742</v>
      </c>
      <c r="D7252" s="2" t="str">
        <f t="shared" si="112"/>
        <v>Error?</v>
      </c>
    </row>
    <row r="7253" spans="1:4" x14ac:dyDescent="0.2">
      <c r="A7253">
        <f t="shared" si="113"/>
        <v>7192</v>
      </c>
      <c r="B7253" s="138">
        <f>'Expenditures 15-22'!E9</f>
        <v>386</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1629</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61735</v>
      </c>
      <c r="D7263" s="2" t="str">
        <f t="shared" si="112"/>
        <v>Error?</v>
      </c>
    </row>
    <row r="7264" spans="1:4" x14ac:dyDescent="0.2">
      <c r="A7264">
        <f t="shared" si="113"/>
        <v>7203</v>
      </c>
      <c r="B7264" s="138">
        <f>'Expenditures 15-22'!D17</f>
        <v>1670</v>
      </c>
      <c r="D7264" s="2" t="str">
        <f t="shared" si="112"/>
        <v>Error?</v>
      </c>
    </row>
    <row r="7265" spans="1:5" x14ac:dyDescent="0.2">
      <c r="A7265">
        <f t="shared" si="113"/>
        <v>7204</v>
      </c>
      <c r="B7265" s="138">
        <f>'Expenditures 15-22'!E17</f>
        <v>25</v>
      </c>
      <c r="D7265" s="2" t="str">
        <f t="shared" si="112"/>
        <v>Error?</v>
      </c>
    </row>
    <row r="7266" spans="1:5" x14ac:dyDescent="0.2">
      <c r="A7266">
        <f t="shared" si="113"/>
        <v>7205</v>
      </c>
      <c r="B7266" s="138">
        <f>'Expenditures 15-22'!F17</f>
        <v>599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445863</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445863</v>
      </c>
      <c r="D7618" s="2" t="str">
        <f t="shared" si="124"/>
        <v>Error?</v>
      </c>
      <c r="E7618" s="2" t="s">
        <v>19</v>
      </c>
    </row>
    <row r="7619" spans="1:5" x14ac:dyDescent="0.2">
      <c r="A7619">
        <f t="shared" si="123"/>
        <v>7558</v>
      </c>
      <c r="B7619" s="138">
        <f>'Cap Outlay Deprec 26'!H14</f>
        <v>445863</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445863</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305772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21507</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21507</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7938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7938</v>
      </c>
      <c r="D7719" s="2" t="str">
        <f t="shared" si="126"/>
        <v>Error?</v>
      </c>
      <c r="E7719" s="2" t="s">
        <v>881</v>
      </c>
    </row>
    <row r="7720" spans="1:6" x14ac:dyDescent="0.2">
      <c r="A7720">
        <v>7659</v>
      </c>
      <c r="B7720" s="138">
        <f>'Rest Tax Levies-Tort Im 25'!H14</f>
        <v>41122</v>
      </c>
      <c r="D7720" s="2" t="str">
        <f t="shared" si="126"/>
        <v>Error?</v>
      </c>
      <c r="E7720" s="2" t="s">
        <v>881</v>
      </c>
    </row>
    <row r="7721" spans="1:6" x14ac:dyDescent="0.2">
      <c r="A7721">
        <v>7660</v>
      </c>
      <c r="B7721" s="138">
        <f>'Rest Tax Levies-Tort Im 25'!K14</f>
        <v>7938</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4042</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43287</v>
      </c>
      <c r="D7797" s="2" t="str">
        <f t="shared" si="127"/>
        <v>Error?</v>
      </c>
      <c r="E7797" s="4" t="s">
        <v>2020</v>
      </c>
    </row>
    <row r="7798" spans="1:5" x14ac:dyDescent="0.2">
      <c r="A7798">
        <v>7737</v>
      </c>
      <c r="B7798" s="138">
        <f>'Contracts Paid in CY 29'!F141</f>
        <v>38842</v>
      </c>
      <c r="D7798" s="2" t="str">
        <f t="shared" si="127"/>
        <v>Error?</v>
      </c>
      <c r="E7798" s="4" t="s">
        <v>2020</v>
      </c>
    </row>
    <row r="7799" spans="1:5" x14ac:dyDescent="0.2">
      <c r="A7799">
        <v>7738</v>
      </c>
      <c r="B7799" s="138">
        <f>'Contracts Paid in CY 29'!G141</f>
        <v>4445</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Henry-Senachwine CUSD 5</v>
      </c>
      <c r="B7" s="2422"/>
      <c r="C7" s="2422"/>
      <c r="D7" s="2423"/>
      <c r="E7" s="2424">
        <f>COVER!A13</f>
        <v>35059005026</v>
      </c>
      <c r="F7" s="2425"/>
      <c r="G7" s="2431" t="str">
        <f>COVER!T23</f>
        <v>066-004501</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Hopkins &amp; Associates, CPAs</v>
      </c>
      <c r="H9" s="2437"/>
      <c r="I9" s="2437"/>
      <c r="J9" s="2437"/>
      <c r="K9" s="2437"/>
      <c r="L9" s="2438"/>
    </row>
    <row r="10" spans="1:29" ht="13.5" customHeight="1" x14ac:dyDescent="0.2">
      <c r="A10" s="2411" t="str">
        <f>COVER!A38</f>
        <v>Michael S. Miller</v>
      </c>
      <c r="B10" s="2412"/>
      <c r="C10" s="2412"/>
      <c r="D10" s="2412"/>
      <c r="E10" s="2412"/>
      <c r="F10" s="2413"/>
      <c r="G10" s="2405" t="str">
        <f>COVER!T17</f>
        <v>314 S McCoy St</v>
      </c>
      <c r="H10" s="2406"/>
      <c r="I10" s="2406"/>
      <c r="J10" s="2406"/>
      <c r="K10" s="2406"/>
      <c r="L10" s="2407"/>
    </row>
    <row r="11" spans="1:29" ht="13.5" customHeight="1" x14ac:dyDescent="0.2">
      <c r="A11" s="1185" t="s">
        <v>1599</v>
      </c>
      <c r="B11" s="1186"/>
      <c r="C11" s="1187"/>
      <c r="D11" s="1192"/>
      <c r="E11" s="1187"/>
      <c r="F11" s="1191"/>
      <c r="G11" s="2405" t="str">
        <f>COVER!T19</f>
        <v>Granville</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kim@hopkinsoffice.com</v>
      </c>
      <c r="J13" s="2418"/>
      <c r="K13" s="2418"/>
      <c r="L13" s="2419"/>
    </row>
    <row r="14" spans="1:29" ht="13.5" customHeight="1" x14ac:dyDescent="0.2">
      <c r="A14" s="2405" t="str">
        <f>COVER!A19</f>
        <v>1023 College</v>
      </c>
      <c r="B14" s="2406"/>
      <c r="C14" s="2406"/>
      <c r="D14" s="2406"/>
      <c r="E14" s="2406"/>
      <c r="F14" s="2407"/>
      <c r="G14" s="1196" t="s">
        <v>1247</v>
      </c>
      <c r="H14" s="1194"/>
      <c r="I14" s="1194"/>
      <c r="J14" s="1194"/>
      <c r="K14" s="1194"/>
      <c r="L14" s="1195"/>
    </row>
    <row r="15" spans="1:29" ht="13.5" customHeight="1" x14ac:dyDescent="0.2">
      <c r="A15" s="2405" t="str">
        <f>COVER!A21</f>
        <v xml:space="preserve">Henry  </v>
      </c>
      <c r="B15" s="2406"/>
      <c r="C15" s="2406"/>
      <c r="D15" s="2406"/>
      <c r="E15" s="2406"/>
      <c r="F15" s="2407"/>
      <c r="G15" s="2402" t="str">
        <f>COVER!T15</f>
        <v>Kim Bird</v>
      </c>
      <c r="H15" s="2403"/>
      <c r="I15" s="2403"/>
      <c r="J15" s="2403"/>
      <c r="K15" s="2403"/>
      <c r="L15" s="2404"/>
    </row>
    <row r="16" spans="1:29" ht="12.2" customHeight="1" x14ac:dyDescent="0.2">
      <c r="A16" s="2427">
        <f>COVER!A25</f>
        <v>61537</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815-339-6630</v>
      </c>
      <c r="H18" s="2422"/>
      <c r="I18" s="2422"/>
      <c r="J18" s="2422"/>
      <c r="K18" s="2421" t="str">
        <f>COVER!X21</f>
        <v>815-339-6643</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Henry-Senachwine CUSD 5</v>
      </c>
      <c r="B1" s="2420"/>
      <c r="C1" s="2420"/>
      <c r="D1" s="2420"/>
    </row>
    <row r="2" spans="1:11" s="1215" customFormat="1" ht="12.75" x14ac:dyDescent="0.2">
      <c r="A2" s="2444">
        <f>'Single Audit Cover'!E7</f>
        <v>35059005026</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Henry-Senachwine CUSD 5</v>
      </c>
      <c r="B1" s="2447"/>
      <c r="C1" s="2447"/>
      <c r="D1" s="2447"/>
      <c r="E1" s="2447"/>
    </row>
    <row r="2" spans="1:5" x14ac:dyDescent="0.2">
      <c r="A2" s="2448">
        <f>'Single Audit Cover'!E7</f>
        <v>35059005026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390880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16650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-62118</v>
      </c>
    </row>
    <row r="19" spans="1:4" ht="13.5" thickBot="1" x14ac:dyDescent="0.25">
      <c r="A19" s="1265" t="s">
        <v>1297</v>
      </c>
      <c r="D19" s="1266">
        <f>SUM(D10:D17)</f>
        <v>345412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345412</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345412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Henry-Senachwine CUSD 5</v>
      </c>
      <c r="B1" s="2460"/>
      <c r="C1" s="2460"/>
      <c r="D1" s="2460"/>
      <c r="E1" s="2460"/>
      <c r="F1" s="2460"/>
    </row>
    <row r="2" spans="1:7" ht="13.5" customHeight="1" x14ac:dyDescent="0.2">
      <c r="A2" s="2461">
        <f>'Single Audit Cover'!E7</f>
        <v>35059005026</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Henry-Senachwine CUSD 5</v>
      </c>
      <c r="C1" s="2464"/>
      <c r="D1" s="2464"/>
      <c r="E1" s="2464"/>
      <c r="F1" s="2464"/>
      <c r="G1" s="2464"/>
      <c r="H1" s="2464"/>
      <c r="I1" s="2464"/>
      <c r="J1" s="2464"/>
      <c r="K1" s="2464"/>
      <c r="L1" s="2464"/>
      <c r="M1" s="2464"/>
    </row>
    <row r="2" spans="2:14" ht="15" x14ac:dyDescent="0.2">
      <c r="B2" s="2461">
        <f>'Single Audit Cover'!E7</f>
        <v>35059005026</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2078</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2087</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Henry-Senachwine CUSD 5</v>
      </c>
      <c r="C1" s="2479"/>
      <c r="D1" s="2479"/>
      <c r="E1" s="2479"/>
      <c r="F1" s="2479"/>
      <c r="G1" s="2479"/>
      <c r="H1" s="2479"/>
      <c r="I1" s="2479"/>
      <c r="J1" s="1422"/>
    </row>
    <row r="2" spans="2:10" s="317" customFormat="1" ht="12.75" customHeight="1" x14ac:dyDescent="0.2">
      <c r="B2" s="2480">
        <f>'Single Audit Cover'!E7</f>
        <v>35059005026</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1952</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Henry-Senachwine CUSD 5</v>
      </c>
      <c r="C1" s="2478"/>
      <c r="D1" s="2478"/>
      <c r="E1" s="2478"/>
      <c r="F1" s="2478"/>
      <c r="G1" s="2478"/>
      <c r="H1" s="2478"/>
      <c r="I1" s="2478"/>
      <c r="J1" s="2478"/>
      <c r="K1" s="2478"/>
      <c r="L1" s="1374"/>
      <c r="M1" s="1374"/>
    </row>
    <row r="2" spans="1:13" ht="12" customHeight="1" x14ac:dyDescent="0.2">
      <c r="B2" s="2480">
        <f>'Single Audit Cover'!E7</f>
        <v>35059005026</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Henry-Senachwine CUSD 5</v>
      </c>
      <c r="C1" s="2501"/>
      <c r="D1" s="2501"/>
      <c r="E1" s="2501"/>
      <c r="F1" s="2501"/>
      <c r="G1" s="2501"/>
      <c r="H1" s="2501"/>
      <c r="I1" s="2501"/>
      <c r="J1" s="2501"/>
      <c r="K1" s="2501"/>
      <c r="L1" s="1465"/>
    </row>
    <row r="2" spans="1:12" ht="12.75" customHeight="1" x14ac:dyDescent="0.2">
      <c r="B2" s="2502">
        <f>'Single Audit Cover'!E7</f>
        <v>35059005026</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Henry-Senachwine CUSD 5</v>
      </c>
      <c r="C1" s="2478"/>
      <c r="D1" s="2478"/>
      <c r="E1" s="1491"/>
    </row>
    <row r="2" spans="2:5" s="1282" customFormat="1" ht="12.75" customHeight="1" x14ac:dyDescent="0.2">
      <c r="B2" s="2480">
        <f>'Single Audit Cover'!E7</f>
        <v>35059005026</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4" colorId="8" zoomScale="110" zoomScaleNormal="110" workbookViewId="0">
      <selection activeCell="B54" sqref="B54:L5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f>547587+101658908</f>
        <v>102206495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2.8799999999999999E-2</v>
      </c>
      <c r="E10" s="356" t="s">
        <v>1062</v>
      </c>
      <c r="F10" s="355">
        <v>6.0000000000000001E-3</v>
      </c>
      <c r="G10" s="356" t="s">
        <v>1062</v>
      </c>
      <c r="H10" s="355">
        <v>2E-3</v>
      </c>
      <c r="I10" s="356" t="s">
        <v>1063</v>
      </c>
      <c r="J10" s="1754">
        <f>ROUND(D10+F10+H10,5)</f>
        <v>3.6799999999999999E-2</v>
      </c>
      <c r="K10" s="222"/>
      <c r="L10" s="355">
        <v>5.0000000000000001E-4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6442369</v>
      </c>
      <c r="E16" s="356"/>
      <c r="F16" s="1755">
        <f>SUM('Acct Summary 7-8'!C17,'Acct Summary 7-8'!D17,'Acct Summary 7-8'!F17)</f>
        <v>6135111</v>
      </c>
      <c r="G16" s="356"/>
      <c r="H16" s="1755">
        <f>SUM(D16-F16)</f>
        <v>307258</v>
      </c>
      <c r="I16" s="222"/>
      <c r="J16" s="1755">
        <f>SUM('Acct Summary 7-8'!C81,'Acct Summary 7-8'!D81,'Acct Summary 7-8'!F81,'Acct Summary 7-8'!I81)</f>
        <v>4129200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14104496.310000001</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Henry-Senachwine CUSD 5</v>
      </c>
      <c r="E7" s="391"/>
      <c r="G7" s="252"/>
      <c r="H7" s="387"/>
      <c r="I7" s="387"/>
      <c r="J7" s="387"/>
      <c r="K7" s="387"/>
      <c r="L7" s="329"/>
      <c r="M7" s="329"/>
      <c r="N7" s="329"/>
      <c r="O7" s="329"/>
      <c r="P7" s="329"/>
    </row>
    <row r="8" spans="1:18" ht="12.75" x14ac:dyDescent="0.2">
      <c r="A8" s="329"/>
      <c r="B8" s="329"/>
      <c r="C8" s="389" t="s">
        <v>1187</v>
      </c>
      <c r="D8" s="392">
        <f>COVER!A13</f>
        <v>35059005026</v>
      </c>
      <c r="E8" s="393"/>
      <c r="G8" s="329"/>
      <c r="H8" s="329"/>
      <c r="I8" s="329"/>
      <c r="J8" s="329"/>
      <c r="K8" s="329"/>
      <c r="L8" s="329"/>
      <c r="M8" s="329"/>
      <c r="N8" s="329"/>
      <c r="O8" s="329"/>
      <c r="P8" s="329"/>
    </row>
    <row r="9" spans="1:18" ht="12.75" x14ac:dyDescent="0.2">
      <c r="A9" s="329"/>
      <c r="B9" s="329"/>
      <c r="C9" s="389" t="s">
        <v>737</v>
      </c>
      <c r="D9" s="394" t="str">
        <f>COVER!A15</f>
        <v>Marshall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4129200</v>
      </c>
      <c r="I12" s="404"/>
      <c r="J12" s="404"/>
      <c r="K12" s="405">
        <f>TRUNC((H12/H13*100000),5)/100000</f>
        <v>0.64094434820000001</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6442369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6135111</v>
      </c>
      <c r="I17" s="404"/>
      <c r="J17" s="416"/>
      <c r="K17" s="405">
        <f>TRUNC((H17/H18*100000),5)/100000</f>
        <v>0.95230667469999997</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6442369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4129200</v>
      </c>
      <c r="I24" s="422"/>
      <c r="J24" s="422"/>
      <c r="K24" s="423">
        <f>TRUNC(((H24/H25*100000)/100000),2)</f>
        <v>242.29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17041.974999999999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3197019.1636000001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14104496.310000001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3"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1027369</v>
      </c>
      <c r="D4" s="466">
        <v>838985</v>
      </c>
      <c r="E4" s="466"/>
      <c r="F4" s="466">
        <v>353520</v>
      </c>
      <c r="G4" s="466">
        <v>209283</v>
      </c>
      <c r="H4" s="466"/>
      <c r="I4" s="466">
        <v>1909326</v>
      </c>
      <c r="J4" s="467">
        <v>118407</v>
      </c>
      <c r="K4" s="466">
        <v>650371</v>
      </c>
      <c r="L4" s="466">
        <f>33559+31034+30000</f>
        <v>94593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1027369</v>
      </c>
      <c r="D13" s="1759">
        <f t="shared" ref="D13:L13" si="0">SUM(D4:D12)</f>
        <v>838985</v>
      </c>
      <c r="E13" s="1759">
        <f t="shared" si="0"/>
        <v>0</v>
      </c>
      <c r="F13" s="1759">
        <f t="shared" si="0"/>
        <v>353520</v>
      </c>
      <c r="G13" s="1759">
        <f t="shared" si="0"/>
        <v>209283</v>
      </c>
      <c r="H13" s="1759">
        <f t="shared" si="0"/>
        <v>0</v>
      </c>
      <c r="I13" s="1759">
        <f t="shared" si="0"/>
        <v>1909326</v>
      </c>
      <c r="J13" s="1759">
        <f t="shared" si="0"/>
        <v>118407</v>
      </c>
      <c r="K13" s="1759">
        <f t="shared" si="0"/>
        <v>650371</v>
      </c>
      <c r="L13" s="1759">
        <f t="shared" si="0"/>
        <v>94593</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103400</v>
      </c>
      <c r="N16" s="484"/>
    </row>
    <row r="17" spans="1:14" s="485" customFormat="1" ht="12.75" customHeight="1" x14ac:dyDescent="0.2">
      <c r="A17" s="482" t="s">
        <v>1470</v>
      </c>
      <c r="B17" s="483">
        <v>230</v>
      </c>
      <c r="C17" s="477"/>
      <c r="D17" s="477"/>
      <c r="E17" s="477"/>
      <c r="F17" s="477"/>
      <c r="G17" s="477"/>
      <c r="H17" s="477"/>
      <c r="I17" s="477"/>
      <c r="J17" s="477"/>
      <c r="K17" s="477"/>
      <c r="L17" s="477"/>
      <c r="M17" s="467">
        <v>6770203</v>
      </c>
      <c r="N17" s="484"/>
    </row>
    <row r="18" spans="1:14" s="485" customFormat="1" ht="12.75" customHeight="1" x14ac:dyDescent="0.2">
      <c r="A18" s="482" t="s">
        <v>1471</v>
      </c>
      <c r="B18" s="483">
        <v>240</v>
      </c>
      <c r="C18" s="477"/>
      <c r="D18" s="477"/>
      <c r="E18" s="477"/>
      <c r="F18" s="477"/>
      <c r="G18" s="477"/>
      <c r="H18" s="477"/>
      <c r="I18" s="477"/>
      <c r="J18" s="477"/>
      <c r="K18" s="477"/>
      <c r="L18" s="477"/>
      <c r="M18" s="467">
        <v>589979</v>
      </c>
      <c r="N18" s="484"/>
    </row>
    <row r="19" spans="1:14" s="485" customFormat="1" ht="12.75" customHeight="1" x14ac:dyDescent="0.2">
      <c r="A19" s="482" t="s">
        <v>1472</v>
      </c>
      <c r="B19" s="483">
        <v>250</v>
      </c>
      <c r="C19" s="477"/>
      <c r="D19" s="477"/>
      <c r="E19" s="477"/>
      <c r="F19" s="477"/>
      <c r="G19" s="477"/>
      <c r="H19" s="477"/>
      <c r="I19" s="477"/>
      <c r="J19" s="477"/>
      <c r="K19" s="477"/>
      <c r="L19" s="477"/>
      <c r="M19" s="467">
        <v>3115883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10579465</v>
      </c>
      <c r="N23" s="1710">
        <f>SUM(N21:N22)</f>
        <v>0</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94593</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94593</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1027369</v>
      </c>
      <c r="D39" s="466">
        <v>838985</v>
      </c>
      <c r="E39" s="466"/>
      <c r="F39" s="466">
        <v>353520</v>
      </c>
      <c r="G39" s="466">
        <v>209283</v>
      </c>
      <c r="H39" s="466"/>
      <c r="I39" s="466">
        <v>1909326</v>
      </c>
      <c r="J39" s="467">
        <v>118407</v>
      </c>
      <c r="K39" s="466">
        <v>650371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10579465</v>
      </c>
      <c r="N40" s="497"/>
    </row>
    <row r="41" spans="1:14" ht="13.5" customHeight="1" thickBot="1" x14ac:dyDescent="0.25">
      <c r="A41" s="1758" t="s">
        <v>676</v>
      </c>
      <c r="B41" s="1728"/>
      <c r="C41" s="1710">
        <f>(SUM(C34,C37,C38,C39))</f>
        <v>1027369</v>
      </c>
      <c r="D41" s="1710">
        <f t="shared" ref="D41:L41" si="2">SUM(D34,D37,D38:D39)</f>
        <v>838985</v>
      </c>
      <c r="E41" s="1710">
        <f t="shared" si="2"/>
        <v>0</v>
      </c>
      <c r="F41" s="1710">
        <f t="shared" si="2"/>
        <v>353520</v>
      </c>
      <c r="G41" s="1710">
        <f t="shared" si="2"/>
        <v>209283</v>
      </c>
      <c r="H41" s="1710">
        <f t="shared" si="2"/>
        <v>0</v>
      </c>
      <c r="I41" s="1710">
        <f t="shared" si="2"/>
        <v>1909326</v>
      </c>
      <c r="J41" s="1710">
        <f t="shared" si="2"/>
        <v>118407</v>
      </c>
      <c r="K41" s="1710">
        <f t="shared" si="2"/>
        <v>650371</v>
      </c>
      <c r="L41" s="1710">
        <f t="shared" si="2"/>
        <v>94593</v>
      </c>
      <c r="M41" s="1710">
        <f>SUM(M40)</f>
        <v>10579465</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4"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2154" t="s">
        <v>1579</v>
      </c>
      <c r="B4" s="2155"/>
      <c r="C4" s="1764">
        <f>'Revenues 9-14'!C109</f>
        <v>3823747</v>
      </c>
      <c r="D4" s="1764">
        <f>'Revenues 9-14'!D109</f>
        <v>632372</v>
      </c>
      <c r="E4" s="1764">
        <f>'Revenues 9-14'!E109</f>
        <v>310650</v>
      </c>
      <c r="F4" s="1764">
        <f>'Revenues 9-14'!F109</f>
        <v>208423</v>
      </c>
      <c r="G4" s="1764">
        <f>'Revenues 9-14'!G109</f>
        <v>285469</v>
      </c>
      <c r="H4" s="1764">
        <f>'Revenues 9-14'!H109</f>
        <v>0</v>
      </c>
      <c r="I4" s="1764">
        <f>'Revenues 9-14'!I109</f>
        <v>72883</v>
      </c>
      <c r="J4" s="1764">
        <f>'Revenues 9-14'!J109</f>
        <v>284010</v>
      </c>
      <c r="K4" s="1764">
        <f>'Revenues 9-14'!K109</f>
        <v>57395</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987729</v>
      </c>
      <c r="D6" s="1765">
        <f>'Revenues 9-14'!D173</f>
        <v>0</v>
      </c>
      <c r="E6" s="1765">
        <f>'Revenues 9-14'!E173</f>
        <v>0</v>
      </c>
      <c r="F6" s="1765">
        <f>'Revenues 9-14'!F173</f>
        <v>326335</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390880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5202356</v>
      </c>
      <c r="D8" s="1710">
        <f t="shared" ref="D8:K8" si="0">SUM(D4:D7)</f>
        <v>632372</v>
      </c>
      <c r="E8" s="1710">
        <f t="shared" si="0"/>
        <v>310650</v>
      </c>
      <c r="F8" s="1710">
        <f t="shared" si="0"/>
        <v>534758</v>
      </c>
      <c r="G8" s="1710">
        <f t="shared" si="0"/>
        <v>285469</v>
      </c>
      <c r="H8" s="1710">
        <f t="shared" si="0"/>
        <v>0</v>
      </c>
      <c r="I8" s="1710">
        <f t="shared" si="0"/>
        <v>72883</v>
      </c>
      <c r="J8" s="1710">
        <f t="shared" si="0"/>
        <v>284010</v>
      </c>
      <c r="K8" s="1710">
        <f t="shared" si="0"/>
        <v>57395</v>
      </c>
      <c r="L8" s="347"/>
    </row>
    <row r="9" spans="1:13" ht="15.75" thickTop="1" x14ac:dyDescent="0.2">
      <c r="A9" s="514" t="s">
        <v>1752</v>
      </c>
      <c r="B9" s="515">
        <v>3998</v>
      </c>
      <c r="C9" s="481">
        <f>36718+2429667</f>
        <v>2466385</v>
      </c>
      <c r="D9" s="516"/>
      <c r="E9" s="481"/>
      <c r="F9" s="481"/>
      <c r="G9" s="517"/>
      <c r="H9" s="481"/>
      <c r="I9" s="509" t="s">
        <v>1231</v>
      </c>
      <c r="J9" s="478"/>
      <c r="K9" s="481"/>
      <c r="L9" s="347"/>
    </row>
    <row r="10" spans="1:13" s="519" customFormat="1" ht="13.5" thickBot="1" x14ac:dyDescent="0.25">
      <c r="A10" s="1758" t="s">
        <v>1235</v>
      </c>
      <c r="B10" s="1731"/>
      <c r="C10" s="1710">
        <f>SUM(C8:C9)</f>
        <v>7668741</v>
      </c>
      <c r="D10" s="1710">
        <f t="shared" ref="D10:K10" si="1">SUM(D8:D9)</f>
        <v>632372</v>
      </c>
      <c r="E10" s="1710">
        <f t="shared" si="1"/>
        <v>310650</v>
      </c>
      <c r="F10" s="1710">
        <f t="shared" si="1"/>
        <v>534758</v>
      </c>
      <c r="G10" s="1710">
        <f t="shared" si="1"/>
        <v>285469</v>
      </c>
      <c r="H10" s="1710">
        <f t="shared" si="1"/>
        <v>0</v>
      </c>
      <c r="I10" s="1710">
        <f t="shared" si="1"/>
        <v>72883</v>
      </c>
      <c r="J10" s="1710">
        <f t="shared" si="1"/>
        <v>284010</v>
      </c>
      <c r="K10" s="1710">
        <f t="shared" si="1"/>
        <v>57395</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3621549</v>
      </c>
      <c r="D12" s="520" t="s">
        <v>1231</v>
      </c>
      <c r="E12" s="468" t="s">
        <v>1231</v>
      </c>
      <c r="F12" s="468" t="s">
        <v>1231</v>
      </c>
      <c r="G12" s="1764">
        <f>'Expenditures 15-22'!K229</f>
        <v>81308</v>
      </c>
      <c r="H12" s="521"/>
      <c r="I12" s="468" t="s">
        <v>1231</v>
      </c>
      <c r="J12" s="468" t="s">
        <v>1231</v>
      </c>
      <c r="K12" s="521" t="s">
        <v>1231</v>
      </c>
      <c r="L12" s="347"/>
    </row>
    <row r="13" spans="1:13" ht="15.75" customHeight="1" x14ac:dyDescent="0.2">
      <c r="A13" s="1598" t="s">
        <v>477</v>
      </c>
      <c r="B13" s="1600">
        <v>2000</v>
      </c>
      <c r="C13" s="1765">
        <f>'Expenditures 15-22'!K74</f>
        <v>1392265</v>
      </c>
      <c r="D13" s="1765">
        <f>'Expenditures 15-22'!K129</f>
        <v>507569</v>
      </c>
      <c r="E13" s="469" t="s">
        <v>1231</v>
      </c>
      <c r="F13" s="1765">
        <f>'Expenditures 15-22'!K184</f>
        <v>400840</v>
      </c>
      <c r="G13" s="1765">
        <f>'Expenditures 15-22'!K279</f>
        <v>175646</v>
      </c>
      <c r="H13" s="1765">
        <f>'Expenditures 15-22'!K303</f>
        <v>0</v>
      </c>
      <c r="I13" s="468" t="s">
        <v>1231</v>
      </c>
      <c r="J13" s="1765">
        <f>'Expenditures 15-22'!K330</f>
        <v>368146</v>
      </c>
      <c r="K13" s="1769">
        <f>'Expenditures 15-22'!K352</f>
        <v>64754</v>
      </c>
      <c r="L13" s="347"/>
    </row>
    <row r="14" spans="1:13" ht="15.75" customHeight="1" x14ac:dyDescent="0.2">
      <c r="A14" s="1598" t="s">
        <v>469</v>
      </c>
      <c r="B14" s="1600">
        <v>3000</v>
      </c>
      <c r="C14" s="1765">
        <f>'Expenditures 15-22'!K75</f>
        <v>1697</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183722</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314692</v>
      </c>
      <c r="F16" s="1765">
        <f>'Expenditures 15-22'!K208</f>
        <v>27469</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5199233</v>
      </c>
      <c r="D17" s="1710">
        <f t="shared" si="2"/>
        <v>507569</v>
      </c>
      <c r="E17" s="1710">
        <f t="shared" si="2"/>
        <v>314692</v>
      </c>
      <c r="F17" s="1710">
        <f t="shared" si="2"/>
        <v>428309</v>
      </c>
      <c r="G17" s="1710">
        <f t="shared" si="2"/>
        <v>256954</v>
      </c>
      <c r="H17" s="1710">
        <f t="shared" si="2"/>
        <v>0</v>
      </c>
      <c r="I17" s="468"/>
      <c r="J17" s="1710">
        <f>SUM(J12:J16)</f>
        <v>368146</v>
      </c>
      <c r="K17" s="1710">
        <f>SUM(K12:K16)</f>
        <v>64754</v>
      </c>
      <c r="L17" s="347"/>
    </row>
    <row r="18" spans="1:12" ht="15" customHeight="1" thickTop="1" x14ac:dyDescent="0.2">
      <c r="A18" s="1766" t="s">
        <v>1753</v>
      </c>
      <c r="B18" s="1767">
        <v>4180</v>
      </c>
      <c r="C18" s="1764">
        <f t="shared" ref="C18:H18" si="3">C9</f>
        <v>2466385</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7665618</v>
      </c>
      <c r="D19" s="1710">
        <f t="shared" si="4"/>
        <v>507569</v>
      </c>
      <c r="E19" s="1710">
        <f t="shared" si="4"/>
        <v>314692</v>
      </c>
      <c r="F19" s="1710">
        <f t="shared" si="4"/>
        <v>428309</v>
      </c>
      <c r="G19" s="1710">
        <f t="shared" si="4"/>
        <v>256954</v>
      </c>
      <c r="H19" s="1710">
        <f t="shared" si="4"/>
        <v>0</v>
      </c>
      <c r="I19" s="468"/>
      <c r="J19" s="1710">
        <f>SUM(J17:J18)</f>
        <v>368146</v>
      </c>
      <c r="K19" s="1710">
        <f>SUM(K17:K18)</f>
        <v>64754</v>
      </c>
      <c r="L19" s="347"/>
    </row>
    <row r="20" spans="1:12" ht="16.5" thickTop="1" thickBot="1" x14ac:dyDescent="0.25">
      <c r="A20" s="2142" t="s">
        <v>1754</v>
      </c>
      <c r="B20" s="2143"/>
      <c r="C20" s="1768">
        <f>C8-C17</f>
        <v>3123</v>
      </c>
      <c r="D20" s="1768">
        <f t="shared" ref="D20:K20" si="5">D8-D17</f>
        <v>124803</v>
      </c>
      <c r="E20" s="1768">
        <f t="shared" si="5"/>
        <v>-4042</v>
      </c>
      <c r="F20" s="1768">
        <f t="shared" si="5"/>
        <v>106449</v>
      </c>
      <c r="G20" s="1768">
        <f t="shared" si="5"/>
        <v>28515</v>
      </c>
      <c r="H20" s="1768">
        <f t="shared" si="5"/>
        <v>0</v>
      </c>
      <c r="I20" s="1768">
        <f t="shared" si="5"/>
        <v>72883</v>
      </c>
      <c r="J20" s="1768">
        <f t="shared" si="5"/>
        <v>-84136</v>
      </c>
      <c r="K20" s="1768">
        <f t="shared" si="5"/>
        <v>-7359</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v>4042</v>
      </c>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4042</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4042</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2" t="s">
        <v>460</v>
      </c>
      <c r="B76" s="2133"/>
      <c r="C76" s="1725">
        <f t="shared" ref="C76:K76" si="7">SUM(C47:C75)</f>
        <v>0</v>
      </c>
      <c r="D76" s="1725">
        <f t="shared" si="7"/>
        <v>0</v>
      </c>
      <c r="E76" s="1725">
        <f t="shared" si="7"/>
        <v>0</v>
      </c>
      <c r="F76" s="1725">
        <f t="shared" si="7"/>
        <v>0</v>
      </c>
      <c r="G76" s="1725">
        <f t="shared" si="7"/>
        <v>0</v>
      </c>
      <c r="H76" s="1725">
        <f t="shared" si="7"/>
        <v>0</v>
      </c>
      <c r="I76" s="1725">
        <f t="shared" si="7"/>
        <v>4042</v>
      </c>
      <c r="J76" s="1725">
        <f t="shared" si="7"/>
        <v>0</v>
      </c>
      <c r="K76" s="1725">
        <f t="shared" si="7"/>
        <v>0</v>
      </c>
      <c r="L76" s="524"/>
    </row>
    <row r="77" spans="1:12" ht="14.25" thickTop="1" thickBot="1" x14ac:dyDescent="0.25">
      <c r="A77" s="2134" t="s">
        <v>1239</v>
      </c>
      <c r="B77" s="2135"/>
      <c r="C77" s="1725">
        <f t="shared" ref="C77:K77" si="8">C44-C76</f>
        <v>0</v>
      </c>
      <c r="D77" s="1725">
        <f t="shared" si="8"/>
        <v>0</v>
      </c>
      <c r="E77" s="1725">
        <f t="shared" si="8"/>
        <v>4042</v>
      </c>
      <c r="F77" s="1725">
        <f t="shared" si="8"/>
        <v>0</v>
      </c>
      <c r="G77" s="1725">
        <f t="shared" si="8"/>
        <v>0</v>
      </c>
      <c r="H77" s="1725">
        <f t="shared" si="8"/>
        <v>0</v>
      </c>
      <c r="I77" s="1725">
        <f t="shared" si="8"/>
        <v>-4042</v>
      </c>
      <c r="J77" s="1725">
        <f t="shared" si="8"/>
        <v>0</v>
      </c>
      <c r="K77" s="1725">
        <f t="shared" si="8"/>
        <v>0</v>
      </c>
      <c r="L77" s="347"/>
    </row>
    <row r="78" spans="1:12" ht="21.75" customHeight="1" thickTop="1" thickBot="1" x14ac:dyDescent="0.25">
      <c r="A78" s="2138" t="s">
        <v>618</v>
      </c>
      <c r="B78" s="2139"/>
      <c r="C78" s="1724">
        <f t="shared" ref="C78:K78" si="9">C20+C77</f>
        <v>3123</v>
      </c>
      <c r="D78" s="1724">
        <f t="shared" si="9"/>
        <v>124803</v>
      </c>
      <c r="E78" s="1724">
        <f t="shared" si="9"/>
        <v>0</v>
      </c>
      <c r="F78" s="1724">
        <f t="shared" si="9"/>
        <v>106449</v>
      </c>
      <c r="G78" s="1724">
        <f t="shared" si="9"/>
        <v>28515</v>
      </c>
      <c r="H78" s="1724">
        <f t="shared" si="9"/>
        <v>0</v>
      </c>
      <c r="I78" s="1724">
        <f t="shared" si="9"/>
        <v>68841</v>
      </c>
      <c r="J78" s="1724">
        <f t="shared" si="9"/>
        <v>-84136</v>
      </c>
      <c r="K78" s="1724">
        <f t="shared" si="9"/>
        <v>-7359</v>
      </c>
      <c r="L78" s="533"/>
    </row>
    <row r="79" spans="1:12" ht="13.5" thickTop="1" x14ac:dyDescent="0.2">
      <c r="A79" s="1516" t="s">
        <v>2073</v>
      </c>
      <c r="B79" s="534"/>
      <c r="C79" s="478">
        <v>1024246</v>
      </c>
      <c r="D79" s="535">
        <v>714182</v>
      </c>
      <c r="E79" s="535"/>
      <c r="F79" s="535">
        <v>247071</v>
      </c>
      <c r="G79" s="535">
        <v>180768</v>
      </c>
      <c r="H79" s="535"/>
      <c r="I79" s="535">
        <v>1840485</v>
      </c>
      <c r="J79" s="535">
        <v>202543</v>
      </c>
      <c r="K79" s="535">
        <v>657730</v>
      </c>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2074</v>
      </c>
      <c r="B81" s="2137"/>
      <c r="C81" s="1710">
        <f>(SUM(C78:C80))</f>
        <v>1027369</v>
      </c>
      <c r="D81" s="1710">
        <f>SUM(D78:D80)</f>
        <v>838985</v>
      </c>
      <c r="E81" s="1710">
        <f t="shared" ref="E81:K81" si="10">SUM(E78:E80)</f>
        <v>0</v>
      </c>
      <c r="F81" s="1710">
        <f t="shared" si="10"/>
        <v>353520</v>
      </c>
      <c r="G81" s="1710">
        <f t="shared" si="10"/>
        <v>209283</v>
      </c>
      <c r="H81" s="1710">
        <f t="shared" si="10"/>
        <v>0</v>
      </c>
      <c r="I81" s="1710">
        <f t="shared" si="10"/>
        <v>1909326</v>
      </c>
      <c r="J81" s="1710">
        <f t="shared" si="10"/>
        <v>118407</v>
      </c>
      <c r="K81" s="1710">
        <f t="shared" si="10"/>
        <v>650371</v>
      </c>
      <c r="L81" s="347"/>
    </row>
    <row r="82" spans="1:12" ht="0.75" customHeight="1" thickTop="1" thickBot="1" x14ac:dyDescent="0.25">
      <c r="A82" s="536" t="s">
        <v>361</v>
      </c>
      <c r="B82" s="537"/>
      <c r="C82" s="538">
        <f>(C81-C79)</f>
        <v>3123</v>
      </c>
      <c r="D82" s="538">
        <f t="shared" ref="D82:K82" si="11">(D81-D79)</f>
        <v>124803</v>
      </c>
      <c r="E82" s="538">
        <f t="shared" si="11"/>
        <v>0</v>
      </c>
      <c r="F82" s="538">
        <f t="shared" si="11"/>
        <v>106449</v>
      </c>
      <c r="G82" s="538">
        <f t="shared" si="11"/>
        <v>28515</v>
      </c>
      <c r="H82" s="538">
        <f t="shared" si="11"/>
        <v>0</v>
      </c>
      <c r="I82" s="538">
        <f t="shared" si="11"/>
        <v>68841</v>
      </c>
      <c r="J82" s="538">
        <f t="shared" si="11"/>
        <v>-84136</v>
      </c>
      <c r="K82" s="538">
        <f t="shared" si="11"/>
        <v>-7359</v>
      </c>
    </row>
    <row r="83" spans="1:12" ht="14.25" hidden="1" thickTop="1" thickBot="1" x14ac:dyDescent="0.25">
      <c r="A83" s="539" t="s">
        <v>362</v>
      </c>
      <c r="B83" s="464"/>
      <c r="C83" s="540">
        <f>C82/C81</f>
        <v>3.0398036148647661E-3</v>
      </c>
      <c r="D83" s="540">
        <f t="shared" ref="D83:K83" si="12">D82/D81</f>
        <v>0.14875474531725835</v>
      </c>
      <c r="E83" s="540" t="e">
        <f t="shared" si="12"/>
        <v>#DIV/0!</v>
      </c>
      <c r="F83" s="540">
        <f t="shared" si="12"/>
        <v>0.30111167684996604</v>
      </c>
      <c r="G83" s="540">
        <f t="shared" si="12"/>
        <v>0.13625091383437737</v>
      </c>
      <c r="H83" s="540" t="e">
        <f t="shared" si="12"/>
        <v>#DIV/0!</v>
      </c>
      <c r="I83" s="540">
        <f t="shared" si="12"/>
        <v>3.6055131496664269E-2</v>
      </c>
      <c r="J83" s="540">
        <f t="shared" si="12"/>
        <v>-0.71056609828810802</v>
      </c>
      <c r="K83" s="540">
        <f t="shared" si="12"/>
        <v>-1.1315080161938339E-2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46:B46"/>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2960807</v>
      </c>
      <c r="D5" s="481">
        <v>616834</v>
      </c>
      <c r="E5" s="466">
        <v>310279</v>
      </c>
      <c r="F5" s="548">
        <v>205610</v>
      </c>
      <c r="G5" s="466">
        <v>141300</v>
      </c>
      <c r="H5" s="466"/>
      <c r="I5" s="466">
        <v>53449</v>
      </c>
      <c r="J5" s="467">
        <v>281609</v>
      </c>
      <c r="K5" s="466">
        <v>51403</v>
      </c>
    </row>
    <row r="6" spans="1:12" ht="15" x14ac:dyDescent="0.2">
      <c r="A6" s="463" t="s">
        <v>1761</v>
      </c>
      <c r="B6" s="470">
        <v>1130</v>
      </c>
      <c r="C6" s="466">
        <v>51403</v>
      </c>
      <c r="D6" s="466"/>
      <c r="E6" s="475"/>
      <c r="F6" s="475"/>
      <c r="G6" s="468"/>
      <c r="H6" s="468"/>
      <c r="I6" s="468"/>
      <c r="J6" s="468"/>
      <c r="K6" s="468"/>
    </row>
    <row r="7" spans="1:12" x14ac:dyDescent="0.2">
      <c r="A7" s="463" t="s">
        <v>112</v>
      </c>
      <c r="B7" s="549">
        <v>1140</v>
      </c>
      <c r="C7" s="466">
        <v>41122</v>
      </c>
      <c r="D7" s="466"/>
      <c r="E7" s="468"/>
      <c r="F7" s="467"/>
      <c r="G7" s="467"/>
      <c r="H7" s="467"/>
      <c r="I7" s="468"/>
      <c r="J7" s="468"/>
      <c r="K7" s="468"/>
    </row>
    <row r="8" spans="1:12" x14ac:dyDescent="0.2">
      <c r="A8" s="463" t="s">
        <v>433</v>
      </c>
      <c r="B8" s="470">
        <v>1150</v>
      </c>
      <c r="C8" s="475"/>
      <c r="D8" s="475"/>
      <c r="E8" s="477"/>
      <c r="F8" s="477"/>
      <c r="G8" s="481">
        <v>141300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3053332</v>
      </c>
      <c r="D12" s="1729">
        <f t="shared" si="0"/>
        <v>616834</v>
      </c>
      <c r="E12" s="1729">
        <f t="shared" si="0"/>
        <v>310279</v>
      </c>
      <c r="F12" s="1729">
        <f t="shared" si="0"/>
        <v>205610</v>
      </c>
      <c r="G12" s="1729">
        <f t="shared" si="0"/>
        <v>282600</v>
      </c>
      <c r="H12" s="1729">
        <f t="shared" si="0"/>
        <v>0</v>
      </c>
      <c r="I12" s="1729">
        <f t="shared" si="0"/>
        <v>53449</v>
      </c>
      <c r="J12" s="1729">
        <f t="shared" si="0"/>
        <v>281609</v>
      </c>
      <c r="K12" s="1710">
        <f t="shared" si="0"/>
        <v>51403</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518453</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518453</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v>89203</v>
      </c>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89203</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20229</v>
      </c>
      <c r="D65" s="466">
        <v>8287</v>
      </c>
      <c r="E65" s="466">
        <v>371</v>
      </c>
      <c r="F65" s="467">
        <v>2625</v>
      </c>
      <c r="G65" s="466">
        <v>2869</v>
      </c>
      <c r="H65" s="466"/>
      <c r="I65" s="466">
        <v>19434</v>
      </c>
      <c r="J65" s="467">
        <v>2401</v>
      </c>
      <c r="K65" s="466">
        <v>5992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20229</v>
      </c>
      <c r="D67" s="1710">
        <f t="shared" ref="D67:K67" si="2">SUM(D65:D66)</f>
        <v>8287</v>
      </c>
      <c r="E67" s="1710">
        <f t="shared" si="2"/>
        <v>371</v>
      </c>
      <c r="F67" s="1710">
        <f t="shared" si="2"/>
        <v>2625</v>
      </c>
      <c r="G67" s="1710">
        <f t="shared" si="2"/>
        <v>2869</v>
      </c>
      <c r="H67" s="1710">
        <f t="shared" si="2"/>
        <v>0</v>
      </c>
      <c r="I67" s="1710">
        <f t="shared" si="2"/>
        <v>19434</v>
      </c>
      <c r="J67" s="1710">
        <f t="shared" si="2"/>
        <v>2401</v>
      </c>
      <c r="K67" s="1710">
        <f t="shared" si="2"/>
        <v>5992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44213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19135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5923</v>
      </c>
      <c r="D73" s="468"/>
      <c r="E73" s="468"/>
      <c r="F73" s="468"/>
      <c r="G73" s="468"/>
      <c r="H73" s="468"/>
      <c r="I73" s="468"/>
      <c r="J73" s="468"/>
      <c r="K73" s="468"/>
    </row>
    <row r="74" spans="1:11" ht="12.75" customHeight="1" x14ac:dyDescent="0.2">
      <c r="A74" s="463" t="s">
        <v>25</v>
      </c>
      <c r="B74" s="470">
        <v>1690</v>
      </c>
      <c r="C74" s="551">
        <v>1299</v>
      </c>
      <c r="D74" s="468"/>
      <c r="E74" s="468"/>
      <c r="F74" s="468"/>
      <c r="G74" s="468"/>
      <c r="H74" s="468"/>
      <c r="I74" s="468"/>
      <c r="J74" s="468"/>
      <c r="K74" s="468"/>
    </row>
    <row r="75" spans="1:11" ht="12.75" customHeight="1" thickBot="1" x14ac:dyDescent="0.25">
      <c r="A75" s="1730" t="s">
        <v>569</v>
      </c>
      <c r="B75" s="1731"/>
      <c r="C75" s="1710">
        <f>SUM(C69:C74)</f>
        <v>70570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13600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f>18586-66</f>
        <v>18520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32120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300</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v>7575</v>
      </c>
      <c r="D97" s="467"/>
      <c r="E97" s="474"/>
      <c r="F97" s="467"/>
      <c r="G97" s="467"/>
      <c r="H97" s="467"/>
      <c r="I97" s="467"/>
      <c r="J97" s="467"/>
      <c r="K97" s="467"/>
    </row>
    <row r="98" spans="1:12" ht="12.75" customHeight="1" x14ac:dyDescent="0.2">
      <c r="A98" s="463" t="s">
        <v>198</v>
      </c>
      <c r="B98" s="470">
        <v>1940</v>
      </c>
      <c r="C98" s="489">
        <v>10660</v>
      </c>
      <c r="D98" s="466"/>
      <c r="E98" s="512"/>
      <c r="F98" s="466"/>
      <c r="G98" s="512"/>
      <c r="H98" s="512"/>
      <c r="I98" s="510"/>
      <c r="J98" s="512"/>
      <c r="K98" s="512"/>
    </row>
    <row r="99" spans="1:12" ht="12.75" customHeight="1" x14ac:dyDescent="0.2">
      <c r="A99" s="463" t="s">
        <v>875</v>
      </c>
      <c r="B99" s="470">
        <v>1950</v>
      </c>
      <c r="C99" s="489">
        <v>16644</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4921</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40</v>
      </c>
      <c r="D107" s="466">
        <v>6951</v>
      </c>
      <c r="E107" s="466"/>
      <c r="F107" s="466">
        <v>188</v>
      </c>
      <c r="G107" s="466"/>
      <c r="H107" s="466"/>
      <c r="I107" s="466"/>
      <c r="J107" s="467"/>
      <c r="K107" s="466"/>
    </row>
    <row r="108" spans="1:12" ht="12.75" customHeight="1" thickBot="1" x14ac:dyDescent="0.25">
      <c r="A108" s="1730" t="s">
        <v>508</v>
      </c>
      <c r="B108" s="1734"/>
      <c r="C108" s="1729">
        <f>SUM(C95:C107)</f>
        <v>39840</v>
      </c>
      <c r="D108" s="1729">
        <f t="shared" ref="D108:K108" si="3">SUM(D95:D107)</f>
        <v>7251</v>
      </c>
      <c r="E108" s="1729">
        <f t="shared" si="3"/>
        <v>0</v>
      </c>
      <c r="F108" s="1729">
        <f t="shared" si="3"/>
        <v>188</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3823747</v>
      </c>
      <c r="D109" s="1737">
        <f t="shared" si="4"/>
        <v>632372</v>
      </c>
      <c r="E109" s="1737">
        <f t="shared" si="4"/>
        <v>310650</v>
      </c>
      <c r="F109" s="1737">
        <f t="shared" si="4"/>
        <v>208423</v>
      </c>
      <c r="G109" s="1737">
        <f t="shared" si="4"/>
        <v>285469</v>
      </c>
      <c r="H109" s="1737">
        <f t="shared" si="4"/>
        <v>0</v>
      </c>
      <c r="I109" s="1737">
        <f t="shared" si="4"/>
        <v>72883</v>
      </c>
      <c r="J109" s="1737">
        <f t="shared" si="4"/>
        <v>284010</v>
      </c>
      <c r="K109" s="1724">
        <f t="shared" si="4"/>
        <v>57395</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659289</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659289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44899</v>
      </c>
      <c r="D124" s="561"/>
      <c r="E124" s="468"/>
      <c r="F124" s="548"/>
      <c r="G124" s="468"/>
      <c r="H124" s="468"/>
      <c r="I124" s="468"/>
      <c r="J124" s="468"/>
      <c r="K124" s="468"/>
    </row>
    <row r="125" spans="1:11" ht="12.75" customHeight="1" x14ac:dyDescent="0.2">
      <c r="A125" s="463" t="s">
        <v>1521</v>
      </c>
      <c r="B125" s="562">
        <v>3105</v>
      </c>
      <c r="C125" s="466">
        <v>35141</v>
      </c>
      <c r="D125" s="561"/>
      <c r="E125" s="468"/>
      <c r="F125" s="466"/>
      <c r="G125" s="468"/>
      <c r="H125" s="468"/>
      <c r="I125" s="468"/>
      <c r="J125" s="468"/>
      <c r="K125" s="468"/>
    </row>
    <row r="126" spans="1:11" ht="12.75" customHeight="1" x14ac:dyDescent="0.2">
      <c r="A126" s="463" t="s">
        <v>922</v>
      </c>
      <c r="B126" s="562">
        <v>3110</v>
      </c>
      <c r="C126" s="551">
        <v>62613</v>
      </c>
      <c r="D126" s="466"/>
      <c r="E126" s="468"/>
      <c r="F126" s="466"/>
      <c r="G126" s="468"/>
      <c r="H126" s="468"/>
      <c r="I126" s="468"/>
      <c r="J126" s="468"/>
      <c r="K126" s="468"/>
    </row>
    <row r="127" spans="1:11" ht="12.75" customHeight="1" x14ac:dyDescent="0.2">
      <c r="A127" s="463" t="s">
        <v>107</v>
      </c>
      <c r="B127" s="562">
        <v>3120</v>
      </c>
      <c r="C127" s="466">
        <v>1895</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144548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6887</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6887</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1893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7938</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216264</v>
      </c>
      <c r="G151" s="467"/>
      <c r="H151" s="468"/>
      <c r="I151" s="468"/>
      <c r="J151" s="468"/>
      <c r="K151" s="468"/>
    </row>
    <row r="152" spans="1:11" ht="12.75" customHeight="1" x14ac:dyDescent="0.2">
      <c r="A152" s="463" t="s">
        <v>1117</v>
      </c>
      <c r="B152" s="562">
        <v>3510</v>
      </c>
      <c r="C152" s="551"/>
      <c r="D152" s="466"/>
      <c r="E152" s="561"/>
      <c r="F152" s="466">
        <v>110071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326335</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166375</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799</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328440</v>
      </c>
      <c r="D172" s="1744">
        <f t="shared" si="6"/>
        <v>0</v>
      </c>
      <c r="E172" s="1744">
        <f t="shared" si="6"/>
        <v>0</v>
      </c>
      <c r="F172" s="1744">
        <f t="shared" si="6"/>
        <v>326335</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987729</v>
      </c>
      <c r="D173" s="1737">
        <f>SUM(D121,D172)</f>
        <v>0</v>
      </c>
      <c r="E173" s="1737">
        <f>SUM(E121,E172)</f>
        <v>0</v>
      </c>
      <c r="F173" s="1737">
        <f t="shared" ref="F173:K173" si="7">SUM(F121,F172)</f>
        <v>326335</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33986</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33986</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99466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28943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128409</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133168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133168</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3511</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3511</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16503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13185</v>
      </c>
      <c r="D270" s="576"/>
      <c r="E270" s="468"/>
      <c r="F270" s="576"/>
      <c r="G270" s="576"/>
      <c r="H270" s="468"/>
      <c r="I270" s="468"/>
      <c r="J270" s="468"/>
      <c r="K270" s="468"/>
    </row>
    <row r="271" spans="1:11" ht="12.75" customHeight="1" thickTop="1" thickBot="1" x14ac:dyDescent="0.25">
      <c r="A271" s="463" t="s">
        <v>395</v>
      </c>
      <c r="B271" s="470">
        <v>4992</v>
      </c>
      <c r="C271" s="575">
        <v>62118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390880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390880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5202356</v>
      </c>
      <c r="D275" s="1737">
        <f t="shared" si="12"/>
        <v>632372</v>
      </c>
      <c r="E275" s="1737">
        <f t="shared" si="12"/>
        <v>310650</v>
      </c>
      <c r="F275" s="1737">
        <f t="shared" si="12"/>
        <v>534758</v>
      </c>
      <c r="G275" s="1737">
        <f t="shared" si="12"/>
        <v>285469</v>
      </c>
      <c r="H275" s="1737">
        <f t="shared" si="12"/>
        <v>0</v>
      </c>
      <c r="I275" s="1737">
        <f t="shared" si="12"/>
        <v>72883</v>
      </c>
      <c r="J275" s="1737">
        <f t="shared" si="12"/>
        <v>284010</v>
      </c>
      <c r="K275" s="1724">
        <f t="shared" si="12"/>
        <v>57395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09" activePane="bottomLeft" state="frozen"/>
      <selection activeCell="A47" sqref="A47"/>
      <selection pane="bottomLeft" activeCell="C329" sqref="C32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2108029</v>
      </c>
      <c r="D5" s="466">
        <v>149507</v>
      </c>
      <c r="E5" s="466">
        <v>24389</v>
      </c>
      <c r="F5" s="466">
        <v>106875</v>
      </c>
      <c r="G5" s="466">
        <v>45653</v>
      </c>
      <c r="H5" s="466"/>
      <c r="I5" s="467"/>
      <c r="J5" s="467"/>
      <c r="K5" s="1693">
        <f>SUM(C5:J5)</f>
        <v>2434453</v>
      </c>
      <c r="L5" s="466">
        <f>1499130+8210+1013740+27650</f>
        <v>2548730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110399</v>
      </c>
      <c r="D7" s="467">
        <v>10356</v>
      </c>
      <c r="E7" s="467">
        <v>1828</v>
      </c>
      <c r="F7" s="467">
        <v>6611</v>
      </c>
      <c r="G7" s="467"/>
      <c r="H7" s="467"/>
      <c r="I7" s="467"/>
      <c r="J7" s="467"/>
      <c r="K7" s="1693">
        <f t="shared" ref="K7:K32" si="0">SUM(C7:J7)</f>
        <v>129194</v>
      </c>
      <c r="L7" s="466">
        <v>126341</v>
      </c>
    </row>
    <row r="8" spans="1:14" x14ac:dyDescent="0.2">
      <c r="A8" s="1526" t="s">
        <v>166</v>
      </c>
      <c r="B8" s="615">
        <v>1200</v>
      </c>
      <c r="C8" s="466">
        <v>416494</v>
      </c>
      <c r="D8" s="466">
        <v>60711</v>
      </c>
      <c r="E8" s="466">
        <v>4741</v>
      </c>
      <c r="F8" s="466">
        <f>1543+7715</f>
        <v>9258</v>
      </c>
      <c r="G8" s="466"/>
      <c r="H8" s="466"/>
      <c r="I8" s="467"/>
      <c r="J8" s="467"/>
      <c r="K8" s="1693">
        <f t="shared" si="0"/>
        <v>491204</v>
      </c>
      <c r="L8" s="466">
        <f>11750+1000+504583</f>
        <v>517333</v>
      </c>
    </row>
    <row r="9" spans="1:14" x14ac:dyDescent="0.2">
      <c r="A9" s="1526" t="s">
        <v>745</v>
      </c>
      <c r="B9" s="615" t="s">
        <v>1025</v>
      </c>
      <c r="C9" s="467">
        <v>48030</v>
      </c>
      <c r="D9" s="467">
        <v>742</v>
      </c>
      <c r="E9" s="467">
        <v>386</v>
      </c>
      <c r="F9" s="467"/>
      <c r="G9" s="467">
        <v>1629</v>
      </c>
      <c r="H9" s="467"/>
      <c r="I9" s="467"/>
      <c r="J9" s="467"/>
      <c r="K9" s="1693">
        <f t="shared" si="0"/>
        <v>50787</v>
      </c>
      <c r="L9" s="466">
        <v>50790</v>
      </c>
    </row>
    <row r="10" spans="1:14" x14ac:dyDescent="0.2">
      <c r="A10" s="1526" t="s">
        <v>746</v>
      </c>
      <c r="B10" s="615">
        <v>1250</v>
      </c>
      <c r="C10" s="466">
        <v>106624</v>
      </c>
      <c r="D10" s="466">
        <v>13677</v>
      </c>
      <c r="E10" s="466"/>
      <c r="F10" s="466">
        <v>6337</v>
      </c>
      <c r="G10" s="466"/>
      <c r="H10" s="466"/>
      <c r="I10" s="467"/>
      <c r="J10" s="467"/>
      <c r="K10" s="1693">
        <f t="shared" si="0"/>
        <v>126638</v>
      </c>
      <c r="L10" s="466">
        <v>157175</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4628</v>
      </c>
      <c r="D13" s="466">
        <v>13</v>
      </c>
      <c r="E13" s="466"/>
      <c r="F13" s="466">
        <v>2794</v>
      </c>
      <c r="G13" s="466"/>
      <c r="H13" s="466"/>
      <c r="I13" s="467"/>
      <c r="J13" s="467"/>
      <c r="K13" s="1693">
        <f t="shared" si="0"/>
        <v>7435</v>
      </c>
      <c r="L13" s="466">
        <v>6850</v>
      </c>
    </row>
    <row r="14" spans="1:14" x14ac:dyDescent="0.2">
      <c r="A14" s="1526" t="s">
        <v>1020</v>
      </c>
      <c r="B14" s="615">
        <v>1500</v>
      </c>
      <c r="C14" s="466">
        <v>115661</v>
      </c>
      <c r="D14" s="466">
        <v>2265</v>
      </c>
      <c r="E14" s="466">
        <v>31014</v>
      </c>
      <c r="F14" s="466">
        <v>16218</v>
      </c>
      <c r="G14" s="466"/>
      <c r="H14" s="466">
        <v>10242</v>
      </c>
      <c r="I14" s="467"/>
      <c r="J14" s="467"/>
      <c r="K14" s="1693">
        <f t="shared" si="0"/>
        <v>175400</v>
      </c>
      <c r="L14" s="466">
        <v>215360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61735</v>
      </c>
      <c r="D17" s="467">
        <v>1670</v>
      </c>
      <c r="E17" s="467">
        <v>25</v>
      </c>
      <c r="F17" s="467">
        <v>599</v>
      </c>
      <c r="G17" s="467"/>
      <c r="H17" s="467"/>
      <c r="I17" s="467"/>
      <c r="J17" s="467"/>
      <c r="K17" s="1693">
        <f t="shared" si="0"/>
        <v>64029</v>
      </c>
      <c r="L17" s="466">
        <v>64050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142409</v>
      </c>
      <c r="I22" s="617"/>
      <c r="J22" s="477"/>
      <c r="K22" s="1693">
        <f t="shared" si="0"/>
        <v>142409</v>
      </c>
      <c r="L22" s="471">
        <v>265000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2971600</v>
      </c>
      <c r="D33" s="1692">
        <f t="shared" ref="D33:L33" si="1">SUM(D5:D32)</f>
        <v>238941</v>
      </c>
      <c r="E33" s="1692">
        <f t="shared" si="1"/>
        <v>62383</v>
      </c>
      <c r="F33" s="1692">
        <f t="shared" si="1"/>
        <v>148692</v>
      </c>
      <c r="G33" s="1692">
        <f t="shared" si="1"/>
        <v>47282</v>
      </c>
      <c r="H33" s="1692">
        <f t="shared" si="1"/>
        <v>152651</v>
      </c>
      <c r="I33" s="1692">
        <f t="shared" si="1"/>
        <v>0</v>
      </c>
      <c r="J33" s="1692">
        <f t="shared" si="1"/>
        <v>0</v>
      </c>
      <c r="K33" s="1692">
        <f t="shared" si="1"/>
        <v>3621549</v>
      </c>
      <c r="L33" s="1692">
        <f t="shared" si="1"/>
        <v>3951629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v>1000</v>
      </c>
    </row>
    <row r="37" spans="1:14" x14ac:dyDescent="0.2">
      <c r="A37" s="1526" t="s">
        <v>1151</v>
      </c>
      <c r="B37" s="615">
        <v>2120</v>
      </c>
      <c r="C37" s="466">
        <v>123390</v>
      </c>
      <c r="D37" s="466">
        <v>3144</v>
      </c>
      <c r="E37" s="466">
        <v>13583</v>
      </c>
      <c r="F37" s="466">
        <v>155</v>
      </c>
      <c r="G37" s="466"/>
      <c r="H37" s="466"/>
      <c r="I37" s="467"/>
      <c r="J37" s="467"/>
      <c r="K37" s="1693">
        <f t="shared" si="2"/>
        <v>140272</v>
      </c>
      <c r="L37" s="466">
        <v>136970</v>
      </c>
    </row>
    <row r="38" spans="1:14" x14ac:dyDescent="0.2">
      <c r="A38" s="1526" t="s">
        <v>207</v>
      </c>
      <c r="B38" s="615">
        <v>2130</v>
      </c>
      <c r="C38" s="466">
        <v>34041</v>
      </c>
      <c r="D38" s="466">
        <v>27</v>
      </c>
      <c r="E38" s="466">
        <v>7251</v>
      </c>
      <c r="F38" s="466">
        <v>3180</v>
      </c>
      <c r="G38" s="466"/>
      <c r="H38" s="466"/>
      <c r="I38" s="467"/>
      <c r="J38" s="467"/>
      <c r="K38" s="1693">
        <f t="shared" si="2"/>
        <v>44499</v>
      </c>
      <c r="L38" s="466">
        <v>59800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83335</v>
      </c>
      <c r="D40" s="466">
        <v>2121</v>
      </c>
      <c r="E40" s="466"/>
      <c r="F40" s="466"/>
      <c r="G40" s="466"/>
      <c r="H40" s="466"/>
      <c r="I40" s="467"/>
      <c r="J40" s="467"/>
      <c r="K40" s="1693">
        <f t="shared" si="2"/>
        <v>85456</v>
      </c>
      <c r="L40" s="466">
        <v>87210</v>
      </c>
    </row>
    <row r="41" spans="1:14" x14ac:dyDescent="0.2">
      <c r="A41" s="1526" t="s">
        <v>1768</v>
      </c>
      <c r="B41" s="615">
        <v>2190</v>
      </c>
      <c r="C41" s="466"/>
      <c r="D41" s="466"/>
      <c r="E41" s="466"/>
      <c r="F41" s="466"/>
      <c r="G41" s="466"/>
      <c r="H41" s="466"/>
      <c r="I41" s="467"/>
      <c r="J41" s="467"/>
      <c r="K41" s="1693">
        <f t="shared" si="2"/>
        <v>0</v>
      </c>
      <c r="L41" s="466">
        <v>2200</v>
      </c>
    </row>
    <row r="42" spans="1:14" ht="12.75" customHeight="1" thickBot="1" x14ac:dyDescent="0.25">
      <c r="A42" s="1690" t="s">
        <v>581</v>
      </c>
      <c r="B42" s="1691" t="s">
        <v>740</v>
      </c>
      <c r="C42" s="1692">
        <f>SUM(C36:C41)</f>
        <v>240766</v>
      </c>
      <c r="D42" s="1692">
        <f t="shared" ref="D42:L42" si="3">SUM(D36:D41)</f>
        <v>5292</v>
      </c>
      <c r="E42" s="1692">
        <f t="shared" si="3"/>
        <v>20834</v>
      </c>
      <c r="F42" s="1692">
        <f t="shared" si="3"/>
        <v>3335</v>
      </c>
      <c r="G42" s="1692">
        <f t="shared" si="3"/>
        <v>0</v>
      </c>
      <c r="H42" s="1692">
        <f t="shared" si="3"/>
        <v>0</v>
      </c>
      <c r="I42" s="1692">
        <f t="shared" si="3"/>
        <v>0</v>
      </c>
      <c r="J42" s="1692">
        <f t="shared" si="3"/>
        <v>0</v>
      </c>
      <c r="K42" s="1692">
        <f t="shared" si="3"/>
        <v>270227</v>
      </c>
      <c r="L42" s="1692">
        <f t="shared" si="3"/>
        <v>287180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v>8555</v>
      </c>
      <c r="E44" s="481">
        <v>25533</v>
      </c>
      <c r="F44" s="481"/>
      <c r="G44" s="481"/>
      <c r="H44" s="481"/>
      <c r="I44" s="467"/>
      <c r="J44" s="467"/>
      <c r="K44" s="1694">
        <f>SUM(C44:J44)</f>
        <v>34088</v>
      </c>
      <c r="L44" s="481">
        <v>44400</v>
      </c>
    </row>
    <row r="45" spans="1:14" x14ac:dyDescent="0.2">
      <c r="A45" s="1526" t="s">
        <v>869</v>
      </c>
      <c r="B45" s="615">
        <v>2220</v>
      </c>
      <c r="C45" s="466">
        <v>83234</v>
      </c>
      <c r="D45" s="466">
        <v>12387</v>
      </c>
      <c r="E45" s="466">
        <v>35020</v>
      </c>
      <c r="F45" s="466">
        <v>95118</v>
      </c>
      <c r="G45" s="466"/>
      <c r="H45" s="466">
        <v>4022</v>
      </c>
      <c r="I45" s="467"/>
      <c r="J45" s="467"/>
      <c r="K45" s="1694">
        <f>SUM(C45:J45)</f>
        <v>229781</v>
      </c>
      <c r="L45" s="466">
        <v>235150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83234</v>
      </c>
      <c r="D47" s="1692">
        <f t="shared" ref="D47:K47" si="4">SUM(D44:D46)</f>
        <v>20942</v>
      </c>
      <c r="E47" s="1692">
        <f t="shared" si="4"/>
        <v>60553</v>
      </c>
      <c r="F47" s="1692">
        <f t="shared" si="4"/>
        <v>95118</v>
      </c>
      <c r="G47" s="1692">
        <f t="shared" si="4"/>
        <v>0</v>
      </c>
      <c r="H47" s="1692">
        <f t="shared" si="4"/>
        <v>4022</v>
      </c>
      <c r="I47" s="1692">
        <f t="shared" si="4"/>
        <v>0</v>
      </c>
      <c r="J47" s="1692">
        <f t="shared" si="4"/>
        <v>0</v>
      </c>
      <c r="K47" s="1692">
        <f t="shared" si="4"/>
        <v>263869</v>
      </c>
      <c r="L47" s="1692">
        <f>SUM(L44:L46)</f>
        <v>279550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f>8700+3064+7920+995+6502+880</f>
        <v>28061</v>
      </c>
      <c r="F49" s="481">
        <v>7161</v>
      </c>
      <c r="G49" s="481"/>
      <c r="H49" s="481">
        <v>6188</v>
      </c>
      <c r="I49" s="467"/>
      <c r="J49" s="467"/>
      <c r="K49" s="1694">
        <f>SUM(C49:J49)</f>
        <v>41410</v>
      </c>
      <c r="L49" s="481">
        <v>79838</v>
      </c>
    </row>
    <row r="50" spans="1:14" x14ac:dyDescent="0.2">
      <c r="A50" s="1526" t="s">
        <v>872</v>
      </c>
      <c r="B50" s="615">
        <v>2320</v>
      </c>
      <c r="C50" s="466">
        <v>103645</v>
      </c>
      <c r="D50" s="466">
        <v>30634</v>
      </c>
      <c r="E50" s="466"/>
      <c r="F50" s="466"/>
      <c r="G50" s="466"/>
      <c r="H50" s="466">
        <v>1120</v>
      </c>
      <c r="I50" s="467"/>
      <c r="J50" s="467"/>
      <c r="K50" s="1694">
        <f>SUM(C50:J50)</f>
        <v>135399</v>
      </c>
      <c r="L50" s="466">
        <v>146857</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103645</v>
      </c>
      <c r="D53" s="1692">
        <f t="shared" ref="D53:L53" si="5">SUM(D49:D52)</f>
        <v>30634</v>
      </c>
      <c r="E53" s="1692">
        <f t="shared" si="5"/>
        <v>28061</v>
      </c>
      <c r="F53" s="1692">
        <f t="shared" si="5"/>
        <v>7161</v>
      </c>
      <c r="G53" s="1692">
        <f t="shared" si="5"/>
        <v>0</v>
      </c>
      <c r="H53" s="1692">
        <f t="shared" si="5"/>
        <v>7308</v>
      </c>
      <c r="I53" s="1692">
        <f t="shared" si="5"/>
        <v>0</v>
      </c>
      <c r="J53" s="1692">
        <f t="shared" si="5"/>
        <v>0</v>
      </c>
      <c r="K53" s="1692">
        <f t="shared" si="5"/>
        <v>176809</v>
      </c>
      <c r="L53" s="1692">
        <f t="shared" si="5"/>
        <v>226695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271478</v>
      </c>
      <c r="D55" s="481">
        <v>33135</v>
      </c>
      <c r="E55" s="481">
        <v>4890</v>
      </c>
      <c r="F55" s="481">
        <v>2699</v>
      </c>
      <c r="G55" s="481"/>
      <c r="H55" s="481">
        <v>998</v>
      </c>
      <c r="I55" s="467"/>
      <c r="J55" s="467"/>
      <c r="K55" s="1694">
        <f>SUM(C55:J55)</f>
        <v>313200</v>
      </c>
      <c r="L55" s="481">
        <v>347450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271478</v>
      </c>
      <c r="D57" s="1696">
        <f t="shared" ref="D57:K57" si="6">SUM(D55:D56)</f>
        <v>33135</v>
      </c>
      <c r="E57" s="1696">
        <f t="shared" si="6"/>
        <v>4890</v>
      </c>
      <c r="F57" s="1696">
        <f t="shared" si="6"/>
        <v>2699</v>
      </c>
      <c r="G57" s="1696">
        <f t="shared" si="6"/>
        <v>0</v>
      </c>
      <c r="H57" s="1696">
        <f t="shared" si="6"/>
        <v>998</v>
      </c>
      <c r="I57" s="1696">
        <f t="shared" si="6"/>
        <v>0</v>
      </c>
      <c r="J57" s="1696">
        <f t="shared" si="6"/>
        <v>0</v>
      </c>
      <c r="K57" s="1696">
        <f t="shared" si="6"/>
        <v>313200</v>
      </c>
      <c r="L57" s="1692">
        <f>SUM(L55:L56)</f>
        <v>347450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83229</v>
      </c>
      <c r="D60" s="466">
        <v>8731</v>
      </c>
      <c r="E60" s="466">
        <v>991</v>
      </c>
      <c r="F60" s="466">
        <v>2259</v>
      </c>
      <c r="G60" s="466">
        <v>1250</v>
      </c>
      <c r="H60" s="466"/>
      <c r="I60" s="467"/>
      <c r="J60" s="467"/>
      <c r="K60" s="1694">
        <f t="shared" si="7"/>
        <v>96460</v>
      </c>
      <c r="L60" s="466">
        <v>107620</v>
      </c>
      <c r="M60" s="610"/>
      <c r="N60" s="610"/>
    </row>
    <row r="61" spans="1:14" s="343" customFormat="1" x14ac:dyDescent="0.2">
      <c r="A61" s="1526" t="s">
        <v>206</v>
      </c>
      <c r="B61" s="615">
        <v>2540</v>
      </c>
      <c r="C61" s="466"/>
      <c r="D61" s="466"/>
      <c r="E61" s="466"/>
      <c r="F61" s="466"/>
      <c r="G61" s="466"/>
      <c r="H61" s="466"/>
      <c r="I61" s="467"/>
      <c r="J61" s="467"/>
      <c r="K61" s="1694">
        <f t="shared" si="7"/>
        <v>0</v>
      </c>
      <c r="L61" s="466">
        <v>1902</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116060</v>
      </c>
      <c r="D63" s="466">
        <v>13449</v>
      </c>
      <c r="E63" s="466">
        <v>4370</v>
      </c>
      <c r="F63" s="466">
        <v>133484</v>
      </c>
      <c r="G63" s="466">
        <v>4284</v>
      </c>
      <c r="H63" s="466">
        <v>53</v>
      </c>
      <c r="I63" s="467"/>
      <c r="J63" s="467"/>
      <c r="K63" s="1694">
        <f t="shared" si="7"/>
        <v>271700</v>
      </c>
      <c r="L63" s="466">
        <v>287800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199289</v>
      </c>
      <c r="D65" s="1692">
        <f t="shared" ref="D65:L65" si="8">SUM(D59:D64)</f>
        <v>22180</v>
      </c>
      <c r="E65" s="1692">
        <f t="shared" si="8"/>
        <v>5361</v>
      </c>
      <c r="F65" s="1692">
        <f t="shared" si="8"/>
        <v>135743</v>
      </c>
      <c r="G65" s="1692">
        <f t="shared" si="8"/>
        <v>5534</v>
      </c>
      <c r="H65" s="1692">
        <f t="shared" si="8"/>
        <v>53</v>
      </c>
      <c r="I65" s="1692">
        <f t="shared" si="8"/>
        <v>0</v>
      </c>
      <c r="J65" s="1692">
        <f t="shared" si="8"/>
        <v>0</v>
      </c>
      <c r="K65" s="1692">
        <f t="shared" si="8"/>
        <v>368160</v>
      </c>
      <c r="L65" s="1692">
        <f t="shared" si="8"/>
        <v>397322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898412</v>
      </c>
      <c r="D74" s="1699">
        <f t="shared" ref="D74:K74" si="10">SUM(D42,D47,D53,D57,D65,D72,D73)</f>
        <v>112183</v>
      </c>
      <c r="E74" s="1699">
        <f t="shared" si="10"/>
        <v>119699</v>
      </c>
      <c r="F74" s="1699">
        <f t="shared" si="10"/>
        <v>244056</v>
      </c>
      <c r="G74" s="1699">
        <f t="shared" si="10"/>
        <v>5534</v>
      </c>
      <c r="H74" s="1699">
        <f t="shared" si="10"/>
        <v>12381</v>
      </c>
      <c r="I74" s="1699">
        <f t="shared" si="10"/>
        <v>0</v>
      </c>
      <c r="J74" s="1699">
        <f t="shared" si="10"/>
        <v>0</v>
      </c>
      <c r="K74" s="1699">
        <f t="shared" si="10"/>
        <v>1392265</v>
      </c>
      <c r="L74" s="1699">
        <f>SUM(L42,L47,L53,L57,L65,L72,L73)</f>
        <v>1538197</v>
      </c>
    </row>
    <row r="75" spans="1:14" s="259" customFormat="1" ht="15.75" customHeight="1" thickTop="1" thickBot="1" x14ac:dyDescent="0.25">
      <c r="A75" s="1632" t="s">
        <v>49</v>
      </c>
      <c r="B75" s="1633" t="s">
        <v>596</v>
      </c>
      <c r="C75" s="573"/>
      <c r="D75" s="573"/>
      <c r="E75" s="573">
        <v>385</v>
      </c>
      <c r="F75" s="573">
        <v>1312</v>
      </c>
      <c r="G75" s="573"/>
      <c r="H75" s="573"/>
      <c r="I75" s="531"/>
      <c r="J75" s="531"/>
      <c r="K75" s="1692">
        <f>SUM(C75:J75)</f>
        <v>1697</v>
      </c>
      <c r="L75" s="576">
        <v>1481</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31</v>
      </c>
      <c r="F78" s="617"/>
      <c r="G78" s="617"/>
      <c r="H78" s="635">
        <v>4302</v>
      </c>
      <c r="I78" s="477"/>
      <c r="J78" s="477"/>
      <c r="K78" s="1693">
        <f t="shared" ref="K78:K83" si="11">SUM(C78:J78)</f>
        <v>4333</v>
      </c>
      <c r="L78" s="481">
        <v>9500</v>
      </c>
    </row>
    <row r="79" spans="1:14" x14ac:dyDescent="0.2">
      <c r="A79" s="1526" t="s">
        <v>322</v>
      </c>
      <c r="B79" s="615">
        <v>4120</v>
      </c>
      <c r="C79" s="617"/>
      <c r="D79" s="617"/>
      <c r="E79" s="466">
        <v>97864</v>
      </c>
      <c r="F79" s="617"/>
      <c r="G79" s="617"/>
      <c r="H79" s="466"/>
      <c r="I79" s="477"/>
      <c r="J79" s="477"/>
      <c r="K79" s="1693">
        <f t="shared" si="11"/>
        <v>97864</v>
      </c>
      <c r="L79" s="466">
        <v>131000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v>32000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97895</v>
      </c>
      <c r="F84" s="617"/>
      <c r="G84" s="617"/>
      <c r="H84" s="1692">
        <f>SUM(H78:H83)</f>
        <v>4302</v>
      </c>
      <c r="I84" s="477"/>
      <c r="J84" s="477"/>
      <c r="K84" s="1692">
        <f>SUM(K78:K83)</f>
        <v>102197</v>
      </c>
      <c r="L84" s="1692">
        <f>SUM(L78:L83)</f>
        <v>172500</v>
      </c>
    </row>
    <row r="85" spans="1:12" ht="12.75" customHeight="1" thickTop="1" thickBot="1" x14ac:dyDescent="0.25">
      <c r="A85" s="1533" t="s">
        <v>273</v>
      </c>
      <c r="B85" s="636">
        <v>4210</v>
      </c>
      <c r="C85" s="617"/>
      <c r="D85" s="617"/>
      <c r="E85" s="637"/>
      <c r="F85" s="617"/>
      <c r="G85" s="617"/>
      <c r="H85" s="535">
        <v>4386</v>
      </c>
      <c r="I85" s="477"/>
      <c r="J85" s="477"/>
      <c r="K85" s="1699">
        <f>H85</f>
        <v>4386</v>
      </c>
      <c r="L85" s="530">
        <v>11500</v>
      </c>
    </row>
    <row r="86" spans="1:12" ht="12.75" customHeight="1" thickTop="1" thickBot="1" x14ac:dyDescent="0.25">
      <c r="A86" s="1534" t="s">
        <v>723</v>
      </c>
      <c r="B86" s="638">
        <v>4220</v>
      </c>
      <c r="C86" s="617"/>
      <c r="D86" s="617"/>
      <c r="E86" s="639"/>
      <c r="F86" s="617"/>
      <c r="G86" s="617"/>
      <c r="H86" s="467">
        <v>47889</v>
      </c>
      <c r="I86" s="477"/>
      <c r="J86" s="477"/>
      <c r="K86" s="1699">
        <f t="shared" ref="K86:K98" si="12">H86</f>
        <v>47889</v>
      </c>
      <c r="L86" s="530">
        <v>37000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v>29250</v>
      </c>
      <c r="I88" s="477"/>
      <c r="J88" s="477"/>
      <c r="K88" s="1699">
        <f t="shared" si="12"/>
        <v>29250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81525</v>
      </c>
      <c r="I92" s="477"/>
      <c r="J92" s="477"/>
      <c r="K92" s="1699">
        <f t="shared" si="12"/>
        <v>81525</v>
      </c>
      <c r="L92" s="1692">
        <f>SUM(L85:L91)</f>
        <v>48500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97895</v>
      </c>
      <c r="F102" s="617"/>
      <c r="G102" s="617"/>
      <c r="H102" s="1699">
        <f>SUM(H84,H92,H100,H101)</f>
        <v>85827</v>
      </c>
      <c r="I102" s="477"/>
      <c r="J102" s="477"/>
      <c r="K102" s="1699">
        <f>SUM(K84,K92,K100,K101)</f>
        <v>183722</v>
      </c>
      <c r="L102" s="1699">
        <f>SUM(L84,L92,L100,L101)</f>
        <v>221000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3870012</v>
      </c>
      <c r="D114" s="1692">
        <f t="shared" ref="D114:K114" si="13">SUM(D33,D74,D75,D102,D112,D113)</f>
        <v>351124</v>
      </c>
      <c r="E114" s="1692">
        <f t="shared" si="13"/>
        <v>280362</v>
      </c>
      <c r="F114" s="1692">
        <f t="shared" si="13"/>
        <v>394060</v>
      </c>
      <c r="G114" s="1692">
        <f t="shared" si="13"/>
        <v>52816</v>
      </c>
      <c r="H114" s="1692">
        <f>SUM(H33,H74,H75,H102,H112,H113)</f>
        <v>250859</v>
      </c>
      <c r="I114" s="1692">
        <f t="shared" si="13"/>
        <v>0</v>
      </c>
      <c r="J114" s="1692">
        <f t="shared" si="13"/>
        <v>0</v>
      </c>
      <c r="K114" s="1692">
        <f t="shared" si="13"/>
        <v>5199233</v>
      </c>
      <c r="L114" s="1692">
        <f>SUM(L33,L74,L75,L102,L112,L113)</f>
        <v>5712307</v>
      </c>
    </row>
    <row r="115" spans="1:14" ht="13.5" thickTop="1" x14ac:dyDescent="0.2">
      <c r="A115" s="2199" t="s">
        <v>1053</v>
      </c>
      <c r="B115" s="2200"/>
      <c r="C115" s="619"/>
      <c r="D115" s="619"/>
      <c r="E115" s="619"/>
      <c r="F115" s="619"/>
      <c r="G115" s="619"/>
      <c r="H115" s="619"/>
      <c r="I115" s="619"/>
      <c r="J115" s="619"/>
      <c r="K115" s="1706">
        <f>'Revenues 9-14'!C275-'Expenditures 15-22'!K114</f>
        <v>3123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13672</v>
      </c>
      <c r="F123" s="466"/>
      <c r="G123" s="466"/>
      <c r="H123" s="466"/>
      <c r="I123" s="467"/>
      <c r="J123" s="467"/>
      <c r="K123" s="1692">
        <f>SUM(C123:J123)</f>
        <v>13672</v>
      </c>
      <c r="L123" s="466">
        <v>54000</v>
      </c>
    </row>
    <row r="124" spans="1:14" ht="14.25" thickTop="1" thickBot="1" x14ac:dyDescent="0.25">
      <c r="A124" s="1526" t="s">
        <v>206</v>
      </c>
      <c r="B124" s="615">
        <v>2540</v>
      </c>
      <c r="C124" s="466">
        <f>6430+177182</f>
        <v>183612</v>
      </c>
      <c r="D124" s="466">
        <v>24468</v>
      </c>
      <c r="E124" s="466">
        <v>86817</v>
      </c>
      <c r="F124" s="466">
        <v>151995</v>
      </c>
      <c r="G124" s="466">
        <v>39107</v>
      </c>
      <c r="H124" s="466"/>
      <c r="I124" s="467"/>
      <c r="J124" s="467"/>
      <c r="K124" s="1692">
        <f>SUM(C124:J124)</f>
        <v>485999</v>
      </c>
      <c r="L124" s="466">
        <v>544900</v>
      </c>
    </row>
    <row r="125" spans="1:14" ht="14.25" thickTop="1" thickBot="1" x14ac:dyDescent="0.25">
      <c r="A125" s="1526" t="s">
        <v>1010</v>
      </c>
      <c r="B125" s="615">
        <v>2550</v>
      </c>
      <c r="C125" s="466"/>
      <c r="D125" s="466"/>
      <c r="E125" s="466">
        <f>1051+1673</f>
        <v>2724</v>
      </c>
      <c r="F125" s="466"/>
      <c r="G125" s="466">
        <v>5174</v>
      </c>
      <c r="H125" s="466"/>
      <c r="I125" s="467"/>
      <c r="J125" s="467"/>
      <c r="K125" s="1692">
        <f>SUM(C125:J125)</f>
        <v>7898</v>
      </c>
      <c r="L125" s="466">
        <v>30000</v>
      </c>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183612</v>
      </c>
      <c r="D127" s="1692">
        <f t="shared" ref="D127:L127" si="14">SUM(D122:D126)</f>
        <v>24468</v>
      </c>
      <c r="E127" s="1692">
        <f t="shared" si="14"/>
        <v>103213</v>
      </c>
      <c r="F127" s="1692">
        <f t="shared" si="14"/>
        <v>151995</v>
      </c>
      <c r="G127" s="1692">
        <f t="shared" si="14"/>
        <v>44281</v>
      </c>
      <c r="H127" s="1692">
        <f t="shared" si="14"/>
        <v>0</v>
      </c>
      <c r="I127" s="1692">
        <f t="shared" si="14"/>
        <v>0</v>
      </c>
      <c r="J127" s="1692">
        <f t="shared" si="14"/>
        <v>0</v>
      </c>
      <c r="K127" s="1692">
        <f t="shared" si="14"/>
        <v>507569</v>
      </c>
      <c r="L127" s="1692">
        <f t="shared" si="14"/>
        <v>628900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183612</v>
      </c>
      <c r="D129" s="1699">
        <f t="shared" ref="D129:L129" si="15">SUM(D120,D127,D128)</f>
        <v>24468</v>
      </c>
      <c r="E129" s="1699">
        <f t="shared" si="15"/>
        <v>103213</v>
      </c>
      <c r="F129" s="1699">
        <f t="shared" si="15"/>
        <v>151995</v>
      </c>
      <c r="G129" s="1699">
        <f t="shared" si="15"/>
        <v>44281</v>
      </c>
      <c r="H129" s="1699">
        <f t="shared" si="15"/>
        <v>0</v>
      </c>
      <c r="I129" s="1699">
        <f t="shared" si="15"/>
        <v>0</v>
      </c>
      <c r="J129" s="1699">
        <f t="shared" si="15"/>
        <v>0</v>
      </c>
      <c r="K129" s="1699">
        <f t="shared" si="15"/>
        <v>507569</v>
      </c>
      <c r="L129" s="1699">
        <f t="shared" si="15"/>
        <v>628900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183612</v>
      </c>
      <c r="D151" s="1692">
        <f t="shared" ref="D151:K151" si="16">SUM(D129,D130,D139,D149,D150)</f>
        <v>24468</v>
      </c>
      <c r="E151" s="1692">
        <f t="shared" si="16"/>
        <v>103213</v>
      </c>
      <c r="F151" s="1692">
        <f t="shared" si="16"/>
        <v>151995</v>
      </c>
      <c r="G151" s="1692">
        <f t="shared" si="16"/>
        <v>44281</v>
      </c>
      <c r="H151" s="1692">
        <f t="shared" si="16"/>
        <v>0</v>
      </c>
      <c r="I151" s="1692">
        <f t="shared" si="16"/>
        <v>0</v>
      </c>
      <c r="J151" s="1692">
        <f t="shared" si="16"/>
        <v>0</v>
      </c>
      <c r="K151" s="1692">
        <f t="shared" si="16"/>
        <v>507569</v>
      </c>
      <c r="L151" s="1692">
        <f>SUM(L129,L130,L139,L149,L150)</f>
        <v>628900</v>
      </c>
    </row>
    <row r="152" spans="1:14" ht="12.75" customHeight="1" thickTop="1" x14ac:dyDescent="0.2">
      <c r="A152" s="2192" t="s">
        <v>1240</v>
      </c>
      <c r="B152" s="2193"/>
      <c r="C152" s="619"/>
      <c r="D152" s="619"/>
      <c r="E152" s="619"/>
      <c r="F152" s="619"/>
      <c r="G152" s="619"/>
      <c r="H152" s="619"/>
      <c r="I152" s="619"/>
      <c r="J152" s="617"/>
      <c r="K152" s="1706">
        <f>'Revenues 9-14'!D275-'Expenditures 15-22'!K151</f>
        <v>124803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14192</v>
      </c>
      <c r="I169" s="617"/>
      <c r="J169" s="617"/>
      <c r="K169" s="1693">
        <f>SUM(C169:H169)</f>
        <v>14192</v>
      </c>
      <c r="L169" s="657">
        <v>14192</v>
      </c>
    </row>
    <row r="170" spans="1:14" ht="33.75" customHeight="1" x14ac:dyDescent="0.2">
      <c r="A170" s="670" t="s">
        <v>1769</v>
      </c>
      <c r="B170" s="672" t="s">
        <v>31</v>
      </c>
      <c r="C170" s="617"/>
      <c r="D170" s="617"/>
      <c r="E170" s="617"/>
      <c r="F170" s="617"/>
      <c r="G170" s="617"/>
      <c r="H170" s="569">
        <v>300000</v>
      </c>
      <c r="I170" s="617"/>
      <c r="J170" s="617"/>
      <c r="K170" s="1693">
        <f>SUM(C170:J170)</f>
        <v>300000</v>
      </c>
      <c r="L170" s="569">
        <v>300000</v>
      </c>
    </row>
    <row r="171" spans="1:14" ht="15.75" customHeight="1" x14ac:dyDescent="0.2">
      <c r="A171" s="622" t="s">
        <v>790</v>
      </c>
      <c r="B171" s="673" t="s">
        <v>86</v>
      </c>
      <c r="C171" s="617"/>
      <c r="D171" s="617"/>
      <c r="E171" s="466"/>
      <c r="F171" s="617"/>
      <c r="G171" s="617"/>
      <c r="H171" s="569">
        <v>500</v>
      </c>
      <c r="I171" s="477"/>
      <c r="J171" s="617"/>
      <c r="K171" s="1693">
        <f>SUM(C171:J171)</f>
        <v>500</v>
      </c>
      <c r="L171" s="569">
        <v>500</v>
      </c>
    </row>
    <row r="172" spans="1:14" ht="12.75" customHeight="1" thickBot="1" x14ac:dyDescent="0.25">
      <c r="A172" s="1690" t="s">
        <v>659</v>
      </c>
      <c r="B172" s="1691" t="s">
        <v>513</v>
      </c>
      <c r="C172" s="617"/>
      <c r="D172" s="617"/>
      <c r="E172" s="1699">
        <f>SUM(E168,E169,E170,E171)</f>
        <v>0</v>
      </c>
      <c r="F172" s="617"/>
      <c r="G172" s="617"/>
      <c r="H172" s="1699">
        <f>SUM(H168,H169,H170,H171)</f>
        <v>314692</v>
      </c>
      <c r="I172" s="639"/>
      <c r="J172" s="617"/>
      <c r="K172" s="1699">
        <f>SUM(K168,K169,K170,K171)</f>
        <v>314692</v>
      </c>
      <c r="L172" s="1699">
        <f>SUM(L168,L169,L170,L171)</f>
        <v>314692</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314692</v>
      </c>
      <c r="I174" s="639"/>
      <c r="J174" s="617"/>
      <c r="K174" s="1699">
        <f>SUM(K160,K172,K173)</f>
        <v>314692</v>
      </c>
      <c r="L174" s="1699">
        <f>SUM(L160,L172,L173)</f>
        <v>314692</v>
      </c>
    </row>
    <row r="175" spans="1:14" ht="13.5" thickTop="1" x14ac:dyDescent="0.2">
      <c r="A175" s="2199" t="s">
        <v>1053</v>
      </c>
      <c r="B175" s="2200"/>
      <c r="C175" s="617"/>
      <c r="D175" s="617"/>
      <c r="E175" s="617"/>
      <c r="F175" s="617"/>
      <c r="G175" s="617"/>
      <c r="H175" s="619"/>
      <c r="I175" s="617"/>
      <c r="J175" s="617"/>
      <c r="K175" s="1706">
        <f>'Revenues 9-14'!E275-'Expenditures 15-22'!K174</f>
        <v>-4042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286883</v>
      </c>
      <c r="D182" s="466">
        <v>19487</v>
      </c>
      <c r="E182" s="466">
        <f>4179+2574+1410+203+12609</f>
        <v>20975</v>
      </c>
      <c r="F182" s="466">
        <f>9+18094+42132+1935+4926+6399</f>
        <v>73495</v>
      </c>
      <c r="G182" s="466"/>
      <c r="H182" s="466"/>
      <c r="I182" s="467"/>
      <c r="J182" s="467"/>
      <c r="K182" s="1693">
        <f>SUM(C182:J182)</f>
        <v>400840</v>
      </c>
      <c r="L182" s="466">
        <v>475310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286883</v>
      </c>
      <c r="D184" s="1699">
        <f t="shared" ref="D184:J184" si="17">SUM(D180,D182,D183)</f>
        <v>19487</v>
      </c>
      <c r="E184" s="1699">
        <f t="shared" si="17"/>
        <v>20975</v>
      </c>
      <c r="F184" s="1699">
        <f t="shared" si="17"/>
        <v>73495</v>
      </c>
      <c r="G184" s="1699">
        <f t="shared" si="17"/>
        <v>0</v>
      </c>
      <c r="H184" s="1699">
        <f t="shared" si="17"/>
        <v>0</v>
      </c>
      <c r="I184" s="1699">
        <f t="shared" si="17"/>
        <v>0</v>
      </c>
      <c r="J184" s="1699">
        <f t="shared" si="17"/>
        <v>0</v>
      </c>
      <c r="K184" s="1699">
        <f>SUM(K180,K182,K183)</f>
        <v>400840</v>
      </c>
      <c r="L184" s="1699">
        <f>SUM(L180, L182:L183)</f>
        <v>475310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5409</v>
      </c>
      <c r="I205" s="617"/>
      <c r="J205" s="617"/>
      <c r="K205" s="1707">
        <f>SUM(H205)</f>
        <v>5409</v>
      </c>
      <c r="L205" s="535"/>
    </row>
    <row r="206" spans="1:14" ht="30" customHeight="1" x14ac:dyDescent="0.2">
      <c r="A206" s="682" t="s">
        <v>1770</v>
      </c>
      <c r="B206" s="673" t="s">
        <v>31</v>
      </c>
      <c r="C206" s="617"/>
      <c r="D206" s="617"/>
      <c r="E206" s="617"/>
      <c r="F206" s="617"/>
      <c r="G206" s="617"/>
      <c r="H206" s="466">
        <v>22060</v>
      </c>
      <c r="I206" s="617"/>
      <c r="J206" s="617"/>
      <c r="K206" s="1693">
        <f>SUM(H206)</f>
        <v>22060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27469</v>
      </c>
      <c r="I208" s="617"/>
      <c r="J208" s="617"/>
      <c r="K208" s="1699">
        <f>SUM(K204,K205,K206,K207)</f>
        <v>27469</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286883</v>
      </c>
      <c r="D210" s="1692">
        <f>SUM(D184,D185)</f>
        <v>19487</v>
      </c>
      <c r="E210" s="1692">
        <f>SUM(E184,E185,E196)</f>
        <v>20975</v>
      </c>
      <c r="F210" s="1692">
        <f>SUM(F184,F185)</f>
        <v>73495</v>
      </c>
      <c r="G210" s="1692">
        <f>SUM(G184,G185)</f>
        <v>0</v>
      </c>
      <c r="H210" s="1692">
        <f>SUM(H184,H185,H196,H208,H209)</f>
        <v>27469</v>
      </c>
      <c r="I210" s="1692">
        <f>SUM(I184,I185)</f>
        <v>0</v>
      </c>
      <c r="J210" s="1692">
        <f>SUM(J184,J185)</f>
        <v>0</v>
      </c>
      <c r="K210" s="1693">
        <f>SUM(K184,K185,K196,K208,K209)</f>
        <v>428309</v>
      </c>
      <c r="L210" s="1692">
        <f>SUM(L184,L185,L196,L208,L209)</f>
        <v>475310</v>
      </c>
    </row>
    <row r="211" spans="1:14" ht="13.5" thickTop="1" x14ac:dyDescent="0.2">
      <c r="A211" s="2199" t="s">
        <v>1053</v>
      </c>
      <c r="B211" s="2200"/>
      <c r="C211" s="619"/>
      <c r="D211" s="619"/>
      <c r="E211" s="619"/>
      <c r="F211" s="619"/>
      <c r="G211" s="619"/>
      <c r="H211" s="619"/>
      <c r="I211" s="617"/>
      <c r="J211" s="617"/>
      <c r="K211" s="1706">
        <f>'Revenues 9-14'!F275-'Expenditures 15-22'!K210</f>
        <v>106449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492+27270-1</f>
        <v>27761</v>
      </c>
      <c r="E215" s="617"/>
      <c r="F215" s="617"/>
      <c r="G215" s="617"/>
      <c r="H215" s="617"/>
      <c r="I215" s="617"/>
      <c r="J215" s="617"/>
      <c r="K215" s="1693">
        <f>D215</f>
        <v>27761</v>
      </c>
      <c r="L215" s="466">
        <v>16150</v>
      </c>
    </row>
    <row r="216" spans="1:14" x14ac:dyDescent="0.2">
      <c r="A216" s="1526" t="s">
        <v>165</v>
      </c>
      <c r="B216" s="615" t="s">
        <v>1024</v>
      </c>
      <c r="C216" s="617"/>
      <c r="D216" s="467">
        <v>5336</v>
      </c>
      <c r="E216" s="617"/>
      <c r="F216" s="617"/>
      <c r="G216" s="617"/>
      <c r="H216" s="617"/>
      <c r="I216" s="617"/>
      <c r="J216" s="617"/>
      <c r="K216" s="1693">
        <f t="shared" ref="K216:K228" si="19">D216</f>
        <v>5336</v>
      </c>
      <c r="L216" s="466">
        <v>18256</v>
      </c>
    </row>
    <row r="217" spans="1:14" x14ac:dyDescent="0.2">
      <c r="A217" s="1526" t="s">
        <v>166</v>
      </c>
      <c r="B217" s="615">
        <v>1200</v>
      </c>
      <c r="C217" s="617"/>
      <c r="D217" s="466">
        <f>17934+16740</f>
        <v>34674</v>
      </c>
      <c r="E217" s="617"/>
      <c r="F217" s="617"/>
      <c r="G217" s="617"/>
      <c r="H217" s="617"/>
      <c r="I217" s="617"/>
      <c r="J217" s="617"/>
      <c r="K217" s="1693">
        <f t="shared" si="19"/>
        <v>34674</v>
      </c>
      <c r="L217" s="466">
        <v>43925</v>
      </c>
    </row>
    <row r="218" spans="1:14" x14ac:dyDescent="0.2">
      <c r="A218" s="1526" t="s">
        <v>296</v>
      </c>
      <c r="B218" s="615" t="s">
        <v>1025</v>
      </c>
      <c r="C218" s="617"/>
      <c r="D218" s="467">
        <f>2473+1712+370</f>
        <v>4555</v>
      </c>
      <c r="E218" s="617"/>
      <c r="F218" s="617"/>
      <c r="G218" s="617"/>
      <c r="H218" s="617"/>
      <c r="I218" s="617"/>
      <c r="J218" s="617"/>
      <c r="K218" s="1693">
        <f t="shared" si="19"/>
        <v>4555</v>
      </c>
      <c r="L218" s="466">
        <v>4650</v>
      </c>
    </row>
    <row r="219" spans="1:14" x14ac:dyDescent="0.2">
      <c r="A219" s="1526" t="s">
        <v>297</v>
      </c>
      <c r="B219" s="615">
        <v>1250</v>
      </c>
      <c r="C219" s="617"/>
      <c r="D219" s="466">
        <v>1546</v>
      </c>
      <c r="E219" s="617"/>
      <c r="F219" s="617"/>
      <c r="G219" s="617"/>
      <c r="H219" s="617"/>
      <c r="I219" s="617"/>
      <c r="J219" s="617"/>
      <c r="K219" s="1693">
        <f t="shared" si="19"/>
        <v>1546</v>
      </c>
      <c r="L219" s="466">
        <v>1300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67</v>
      </c>
      <c r="E222" s="617"/>
      <c r="F222" s="617"/>
      <c r="G222" s="617"/>
      <c r="H222" s="617"/>
      <c r="I222" s="617"/>
      <c r="J222" s="617"/>
      <c r="K222" s="1693">
        <f t="shared" si="19"/>
        <v>67</v>
      </c>
      <c r="L222" s="466">
        <v>80</v>
      </c>
    </row>
    <row r="223" spans="1:14" x14ac:dyDescent="0.2">
      <c r="A223" s="1526" t="s">
        <v>1020</v>
      </c>
      <c r="B223" s="615">
        <v>1500</v>
      </c>
      <c r="C223" s="617"/>
      <c r="D223" s="466">
        <f>1484+4128+975</f>
        <v>6587</v>
      </c>
      <c r="E223" s="617"/>
      <c r="F223" s="617"/>
      <c r="G223" s="617"/>
      <c r="H223" s="617"/>
      <c r="I223" s="617"/>
      <c r="J223" s="617"/>
      <c r="K223" s="1693">
        <f t="shared" si="19"/>
        <v>6587</v>
      </c>
      <c r="L223" s="466">
        <v>7360</v>
      </c>
    </row>
    <row r="224" spans="1:14" x14ac:dyDescent="0.2">
      <c r="A224" s="1526" t="s">
        <v>1021</v>
      </c>
      <c r="B224" s="615">
        <v>1600</v>
      </c>
      <c r="C224" s="617"/>
      <c r="D224" s="466">
        <v>11</v>
      </c>
      <c r="E224" s="617"/>
      <c r="F224" s="617"/>
      <c r="G224" s="617"/>
      <c r="H224" s="617"/>
      <c r="I224" s="617"/>
      <c r="J224" s="617"/>
      <c r="K224" s="1693">
        <f t="shared" si="19"/>
        <v>11</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771</v>
      </c>
      <c r="E226" s="617"/>
      <c r="F226" s="617"/>
      <c r="G226" s="617"/>
      <c r="H226" s="617"/>
      <c r="I226" s="617"/>
      <c r="J226" s="617"/>
      <c r="K226" s="1693">
        <f t="shared" si="19"/>
        <v>771</v>
      </c>
      <c r="L226" s="466">
        <v>800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81308</v>
      </c>
      <c r="E229" s="617"/>
      <c r="F229" s="617"/>
      <c r="G229" s="617"/>
      <c r="H229" s="617"/>
      <c r="I229" s="617"/>
      <c r="J229" s="617"/>
      <c r="K229" s="1692">
        <f>SUM(K215:K228)</f>
        <v>81308</v>
      </c>
      <c r="L229" s="1692">
        <f>SUM(L215:L228)</f>
        <v>92521</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1660</v>
      </c>
      <c r="E233" s="617"/>
      <c r="F233" s="617"/>
      <c r="G233" s="617"/>
      <c r="H233" s="617"/>
      <c r="I233" s="617"/>
      <c r="J233" s="617"/>
      <c r="K233" s="1693">
        <f t="shared" si="20"/>
        <v>1660</v>
      </c>
      <c r="L233" s="466">
        <v>1650</v>
      </c>
    </row>
    <row r="234" spans="1:12" x14ac:dyDescent="0.2">
      <c r="A234" s="1526" t="s">
        <v>207</v>
      </c>
      <c r="B234" s="615">
        <v>2130</v>
      </c>
      <c r="C234" s="617"/>
      <c r="D234" s="466">
        <f>4095+2832</f>
        <v>6927</v>
      </c>
      <c r="E234" s="617"/>
      <c r="F234" s="617"/>
      <c r="G234" s="617"/>
      <c r="H234" s="617"/>
      <c r="I234" s="617"/>
      <c r="J234" s="617"/>
      <c r="K234" s="1693">
        <f t="shared" si="20"/>
        <v>6927</v>
      </c>
      <c r="L234" s="466">
        <v>6500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1072</v>
      </c>
      <c r="E236" s="617"/>
      <c r="F236" s="617"/>
      <c r="G236" s="617"/>
      <c r="H236" s="617"/>
      <c r="I236" s="617"/>
      <c r="J236" s="617"/>
      <c r="K236" s="1693">
        <f t="shared" si="20"/>
        <v>1072</v>
      </c>
      <c r="L236" s="466">
        <v>1100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9659</v>
      </c>
      <c r="E238" s="617"/>
      <c r="F238" s="617"/>
      <c r="G238" s="617"/>
      <c r="H238" s="617"/>
      <c r="I238" s="617"/>
      <c r="J238" s="617"/>
      <c r="K238" s="1692">
        <f>SUM(K232:K237)</f>
        <v>9659</v>
      </c>
      <c r="L238" s="1692">
        <f>SUM(L232:L237)</f>
        <v>9250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15577</v>
      </c>
      <c r="E241" s="617"/>
      <c r="F241" s="617"/>
      <c r="G241" s="617"/>
      <c r="H241" s="617"/>
      <c r="I241" s="617"/>
      <c r="J241" s="617"/>
      <c r="K241" s="1694">
        <f>D241</f>
        <v>15577</v>
      </c>
      <c r="L241" s="466">
        <v>14300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15577</v>
      </c>
      <c r="E243" s="617"/>
      <c r="F243" s="617"/>
      <c r="G243" s="617"/>
      <c r="H243" s="617"/>
      <c r="I243" s="617"/>
      <c r="J243" s="617"/>
      <c r="K243" s="1692">
        <f>SUM(K240:K242)</f>
        <v>15577</v>
      </c>
      <c r="L243" s="1692">
        <f>SUM(L240:L242)</f>
        <v>14300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3631</v>
      </c>
      <c r="E246" s="617"/>
      <c r="F246" s="617"/>
      <c r="G246" s="617"/>
      <c r="H246" s="617"/>
      <c r="I246" s="617"/>
      <c r="J246" s="617"/>
      <c r="K246" s="1694">
        <f t="shared" ref="K246:K256" si="21">D246</f>
        <v>3631</v>
      </c>
      <c r="L246" s="466">
        <v>3800</v>
      </c>
    </row>
    <row r="247" spans="1:12" x14ac:dyDescent="0.2">
      <c r="A247" s="1526" t="s">
        <v>873</v>
      </c>
      <c r="B247" s="615">
        <v>2330</v>
      </c>
      <c r="C247" s="617"/>
      <c r="D247" s="466">
        <f>9744+6372</f>
        <v>16116</v>
      </c>
      <c r="E247" s="617"/>
      <c r="F247" s="617"/>
      <c r="G247" s="617"/>
      <c r="H247" s="617"/>
      <c r="I247" s="617"/>
      <c r="J247" s="617"/>
      <c r="K247" s="1694">
        <f t="shared" si="21"/>
        <v>16116</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19747</v>
      </c>
      <c r="E257" s="617"/>
      <c r="F257" s="617"/>
      <c r="G257" s="617"/>
      <c r="H257" s="617"/>
      <c r="I257" s="617"/>
      <c r="J257" s="617"/>
      <c r="K257" s="1692">
        <f>SUM(K245:K256)</f>
        <v>19747</v>
      </c>
      <c r="L257" s="1692">
        <f>SUM(L245:L256)</f>
        <v>3800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f>8794+12117</f>
        <v>20911</v>
      </c>
      <c r="E259" s="617"/>
      <c r="F259" s="617"/>
      <c r="G259" s="617"/>
      <c r="H259" s="617"/>
      <c r="I259" s="617"/>
      <c r="J259" s="617"/>
      <c r="K259" s="1694">
        <f>D259</f>
        <v>20911</v>
      </c>
      <c r="L259" s="481">
        <v>21300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20911</v>
      </c>
      <c r="E261" s="617"/>
      <c r="F261" s="617"/>
      <c r="G261" s="617"/>
      <c r="H261" s="617"/>
      <c r="I261" s="617"/>
      <c r="J261" s="617"/>
      <c r="K261" s="1692">
        <f>SUM(K259:K260)</f>
        <v>20911</v>
      </c>
      <c r="L261" s="1692">
        <f>SUM(L259:L260)</f>
        <v>21300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v>20240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f>21784+15356</f>
        <v>37140</v>
      </c>
      <c r="E266" s="617"/>
      <c r="F266" s="617"/>
      <c r="G266" s="617"/>
      <c r="H266" s="617"/>
      <c r="I266" s="617"/>
      <c r="J266" s="617"/>
      <c r="K266" s="1694">
        <f t="shared" si="22"/>
        <v>37140</v>
      </c>
      <c r="L266" s="466">
        <v>36600</v>
      </c>
    </row>
    <row r="267" spans="1:14" x14ac:dyDescent="0.2">
      <c r="A267" s="1526" t="s">
        <v>1010</v>
      </c>
      <c r="B267" s="615">
        <v>2550</v>
      </c>
      <c r="C267" s="617"/>
      <c r="D267" s="466">
        <f>29859+21593</f>
        <v>51452</v>
      </c>
      <c r="E267" s="617"/>
      <c r="F267" s="617"/>
      <c r="G267" s="617"/>
      <c r="H267" s="617"/>
      <c r="I267" s="617"/>
      <c r="J267" s="617"/>
      <c r="K267" s="1694">
        <f t="shared" si="22"/>
        <v>51452</v>
      </c>
      <c r="L267" s="466">
        <v>52000</v>
      </c>
    </row>
    <row r="268" spans="1:14" x14ac:dyDescent="0.2">
      <c r="A268" s="1526" t="s">
        <v>102</v>
      </c>
      <c r="B268" s="615">
        <v>2560</v>
      </c>
      <c r="C268" s="617"/>
      <c r="D268" s="466">
        <f>12071+9089</f>
        <v>21160</v>
      </c>
      <c r="E268" s="617"/>
      <c r="F268" s="617"/>
      <c r="G268" s="617"/>
      <c r="H268" s="617"/>
      <c r="I268" s="617"/>
      <c r="J268" s="617"/>
      <c r="K268" s="1694">
        <f t="shared" si="22"/>
        <v>21160</v>
      </c>
      <c r="L268" s="466">
        <v>20100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109752</v>
      </c>
      <c r="E270" s="617"/>
      <c r="F270" s="617"/>
      <c r="G270" s="617"/>
      <c r="H270" s="617"/>
      <c r="I270" s="617"/>
      <c r="J270" s="617"/>
      <c r="K270" s="1692">
        <f>SUM(K263:K269)</f>
        <v>109752</v>
      </c>
      <c r="L270" s="1692">
        <f>SUM(L263:L269)</f>
        <v>128940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175646</v>
      </c>
      <c r="E279" s="617"/>
      <c r="F279" s="617"/>
      <c r="G279" s="617"/>
      <c r="H279" s="617"/>
      <c r="I279" s="617"/>
      <c r="J279" s="617"/>
      <c r="K279" s="1699">
        <f>SUM(K238,K243,K257,K261,K270,K277,K278)</f>
        <v>175646</v>
      </c>
      <c r="L279" s="1699">
        <f>SUM(L238,L243,L257,L261,L270,L277,L278)</f>
        <v>177590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256954</v>
      </c>
      <c r="E295" s="617"/>
      <c r="F295" s="617"/>
      <c r="G295" s="617"/>
      <c r="H295" s="1692">
        <f>H293</f>
        <v>0</v>
      </c>
      <c r="I295" s="617"/>
      <c r="J295" s="617"/>
      <c r="K295" s="1692">
        <f>SUM(K229,K279,K280,K285,K293,K294)</f>
        <v>256954</v>
      </c>
      <c r="L295" s="1692">
        <f>SUM(L229,L279,L280,L285,L293,L294)</f>
        <v>270111</v>
      </c>
    </row>
    <row r="296" spans="1:14" ht="13.5" thickTop="1" x14ac:dyDescent="0.2">
      <c r="A296" s="2199" t="s">
        <v>1053</v>
      </c>
      <c r="B296" s="2200"/>
      <c r="C296" s="617"/>
      <c r="D296" s="619"/>
      <c r="E296" s="617"/>
      <c r="F296" s="617"/>
      <c r="G296" s="617"/>
      <c r="H296" s="688"/>
      <c r="I296" s="617"/>
      <c r="J296" s="617"/>
      <c r="K296" s="1706">
        <f>'Revenues 9-14'!G275-'Expenditures 15-22'!K295</f>
        <v>28515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44709</v>
      </c>
      <c r="F320" s="467"/>
      <c r="G320" s="467"/>
      <c r="H320" s="467"/>
      <c r="I320" s="467"/>
      <c r="J320" s="467"/>
      <c r="K320" s="1693">
        <f t="shared" ref="K320:K327" si="24">SUM(C320:J320)</f>
        <v>44709</v>
      </c>
      <c r="L320" s="467">
        <v>42800</v>
      </c>
      <c r="M320" s="666"/>
      <c r="N320" s="666"/>
    </row>
    <row r="321" spans="1:14" s="675" customFormat="1" x14ac:dyDescent="0.2">
      <c r="A321" s="1541" t="s">
        <v>318</v>
      </c>
      <c r="B321" s="698" t="s">
        <v>301</v>
      </c>
      <c r="C321" s="467"/>
      <c r="D321" s="467"/>
      <c r="E321" s="467">
        <v>1736</v>
      </c>
      <c r="F321" s="467"/>
      <c r="G321" s="467"/>
      <c r="H321" s="467"/>
      <c r="I321" s="467"/>
      <c r="J321" s="467"/>
      <c r="K321" s="1693">
        <f t="shared" si="24"/>
        <v>1736</v>
      </c>
      <c r="L321" s="467">
        <v>12000</v>
      </c>
      <c r="M321" s="666"/>
      <c r="N321" s="666"/>
    </row>
    <row r="322" spans="1:14" s="675" customFormat="1" x14ac:dyDescent="0.2">
      <c r="A322" s="1541" t="s">
        <v>256</v>
      </c>
      <c r="B322" s="698" t="s">
        <v>302</v>
      </c>
      <c r="C322" s="467"/>
      <c r="D322" s="467"/>
      <c r="E322" s="467">
        <v>21838</v>
      </c>
      <c r="F322" s="467"/>
      <c r="G322" s="467"/>
      <c r="H322" s="467"/>
      <c r="I322" s="467"/>
      <c r="J322" s="467"/>
      <c r="K322" s="1693">
        <f t="shared" si="24"/>
        <v>21838</v>
      </c>
      <c r="L322" s="467">
        <v>43246</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154329</v>
      </c>
      <c r="D325" s="467"/>
      <c r="E325" s="467">
        <v>23109</v>
      </c>
      <c r="F325" s="467"/>
      <c r="G325" s="467">
        <v>86223</v>
      </c>
      <c r="H325" s="467"/>
      <c r="I325" s="467"/>
      <c r="J325" s="467"/>
      <c r="K325" s="1693">
        <f t="shared" si="24"/>
        <v>263661</v>
      </c>
      <c r="L325" s="467">
        <v>255100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14695</v>
      </c>
      <c r="F327" s="467"/>
      <c r="G327" s="467"/>
      <c r="H327" s="467"/>
      <c r="I327" s="467"/>
      <c r="J327" s="467"/>
      <c r="K327" s="1693">
        <f t="shared" si="24"/>
        <v>14695</v>
      </c>
      <c r="L327" s="467">
        <v>15000</v>
      </c>
      <c r="M327" s="666"/>
      <c r="N327" s="666"/>
    </row>
    <row r="328" spans="1:14" s="675" customFormat="1" x14ac:dyDescent="0.2">
      <c r="A328" s="1542" t="s">
        <v>492</v>
      </c>
      <c r="B328" s="691" t="s">
        <v>1194</v>
      </c>
      <c r="C328" s="474"/>
      <c r="D328" s="474"/>
      <c r="E328" s="474">
        <v>21507</v>
      </c>
      <c r="F328" s="474"/>
      <c r="G328" s="474"/>
      <c r="H328" s="474"/>
      <c r="I328" s="474"/>
      <c r="J328" s="474"/>
      <c r="K328" s="1721">
        <f>SUM(C328:J328)</f>
        <v>21507</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154329</v>
      </c>
      <c r="D330" s="1692">
        <f t="shared" ref="D330:J330" si="25">SUM(D319:D329)</f>
        <v>0</v>
      </c>
      <c r="E330" s="1692">
        <f t="shared" si="25"/>
        <v>127594</v>
      </c>
      <c r="F330" s="1692">
        <f t="shared" si="25"/>
        <v>0</v>
      </c>
      <c r="G330" s="1692">
        <f t="shared" si="25"/>
        <v>86223</v>
      </c>
      <c r="H330" s="1692">
        <f t="shared" si="25"/>
        <v>0</v>
      </c>
      <c r="I330" s="1692">
        <f t="shared" si="25"/>
        <v>0</v>
      </c>
      <c r="J330" s="1692">
        <f t="shared" si="25"/>
        <v>0</v>
      </c>
      <c r="K330" s="1692">
        <f>SUM(K319:K329)</f>
        <v>368146</v>
      </c>
      <c r="L330" s="1692">
        <f>SUM(L319:L329)</f>
        <v>368146</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154329</v>
      </c>
      <c r="D342" s="1692">
        <f>SUM(D330)</f>
        <v>0</v>
      </c>
      <c r="E342" s="1692">
        <f>SUM(E330)</f>
        <v>127594</v>
      </c>
      <c r="F342" s="1692">
        <f>SUM(F330)</f>
        <v>0</v>
      </c>
      <c r="G342" s="1692">
        <f>SUM(G330)</f>
        <v>86223</v>
      </c>
      <c r="H342" s="1692">
        <f>SUM(H330,H334,H340)</f>
        <v>0</v>
      </c>
      <c r="I342" s="1692">
        <f>SUM(I330)</f>
        <v>0</v>
      </c>
      <c r="J342" s="1692">
        <f>SUM(J330)</f>
        <v>0</v>
      </c>
      <c r="K342" s="1692">
        <f>SUM(K330,K334,K340)</f>
        <v>368146</v>
      </c>
      <c r="L342" s="1699">
        <f>SUM(L330,L340,L341)</f>
        <v>368146</v>
      </c>
    </row>
    <row r="343" spans="1:14" ht="12.75" customHeight="1" thickTop="1" x14ac:dyDescent="0.2">
      <c r="A343" s="2185" t="s">
        <v>1053</v>
      </c>
      <c r="B343" s="2186"/>
      <c r="C343" s="617"/>
      <c r="D343" s="617"/>
      <c r="E343" s="617"/>
      <c r="F343" s="617"/>
      <c r="G343" s="617"/>
      <c r="H343" s="617"/>
      <c r="I343" s="617"/>
      <c r="J343" s="617"/>
      <c r="K343" s="1706">
        <f>'Revenues 9-14'!J275-'Expenditures 15-22'!K342</f>
        <v>-84136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41995</v>
      </c>
      <c r="F348" s="466"/>
      <c r="G348" s="466">
        <v>22759</v>
      </c>
      <c r="H348" s="466"/>
      <c r="I348" s="467"/>
      <c r="J348" s="467"/>
      <c r="K348" s="1693">
        <f>SUM(C348:J348)</f>
        <v>64754</v>
      </c>
      <c r="L348" s="466">
        <v>640200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41995</v>
      </c>
      <c r="F350" s="1692">
        <f t="shared" si="26"/>
        <v>0</v>
      </c>
      <c r="G350" s="1692">
        <f t="shared" si="26"/>
        <v>22759</v>
      </c>
      <c r="H350" s="1692">
        <f t="shared" si="26"/>
        <v>0</v>
      </c>
      <c r="I350" s="1692">
        <f t="shared" si="26"/>
        <v>0</v>
      </c>
      <c r="J350" s="1692">
        <f t="shared" si="26"/>
        <v>0</v>
      </c>
      <c r="K350" s="1692">
        <f t="shared" si="26"/>
        <v>64754</v>
      </c>
      <c r="L350" s="1692">
        <f t="shared" si="26"/>
        <v>640200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41995</v>
      </c>
      <c r="F352" s="1692">
        <f t="shared" si="27"/>
        <v>0</v>
      </c>
      <c r="G352" s="1692">
        <f t="shared" si="27"/>
        <v>22759</v>
      </c>
      <c r="H352" s="1692">
        <f t="shared" si="27"/>
        <v>0</v>
      </c>
      <c r="I352" s="1692">
        <f t="shared" si="27"/>
        <v>0</v>
      </c>
      <c r="J352" s="1692">
        <f t="shared" si="27"/>
        <v>0</v>
      </c>
      <c r="K352" s="1692">
        <f t="shared" si="27"/>
        <v>64754</v>
      </c>
      <c r="L352" s="1692">
        <f t="shared" si="27"/>
        <v>640200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41995</v>
      </c>
      <c r="F367" s="1692">
        <f t="shared" si="28"/>
        <v>0</v>
      </c>
      <c r="G367" s="1692">
        <f t="shared" si="28"/>
        <v>22759</v>
      </c>
      <c r="H367" s="1692">
        <f t="shared" si="28"/>
        <v>0</v>
      </c>
      <c r="I367" s="1692">
        <f t="shared" si="28"/>
        <v>0</v>
      </c>
      <c r="J367" s="1692">
        <f t="shared" si="28"/>
        <v>0</v>
      </c>
      <c r="K367" s="1692">
        <f t="shared" si="28"/>
        <v>64754</v>
      </c>
      <c r="L367" s="1692">
        <f t="shared" si="28"/>
        <v>640200</v>
      </c>
    </row>
    <row r="368" spans="1:14" ht="13.5" thickTop="1" x14ac:dyDescent="0.2">
      <c r="A368" s="2199" t="s">
        <v>1053</v>
      </c>
      <c r="B368" s="2200"/>
      <c r="C368" s="655"/>
      <c r="D368" s="655"/>
      <c r="E368" s="627"/>
      <c r="F368" s="627"/>
      <c r="G368" s="627"/>
      <c r="H368" s="627"/>
      <c r="I368" s="627"/>
      <c r="J368" s="624"/>
      <c r="K368" s="1693">
        <f>'Revenues 9-14'!K275-'Expenditures 15-22'!K367</f>
        <v>-7359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'Contracts Paid in CY 29'!Print_Area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2018-08-21T13:42:40Z</cp:lastPrinted>
  <dcterms:created xsi:type="dcterms:W3CDTF">2003-10-29T19:06:34Z</dcterms:created>
  <dcterms:modified xsi:type="dcterms:W3CDTF">2018-10-16T13:10:11Z</dcterms:modified>
</cp:coreProperties>
</file>