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16500" windowHeight="110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2" i="11" l="1"/>
  <c r="D12" i="11"/>
  <c r="E16" i="7"/>
  <c r="E14" i="7"/>
  <c r="E13" i="7"/>
  <c r="E12" i="7"/>
  <c r="E11" i="7"/>
  <c r="E10" i="7"/>
  <c r="E8" i="7"/>
  <c r="E7" i="7"/>
  <c r="E6" i="7"/>
  <c r="E5" i="7"/>
  <c r="E4" i="7"/>
  <c r="D268" i="29"/>
  <c r="D267" i="29"/>
  <c r="D266" i="29"/>
  <c r="D264" i="29"/>
  <c r="D245" i="29"/>
  <c r="D223" i="29"/>
  <c r="D217" i="29"/>
  <c r="D215" i="29"/>
  <c r="H170" i="29"/>
  <c r="F124" i="29"/>
  <c r="E124" i="29"/>
  <c r="C39"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E22" i="181"/>
  <c r="F22" i="181" s="1"/>
  <c r="G22" i="181" s="1"/>
  <c r="F21" i="181"/>
  <c r="G21" i="181" s="1"/>
  <c r="E21" i="18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A2" i="170" l="1"/>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K24" i="12" s="1"/>
  <c r="B7733" i="106" s="1"/>
  <c r="D7733" i="106" s="1"/>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B4411" i="106" s="1"/>
  <c r="D4411" i="106" s="1"/>
  <c r="C224" i="5"/>
  <c r="C228" i="5"/>
  <c r="B5304" i="106" s="1"/>
  <c r="D5304" i="106" s="1"/>
  <c r="C259" i="5"/>
  <c r="B7761" i="106"/>
  <c r="L127" i="29"/>
  <c r="L129" i="29" s="1"/>
  <c r="L139" i="29"/>
  <c r="L149" i="29"/>
  <c r="I7" i="145"/>
  <c r="I6" i="145"/>
  <c r="D78" i="36"/>
  <c r="K75" i="29"/>
  <c r="F52" i="34" s="1"/>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B2976" i="106" s="1"/>
  <c r="D2976" i="106" s="1"/>
  <c r="K82" i="29"/>
  <c r="B2977" i="106" s="1"/>
  <c r="D2977" i="106" s="1"/>
  <c r="K83" i="29"/>
  <c r="B2978" i="106" s="1"/>
  <c r="D2978" i="106" s="1"/>
  <c r="K93" i="29"/>
  <c r="K94" i="29"/>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c r="B6389" i="106"/>
  <c r="D6389" i="106" s="1"/>
  <c r="B6390" i="106"/>
  <c r="D6390" i="106" s="1"/>
  <c r="B6391" i="106"/>
  <c r="D6391" i="106" s="1"/>
  <c r="B6392" i="106"/>
  <c r="D6392" i="106" s="1"/>
  <c r="B6393" i="106"/>
  <c r="D6393" i="106" s="1"/>
  <c r="B6394" i="106"/>
  <c r="D6394" i="106" s="1"/>
  <c r="B6395" i="106"/>
  <c r="D6395" i="106" s="1"/>
  <c r="B6398" i="106"/>
  <c r="D6398" i="106"/>
  <c r="B6399" i="106"/>
  <c r="D6399" i="106" s="1"/>
  <c r="B6401" i="106"/>
  <c r="D6401" i="106" s="1"/>
  <c r="B6402" i="106"/>
  <c r="D6402" i="106" s="1"/>
  <c r="B6403" i="106"/>
  <c r="D6403" i="106" s="1"/>
  <c r="B6404" i="106"/>
  <c r="D6404" i="106" s="1"/>
  <c r="B6405" i="106"/>
  <c r="D6405" i="106" s="1"/>
  <c r="B6406" i="106"/>
  <c r="D6406" i="106" s="1"/>
  <c r="B6407" i="106"/>
  <c r="D6407" i="106"/>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c r="B6622" i="106"/>
  <c r="D6622" i="106" s="1"/>
  <c r="B6623" i="106"/>
  <c r="D6623" i="106" s="1"/>
  <c r="B6624" i="106"/>
  <c r="D6624" i="106" s="1"/>
  <c r="B6625" i="106"/>
  <c r="D6625" i="106"/>
  <c r="B6626" i="106"/>
  <c r="D6626" i="106" s="1"/>
  <c r="B6627" i="106"/>
  <c r="D6627" i="106" s="1"/>
  <c r="B6628" i="106"/>
  <c r="D6628" i="106" s="1"/>
  <c r="B6629" i="106"/>
  <c r="D6629" i="106"/>
  <c r="B6630" i="106"/>
  <c r="D6630" i="106" s="1"/>
  <c r="B6631" i="106"/>
  <c r="D6631" i="106" s="1"/>
  <c r="B6632" i="106"/>
  <c r="D6632" i="106" s="1"/>
  <c r="B6633" i="106"/>
  <c r="D6633" i="106" s="1"/>
  <c r="B6634" i="106"/>
  <c r="D6634" i="106" s="1"/>
  <c r="B6635" i="106"/>
  <c r="D6635" i="106" s="1"/>
  <c r="B6636" i="106"/>
  <c r="D6636" i="106" s="1"/>
  <c r="B6637" i="106"/>
  <c r="D6637" i="106"/>
  <c r="B6638" i="106"/>
  <c r="D6638" i="106" s="1"/>
  <c r="B6639" i="106"/>
  <c r="D6639" i="106" s="1"/>
  <c r="B6640" i="106"/>
  <c r="D6640" i="106" s="1"/>
  <c r="B6641" i="106"/>
  <c r="D6641" i="106"/>
  <c r="B6642" i="106"/>
  <c r="D6642" i="106" s="1"/>
  <c r="B6643" i="106"/>
  <c r="D6643" i="106" s="1"/>
  <c r="B6644" i="106"/>
  <c r="D6644" i="106" s="1"/>
  <c r="B6645" i="106"/>
  <c r="D6645" i="106"/>
  <c r="B6646" i="106"/>
  <c r="D6646" i="106" s="1"/>
  <c r="B6647" i="106"/>
  <c r="D6647" i="106" s="1"/>
  <c r="B6648" i="106"/>
  <c r="D6648" i="106" s="1"/>
  <c r="B6649" i="106"/>
  <c r="D6649" i="106" s="1"/>
  <c r="B6650" i="106"/>
  <c r="D6650" i="106" s="1"/>
  <c r="B6651" i="106"/>
  <c r="D6651" i="106" s="1"/>
  <c r="B6652" i="106"/>
  <c r="D6652" i="106" s="1"/>
  <c r="B6653" i="106"/>
  <c r="D6653" i="106"/>
  <c r="B6654" i="106"/>
  <c r="D6654" i="106" s="1"/>
  <c r="B6655" i="106"/>
  <c r="D6655" i="106" s="1"/>
  <c r="B6656" i="106"/>
  <c r="D6656" i="106" s="1"/>
  <c r="B6657" i="106"/>
  <c r="D6657" i="106"/>
  <c r="B6658" i="106"/>
  <c r="D6658" i="106" s="1"/>
  <c r="B6659" i="106"/>
  <c r="D6659" i="106" s="1"/>
  <c r="B6660" i="106"/>
  <c r="D6660" i="106" s="1"/>
  <c r="B6661" i="106"/>
  <c r="D6661" i="106"/>
  <c r="B6662" i="106"/>
  <c r="D6662" i="106" s="1"/>
  <c r="B6663" i="106"/>
  <c r="D6663" i="106" s="1"/>
  <c r="B6664" i="106"/>
  <c r="D6664" i="106" s="1"/>
  <c r="B6665" i="106"/>
  <c r="D6665" i="106" s="1"/>
  <c r="B6666" i="106"/>
  <c r="D6666" i="106" s="1"/>
  <c r="B6667" i="106"/>
  <c r="D6667" i="106" s="1"/>
  <c r="B6668" i="106"/>
  <c r="D6668" i="106" s="1"/>
  <c r="B6669" i="106"/>
  <c r="D6669" i="106"/>
  <c r="B6670" i="106"/>
  <c r="D6670" i="106" s="1"/>
  <c r="B6671" i="106"/>
  <c r="D6671" i="106" s="1"/>
  <c r="B6672" i="106"/>
  <c r="D6672" i="106" s="1"/>
  <c r="B6673" i="106"/>
  <c r="D6673" i="106"/>
  <c r="B6674" i="106"/>
  <c r="D6674" i="106" s="1"/>
  <c r="B6675" i="106"/>
  <c r="D6675" i="106" s="1"/>
  <c r="B6676" i="106"/>
  <c r="D6676" i="106" s="1"/>
  <c r="B6677" i="106"/>
  <c r="D6677" i="106"/>
  <c r="B6678" i="106"/>
  <c r="D6678" i="106" s="1"/>
  <c r="B6679" i="106"/>
  <c r="D6679" i="106" s="1"/>
  <c r="B6680" i="106"/>
  <c r="D6680" i="106" s="1"/>
  <c r="B6681" i="106"/>
  <c r="D6681" i="106" s="1"/>
  <c r="B6682" i="106"/>
  <c r="D6682" i="106" s="1"/>
  <c r="B6683" i="106"/>
  <c r="D6683" i="106" s="1"/>
  <c r="B6684" i="106"/>
  <c r="D6684" i="106" s="1"/>
  <c r="B6685" i="106"/>
  <c r="D6685" i="106"/>
  <c r="B6686" i="106"/>
  <c r="D6686" i="106" s="1"/>
  <c r="B6687" i="106"/>
  <c r="D6687" i="106" s="1"/>
  <c r="B6688" i="106"/>
  <c r="D6688" i="106" s="1"/>
  <c r="B6689" i="106"/>
  <c r="D6689" i="106"/>
  <c r="B6690" i="106"/>
  <c r="D6690" i="106" s="1"/>
  <c r="B6691" i="106"/>
  <c r="D6691" i="106" s="1"/>
  <c r="B6692" i="106"/>
  <c r="D6692" i="106" s="1"/>
  <c r="B6693" i="106"/>
  <c r="D6693" i="106"/>
  <c r="B6694" i="106"/>
  <c r="D6694" i="106" s="1"/>
  <c r="B6695" i="106"/>
  <c r="D6695" i="106" s="1"/>
  <c r="B6696" i="106"/>
  <c r="D6696" i="106" s="1"/>
  <c r="B6697" i="106"/>
  <c r="D6697" i="106" s="1"/>
  <c r="B6698" i="106"/>
  <c r="D6698" i="106" s="1"/>
  <c r="B6699" i="106"/>
  <c r="D6699" i="106" s="1"/>
  <c r="B6700" i="106"/>
  <c r="D6700" i="106" s="1"/>
  <c r="B6701" i="106"/>
  <c r="D6701" i="106"/>
  <c r="B6702" i="106"/>
  <c r="D6702" i="106" s="1"/>
  <c r="B6703" i="106"/>
  <c r="D6703" i="106" s="1"/>
  <c r="B6704" i="106"/>
  <c r="D6704" i="106" s="1"/>
  <c r="B6705" i="106"/>
  <c r="D6705" i="106"/>
  <c r="B6706" i="106"/>
  <c r="D6706" i="106" s="1"/>
  <c r="B6707" i="106"/>
  <c r="D6707" i="106" s="1"/>
  <c r="B6708" i="106"/>
  <c r="D6708" i="106" s="1"/>
  <c r="B6709" i="106"/>
  <c r="D6709" i="106"/>
  <c r="B6710" i="106"/>
  <c r="D6710" i="106" s="1"/>
  <c r="B6711" i="106"/>
  <c r="D6711" i="106" s="1"/>
  <c r="B6712" i="106"/>
  <c r="D6712" i="106" s="1"/>
  <c r="B6713" i="106"/>
  <c r="D6713" i="106" s="1"/>
  <c r="B6714" i="106"/>
  <c r="D6714" i="106" s="1"/>
  <c r="B6715" i="106"/>
  <c r="D6715" i="106" s="1"/>
  <c r="B6716" i="106"/>
  <c r="D6716" i="106" s="1"/>
  <c r="B6717" i="106"/>
  <c r="D6717" i="106"/>
  <c r="B6718" i="106"/>
  <c r="D6718" i="106" s="1"/>
  <c r="B6719" i="106"/>
  <c r="D6719" i="106" s="1"/>
  <c r="B6720" i="106"/>
  <c r="D6720" i="106" s="1"/>
  <c r="B6721" i="106"/>
  <c r="D6721" i="106"/>
  <c r="B6722" i="106"/>
  <c r="D6722" i="106" s="1"/>
  <c r="B6723" i="106"/>
  <c r="D6723" i="106" s="1"/>
  <c r="B6724" i="106"/>
  <c r="D6724" i="106" s="1"/>
  <c r="B6725" i="106"/>
  <c r="D6725" i="106"/>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3" i="106"/>
  <c r="D7073" i="106" s="1"/>
  <c r="B7074" i="106"/>
  <c r="D7074" i="106" s="1"/>
  <c r="B7075" i="106"/>
  <c r="D7075"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6" i="108"/>
  <c r="E27" i="108"/>
  <c r="G27" i="108"/>
  <c r="F31" i="108"/>
  <c r="F36" i="108"/>
  <c r="F37" i="108"/>
  <c r="G28" i="108"/>
  <c r="E29" i="108"/>
  <c r="G29" i="108"/>
  <c r="E30" i="108"/>
  <c r="G30" i="108"/>
  <c r="D31" i="108"/>
  <c r="D36" i="108"/>
  <c r="D37" i="108"/>
  <c r="E31" i="108"/>
  <c r="G31" i="108"/>
  <c r="E33" i="108"/>
  <c r="G33"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F41" i="34"/>
  <c r="C42" i="34"/>
  <c r="D42" i="34"/>
  <c r="C43" i="34"/>
  <c r="D43" i="34"/>
  <c r="C44" i="34"/>
  <c r="D44" i="34"/>
  <c r="F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F67" i="34"/>
  <c r="C68" i="34"/>
  <c r="D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c r="D5112" i="106" s="1"/>
  <c r="C108" i="5"/>
  <c r="B5120" i="106" s="1"/>
  <c r="D5120" i="106" s="1"/>
  <c r="D108" i="5"/>
  <c r="B5355" i="106" s="1"/>
  <c r="D5355" i="106" s="1"/>
  <c r="E108" i="5"/>
  <c r="B5526" i="106" s="1"/>
  <c r="D5526" i="106" s="1"/>
  <c r="F108" i="5"/>
  <c r="B5587" i="106" s="1"/>
  <c r="D5587" i="106" s="1"/>
  <c r="G108" i="5"/>
  <c r="B5737" i="106" s="1"/>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5" i="4"/>
  <c r="B3409" i="106" s="1"/>
  <c r="D3409" i="106" s="1"/>
  <c r="G14" i="4"/>
  <c r="B2609" i="106" s="1"/>
  <c r="D2609" i="106" s="1"/>
  <c r="D14" i="4"/>
  <c r="B2570" i="106" s="1"/>
  <c r="D2570" i="106" s="1"/>
  <c r="B2633" i="106"/>
  <c r="D2633" i="106" s="1"/>
  <c r="D7" i="118"/>
  <c r="D8" i="118"/>
  <c r="D9" i="118"/>
  <c r="H14" i="118"/>
  <c r="H19" i="118"/>
  <c r="H24" i="118"/>
  <c r="H28" i="118"/>
  <c r="H33" i="118"/>
  <c r="D11" i="37"/>
  <c r="D22" i="37"/>
  <c r="J22" i="37"/>
  <c r="D24" i="37"/>
  <c r="B4270" i="106" s="1"/>
  <c r="D4270" i="106" s="1"/>
  <c r="D5" i="7"/>
  <c r="B1761" i="106" s="1"/>
  <c r="D1761" i="106" s="1"/>
  <c r="D9" i="7"/>
  <c r="B1767" i="106" s="1"/>
  <c r="D1767" i="106" s="1"/>
  <c r="B5752" i="106"/>
  <c r="D5752" i="106" s="1"/>
  <c r="D7" i="7"/>
  <c r="B1763" i="106" s="1"/>
  <c r="D1763" i="106" s="1"/>
  <c r="D17" i="7"/>
  <c r="B4104" i="106" s="1"/>
  <c r="D4104" i="106" s="1"/>
  <c r="G172" i="5" l="1"/>
  <c r="G173" i="5" s="1"/>
  <c r="B5778" i="106" s="1"/>
  <c r="D5778" i="106" s="1"/>
  <c r="B1124" i="106"/>
  <c r="D1124" i="106" s="1"/>
  <c r="G15" i="145"/>
  <c r="L22" i="37"/>
  <c r="E28" i="108"/>
  <c r="G26" i="108"/>
  <c r="D69" i="36"/>
  <c r="D12" i="7"/>
  <c r="B1769" i="106" s="1"/>
  <c r="D1769" i="106" s="1"/>
  <c r="H173" i="5"/>
  <c r="H29" i="118"/>
  <c r="F70" i="34"/>
  <c r="F49" i="34"/>
  <c r="E26" i="108"/>
  <c r="D31" i="36"/>
  <c r="B6289" i="106"/>
  <c r="D6289" i="106" s="1"/>
  <c r="B1274" i="106"/>
  <c r="D1274" i="106" s="1"/>
  <c r="J210" i="29"/>
  <c r="B7072" i="106" s="1"/>
  <c r="D7072" i="106" s="1"/>
  <c r="L5" i="11"/>
  <c r="B2056" i="106" s="1"/>
  <c r="D2056" i="106" s="1"/>
  <c r="B4373" i="106"/>
  <c r="D4373" i="106" s="1"/>
  <c r="F172" i="5"/>
  <c r="B5644" i="106" s="1"/>
  <c r="D5644" i="106" s="1"/>
  <c r="F35" i="34"/>
  <c r="F27" i="108"/>
  <c r="B7235" i="106"/>
  <c r="D7235" i="106" s="1"/>
  <c r="C342" i="29"/>
  <c r="B7216" i="106" s="1"/>
  <c r="D7216" i="106" s="1"/>
  <c r="K76" i="4"/>
  <c r="B3586" i="106" s="1"/>
  <c r="D3586" i="106" s="1"/>
  <c r="L13" i="11"/>
  <c r="B2060" i="106" s="1"/>
  <c r="D2060" i="106" s="1"/>
  <c r="F106" i="34"/>
  <c r="N22" i="3"/>
  <c r="B283" i="106" s="1"/>
  <c r="D283" i="106" s="1"/>
  <c r="K173" i="5"/>
  <c r="K6" i="4" s="1"/>
  <c r="B3570" i="106" s="1"/>
  <c r="D3570" i="106" s="1"/>
  <c r="F62" i="34"/>
  <c r="F50" i="34"/>
  <c r="F42" i="34"/>
  <c r="B7047" i="106"/>
  <c r="D7047" i="106" s="1"/>
  <c r="K350" i="29"/>
  <c r="B3670" i="106" s="1"/>
  <c r="D3670" i="106" s="1"/>
  <c r="E174" i="29"/>
  <c r="B1309" i="106" s="1"/>
  <c r="D1309" i="106" s="1"/>
  <c r="C172" i="5"/>
  <c r="B5214" i="106" s="1"/>
  <c r="D5214" i="106" s="1"/>
  <c r="F127" i="34"/>
  <c r="J274" i="5"/>
  <c r="B7054" i="106" s="1"/>
  <c r="D7054" i="106" s="1"/>
  <c r="F128" i="34"/>
  <c r="F71" i="34"/>
  <c r="G34" i="108"/>
  <c r="F26" i="108"/>
  <c r="K26" i="12"/>
  <c r="B7743" i="106" s="1"/>
  <c r="D7743" i="106" s="1"/>
  <c r="B7076" i="106"/>
  <c r="D7076" i="106" s="1"/>
  <c r="B1126" i="106"/>
  <c r="D1126" i="106" s="1"/>
  <c r="F136" i="34"/>
  <c r="F14" i="4"/>
  <c r="B2597" i="106" s="1"/>
  <c r="D2597" i="106" s="1"/>
  <c r="K274" i="5"/>
  <c r="H109" i="5"/>
  <c r="F19" i="7"/>
  <c r="B1807" i="106" s="1"/>
  <c r="D1807" i="106" s="1"/>
  <c r="F46" i="34"/>
  <c r="F28" i="108"/>
  <c r="F41" i="108" s="1"/>
  <c r="G43" i="108" s="1"/>
  <c r="F77" i="4"/>
  <c r="B3255" i="106" s="1"/>
  <c r="D3255" i="106" s="1"/>
  <c r="B6995" i="106"/>
  <c r="D6995" i="106" s="1"/>
  <c r="C14" i="4"/>
  <c r="B2558" i="106" s="1"/>
  <c r="D2558" i="106" s="1"/>
  <c r="G39" i="108"/>
  <c r="G38" i="108"/>
  <c r="E38" i="108"/>
  <c r="D13" i="7"/>
  <c r="B3726" i="106" s="1"/>
  <c r="D3726" i="106" s="1"/>
  <c r="F94" i="34"/>
  <c r="C109" i="5"/>
  <c r="B5121" i="106" s="1"/>
  <c r="D5121" i="106" s="1"/>
  <c r="D4" i="7"/>
  <c r="B1760" i="106" s="1"/>
  <c r="D1760" i="106" s="1"/>
  <c r="L367" i="29"/>
  <c r="L342" i="29"/>
  <c r="B6025" i="106"/>
  <c r="D6025" i="106" s="1"/>
  <c r="H4" i="4"/>
  <c r="B2655" i="106" s="1"/>
  <c r="D2655" i="106" s="1"/>
  <c r="C173" i="5"/>
  <c r="B5223" i="106" s="1"/>
  <c r="D5223" i="106" s="1"/>
  <c r="B5770" i="106"/>
  <c r="D5770" i="106" s="1"/>
  <c r="B3565" i="106"/>
  <c r="D3565" i="106" s="1"/>
  <c r="K41" i="3"/>
  <c r="B6191" i="106"/>
  <c r="D6191" i="106" s="1"/>
  <c r="J41" i="3"/>
  <c r="D15" i="7"/>
  <c r="B1772" i="106" s="1"/>
  <c r="D1772" i="106" s="1"/>
  <c r="B1746" i="106"/>
  <c r="D1746" i="106" s="1"/>
  <c r="D109" i="5"/>
  <c r="F130" i="34"/>
  <c r="K28" i="118"/>
  <c r="O27" i="118" s="1"/>
  <c r="O29" i="118" s="1"/>
  <c r="G109" i="5"/>
  <c r="H342" i="29"/>
  <c r="B7071" i="106"/>
  <c r="D7071" i="106" s="1"/>
  <c r="F66" i="34"/>
  <c r="I173" i="5"/>
  <c r="B4216" i="106" s="1"/>
  <c r="D4216" i="106" s="1"/>
  <c r="D11" i="7"/>
  <c r="B1768" i="106" s="1"/>
  <c r="D1768" i="106" s="1"/>
  <c r="F111" i="34"/>
  <c r="F131" i="34"/>
  <c r="B7041" i="106"/>
  <c r="D7041" i="106" s="1"/>
  <c r="E109" i="5"/>
  <c r="E4" i="4" s="1"/>
  <c r="B2630" i="106" s="1"/>
  <c r="D2630" i="106" s="1"/>
  <c r="L312" i="29"/>
  <c r="F45" i="34"/>
  <c r="F36" i="34"/>
  <c r="B3658" i="106"/>
  <c r="D3658" i="106" s="1"/>
  <c r="H365" i="29"/>
  <c r="B3649" i="106"/>
  <c r="D3649" i="106" s="1"/>
  <c r="G367" i="29"/>
  <c r="B3650" i="106" s="1"/>
  <c r="D3650" i="106" s="1"/>
  <c r="B3619" i="106"/>
  <c r="D3619" i="106" s="1"/>
  <c r="C352" i="29"/>
  <c r="F21" i="8"/>
  <c r="B3689" i="106"/>
  <c r="D3689" i="106" s="1"/>
  <c r="J77" i="4"/>
  <c r="B6262" i="106" s="1"/>
  <c r="D6262" i="106" s="1"/>
  <c r="B3170" i="106"/>
  <c r="D3170" i="106" s="1"/>
  <c r="H76" i="4"/>
  <c r="B3298" i="106" s="1"/>
  <c r="D3298" i="106" s="1"/>
  <c r="B1995" i="106"/>
  <c r="D1995" i="106" s="1"/>
  <c r="I24" i="12"/>
  <c r="B3647" i="106"/>
  <c r="D3647" i="106" s="1"/>
  <c r="G210" i="29"/>
  <c r="D6103" i="106"/>
  <c r="K285" i="29"/>
  <c r="B3724" i="106" s="1"/>
  <c r="D3724"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B2657" i="106"/>
  <c r="D2657" i="106" s="1"/>
  <c r="D274" i="5"/>
  <c r="B3447" i="106"/>
  <c r="D3447" i="106" s="1"/>
  <c r="B7270" i="106"/>
  <c r="F274" i="5" l="1"/>
  <c r="F275" i="5" s="1"/>
  <c r="B5906" i="106"/>
  <c r="D5906" i="106" s="1"/>
  <c r="H6" i="4"/>
  <c r="B2656" i="106" s="1"/>
  <c r="D2656" i="106" s="1"/>
  <c r="L16" i="11"/>
  <c r="B2061" i="106" s="1"/>
  <c r="D2061" i="106" s="1"/>
  <c r="B1317" i="106"/>
  <c r="D1317" i="106" s="1"/>
  <c r="B5527" i="106"/>
  <c r="D5527" i="106" s="1"/>
  <c r="N23" i="3"/>
  <c r="B284" i="106" s="1"/>
  <c r="D284" i="106" s="1"/>
  <c r="D7255" i="106"/>
  <c r="D7252" i="106"/>
  <c r="I6" i="4"/>
  <c r="B5011" i="106" s="1"/>
  <c r="D5011" i="106" s="1"/>
  <c r="K352" i="29"/>
  <c r="H8" i="4"/>
  <c r="D19" i="7"/>
  <c r="B1775" i="106" s="1"/>
  <c r="D1775" i="106" s="1"/>
  <c r="D7256" i="106"/>
  <c r="D7251" i="106"/>
  <c r="C114" i="29"/>
  <c r="B757" i="106" s="1"/>
  <c r="D757" i="106" s="1"/>
  <c r="J7" i="4"/>
  <c r="D7253" i="106"/>
  <c r="K342" i="29"/>
  <c r="F13" i="34" s="1"/>
  <c r="C6" i="4"/>
  <c r="B2553" i="106" s="1"/>
  <c r="D2553" i="106" s="1"/>
  <c r="C4" i="4"/>
  <c r="B2551" i="106" s="1"/>
  <c r="D2551" i="106" s="1"/>
  <c r="B3621" i="106"/>
  <c r="D3621" i="106" s="1"/>
  <c r="C367" i="29"/>
  <c r="B3622" i="106" s="1"/>
  <c r="D3622" i="106" s="1"/>
  <c r="H367" i="29"/>
  <c r="B3660" i="106" s="1"/>
  <c r="D3660" i="106" s="1"/>
  <c r="B7242" i="106"/>
  <c r="D7242" i="106" s="1"/>
  <c r="B1365" i="106"/>
  <c r="D1365" i="106" s="1"/>
  <c r="F65" i="34"/>
  <c r="B5356" i="106"/>
  <c r="D5356" i="106" s="1"/>
  <c r="D4" i="4"/>
  <c r="B2564" i="106" s="1"/>
  <c r="D2564" i="106" s="1"/>
  <c r="B6024" i="106"/>
  <c r="D6024" i="106" s="1"/>
  <c r="G4" i="4"/>
  <c r="B2603" i="106" s="1"/>
  <c r="D2603" i="106" s="1"/>
  <c r="B3568" i="106"/>
  <c r="D3568" i="106" s="1"/>
  <c r="D52" i="36"/>
  <c r="F73" i="34"/>
  <c r="G15" i="4"/>
  <c r="B6032" i="106" s="1"/>
  <c r="D6032" i="106" s="1"/>
  <c r="B1996" i="106"/>
  <c r="D1996" i="106" s="1"/>
  <c r="I26" i="12"/>
  <c r="B7741" i="106" s="1"/>
  <c r="D7741" i="106" s="1"/>
  <c r="B1879" i="106"/>
  <c r="D1879" i="106" s="1"/>
  <c r="H22" i="37"/>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D275" i="5"/>
  <c r="B5507" i="106"/>
  <c r="D5507" i="106" s="1"/>
  <c r="B7298" i="106"/>
  <c r="B7299" i="106"/>
  <c r="J17" i="4" l="1"/>
  <c r="B6227" i="106" s="1"/>
  <c r="D6227" i="106" s="1"/>
  <c r="K13" i="4"/>
  <c r="B3572" i="106" s="1"/>
  <c r="D3572" i="106" s="1"/>
  <c r="B3672" i="106"/>
  <c r="D3672" i="106" s="1"/>
  <c r="K367" i="29"/>
  <c r="B3678" i="106" s="1"/>
  <c r="D3678" i="106" s="1"/>
  <c r="G41" i="108"/>
  <c r="G44" i="108" s="1"/>
  <c r="G45" i="108" s="1"/>
  <c r="J8" i="4"/>
  <c r="J10" i="4" s="1"/>
  <c r="B6225" i="106" s="1"/>
  <c r="D6225" i="106" s="1"/>
  <c r="F8" i="4"/>
  <c r="B2595" i="106" s="1"/>
  <c r="D259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K17" i="4" l="1"/>
  <c r="B3575" i="106" s="1"/>
  <c r="D3575" i="106" s="1"/>
  <c r="B6223" i="106"/>
  <c r="D6223" i="106" s="1"/>
  <c r="J20" i="4"/>
  <c r="B6230" i="106" s="1"/>
  <c r="D6230" i="106" s="1"/>
  <c r="D8" i="146"/>
  <c r="F10" i="4"/>
  <c r="B4125" i="106" s="1"/>
  <c r="D4125" i="106" s="1"/>
  <c r="F76" i="34"/>
  <c r="K368" i="29"/>
  <c r="B3681" i="106" s="1"/>
  <c r="D3681"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K19" i="4" l="1"/>
  <c r="B4144" i="106" s="1"/>
  <c r="D4144" i="106" s="1"/>
  <c r="J78" i="4"/>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<sst xmlns="http://schemas.openxmlformats.org/spreadsheetml/2006/main" count="5058" uniqueCount="2120">
  <si>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</si>
  <si>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</si>
  <si>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</si>
  <si>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</si>
  <si>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</si>
  <si>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</si>
  <si>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</si>
  <si>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</si>
  <si>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</si>
  <si>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</si>
  <si>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</si>
  <si>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</si>
  <si>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</si>
  <si>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</si>
  <si>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</si>
  <si>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</si>
  <si>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</si>
  <si>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</si>
  <si>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</si>
  <si>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</si>
  <si>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</si>
  <si>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</si>
  <si>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</si>
  <si>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</si>
  <si>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</si>
  <si>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</si>
  <si>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</si>
  <si>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</si>
  <si>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</si>
  <si>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</si>
  <si>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</si>
  <si>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</si>
  <si>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</si>
  <si>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</si>
  <si>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</si>
  <si>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</si>
  <si>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</si>
  <si>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</si>
  <si>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</si>
  <si>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</si>
  <si>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</si>
  <si>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</si>
  <si>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</si>
  <si>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</si>
  <si>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</si>
  <si>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</si>
  <si>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</si>
  <si>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</si>
  <si>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</si>
  <si>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</si>
  <si>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</si>
  <si>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</si>
  <si>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</si>
  <si>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</si>
  <si>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</si>
  <si>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</si>
  <si>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</si>
  <si>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</si>
  <si>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</si>
  <si>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</si>
  <si>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</si>
  <si>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</si>
  <si>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</si>
  <si>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</si>
  <si>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</si>
  <si>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</si>
  <si>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</si>
  <si>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</si>
  <si>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</si>
  <si>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</si>
  <si>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</si>
  <si>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</si>
  <si>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</si>
  <si>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</si>
  <si>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</si>
  <si>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</si>
  <si>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</si>
  <si>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</si>
  <si>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</si>
  <si>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</si>
  <si>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</si>
  <si>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</si>
  <si>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</si>
  <si>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</si>
  <si>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</si>
  <si>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</si>
  <si>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</si>
  <si>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</si>
  <si>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</si>
  <si>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</si>
  <si>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</si>
  <si>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</si>
  <si>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</si>
  <si>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</si>
  <si>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</si>
  <si>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</si>
  <si>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</si>
  <si>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</si>
  <si>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</si>
  <si>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</si>
  <si>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</si>
  <si>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</si>
  <si>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</si>
  <si>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</si>
  <si>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</si>
  <si>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</si>
  <si>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</si>
  <si>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</si>
  <si>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</si>
  <si>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</si>
  <si>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</si>
  <si>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</si>
  <si>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</si>
  <si>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</si>
  <si>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</si>
  <si>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</si>
  <si>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</si>
  <si>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</si>
  <si>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</si>
  <si>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</si>
  <si>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</si>
  <si>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</si>
  <si>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</si>
  <si>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</si>
  <si>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</si>
  <si>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</si>
  <si>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</si>
  <si>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</si>
  <si>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</si>
  <si>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</si>
  <si>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</si>
  <si>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</si>
  <si>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</si>
  <si>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</si>
  <si>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</si>
  <si>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</si>
  <si>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</si>
  <si>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</si>
  <si>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</si>
  <si>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</si>
  <si>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</si>
  <si>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</si>
  <si>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</si>
  <si>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</si>
  <si>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</si>
  <si>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</si>
  <si>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</si>
  <si>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</si>
  <si>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</si>
  <si>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</si>
  <si>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</si>
  <si>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</si>
  <si>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</si>
  <si>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</si>
  <si>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</si>
  <si>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</si>
  <si>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</si>
  <si>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</si>
  <si>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</si>
  <si>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</si>
  <si>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</si>
  <si>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</si>
  <si>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</si>
  <si>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</si>
  <si>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</si>
  <si>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</si>
  <si>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</si>
  <si>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</si>
  <si>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</si>
  <si>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</si>
  <si>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</si>
  <si>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</si>
  <si>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</si>
  <si>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</si>
  <si>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</si>
  <si>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</si>
  <si>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</si>
  <si>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</si>
  <si>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</si>
  <si>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</si>
  <si>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</si>
  <si>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</si>
  <si>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</si>
  <si>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</si>
  <si>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</si>
  <si>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</si>
  <si>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</si>
  <si>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</si>
  <si>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</si>
  <si>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</si>
  <si>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</si>
  <si>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</si>
  <si>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</si>
  <si>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</si>
  <si>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</si>
  <si>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</si>
  <si>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</si>
  <si>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</si>
  <si>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</si>
  <si>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</si>
  <si>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</si>
  <si>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</si>
  <si>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</si>
  <si>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</si>
  <si>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</si>
  <si>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</si>
  <si>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</si>
  <si>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</si>
  <si>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</si>
  <si>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</si>
  <si>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</si>
  <si>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</si>
  <si>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</si>
  <si>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</si>
  <si>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</si>
  <si>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</si>
  <si>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</si>
  <si>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</si>
  <si>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</si>
  <si>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</si>
  <si>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</si>
  <si>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</si>
  <si>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</si>
  <si>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</si>
  <si>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</si>
  <si>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</si>
  <si>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</si>
  <si>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</si>
  <si>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</si>
  <si>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</si>
  <si>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</si>
  <si>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</si>
  <si>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</si>
  <si>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</si>
  <si>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</si>
  <si>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</si>
  <si>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</si>
  <si>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</si>
  <si>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</si>
  <si>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</si>
  <si>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</si>
  <si>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</si>
  <si>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</si>
  <si>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</si>
  <si>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</si>
  <si>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</si>
  <si>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</si>
  <si>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</si>
  <si>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</si>
  <si>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</si>
  <si>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</si>
  <si>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</si>
  <si>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</si>
  <si>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</si>
  <si>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</si>
  <si>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</si>
  <si>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</si>
  <si>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</si>
  <si>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</si>
  <si>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</si>
  <si>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</si>
  <si>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</si>
  <si>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</si>
  <si>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</si>
  <si>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</si>
  <si>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</si>
  <si>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</si>
  <si>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</si>
  <si>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</si>
  <si>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</si>
  <si>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</si>
  <si>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</si>
  <si>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</si>
  <si>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</si>
  <si>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</si>
  <si>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</si>
  <si>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</si>
  <si>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</si>
  <si>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</si>
  <si>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</si>
  <si>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</si>
  <si>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</si>
  <si>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</si>
  <si>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</si>
  <si>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</si>
  <si>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</si>
  <si>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</si>
  <si>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</si>
  <si>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</si>
  <si>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</si>
  <si>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</si>
  <si>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</si>
  <si>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</si>
  <si>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</si>
  <si>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</si>
  <si>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</si>
  <si>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</si>
  <si>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</si>
  <si>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</si>
  <si>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</si>
  <si>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</si>
  <si>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</si>
  <si>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</si>
  <si>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</si>
  <si>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</si>
  <si>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</si>
  <si>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</si>
  <si>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</si>
  <si>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</si>
  <si>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</si>
  <si>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</si>
  <si>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</si>
  <si>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</si>
  <si>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</si>
  <si>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</si>
  <si>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</si>
  <si>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</si>
  <si>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</si>
  <si>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</si>
  <si>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</si>
  <si>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</si>
  <si>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</si>
  <si>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</si>
  <si>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</si>
  <si>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</si>
  <si>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</si>
  <si>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</si>
  <si>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</si>
  <si>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</si>
  <si>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</si>
  <si>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</si>
  <si>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</si>
  <si>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</si>
  <si>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</si>
  <si>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</si>
  <si>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</si>
  <si>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</si>
  <si>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</si>
  <si>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</si>
  <si>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</si>
  <si>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</si>
  <si>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</si>
  <si>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</si>
  <si>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</si>
  <si>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</si>
  <si>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</si>
  <si>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</si>
  <si>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</si>
  <si>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</si>
  <si>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</si>
  <si>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</si>
  <si>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</si>
  <si>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</si>
  <si>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</si>
  <si>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</si>
  <si>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</si>
  <si>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</si>
  <si>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</si>
  <si>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</si>
  <si>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</si>
  <si>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</si>
  <si>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</si>
  <si>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</si>
  <si>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</si>
  <si>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</si>
  <si>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</si>
  <si>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</si>
  <si>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</si>
  <si>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</si>
  <si>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</si>
  <si>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</si>
  <si>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</si>
  <si>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</si>
  <si>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</si>
  <si>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</si>
  <si>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</si>
  <si>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</si>
  <si>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</si>
  <si>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</si>
  <si>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</si>
  <si>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</si>
  <si>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</si>
  <si>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</si>
  <si>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</si>
  <si>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</si>
  <si>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</si>
  <si>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</si>
  <si>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</si>
  <si>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</si>
  <si>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</si>
  <si>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</si>
  <si>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</si>
  <si>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</si>
  <si>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</si>
  <si>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</si>
  <si>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</si>
  <si>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</si>
  <si>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</si>
  <si>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</si>
  <si>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</si>
  <si>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</si>
  <si>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</si>
  <si>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</si>
  <si>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</si>
  <si>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</si>
  <si>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</si>
  <si>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</si>
  <si>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</si>
  <si>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</si>
  <si>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</si>
  <si>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</si>
  <si>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</si>
  <si>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</si>
  <si>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</si>
  <si>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</si>
  <si>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</si>
  <si>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</si>
  <si>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</si>
  <si>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</si>
  <si>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</si>
  <si>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</si>
  <si>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</si>
  <si>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</si>
  <si>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</si>
  <si>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</si>
  <si>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</si>
  <si>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</si>
  <si>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</si>
  <si>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</si>
  <si>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</si>
  <si>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</si>
  <si>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</si>
  <si>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</si>
  <si>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</si>
  <si>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</si>
  <si>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</si>
  <si>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</si>
  <si>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</si>
  <si>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</si>
  <si>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</si>
  <si>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</si>
  <si>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</si>
  <si>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</si>
  <si>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</si>
  <si>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</si>
  <si>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</si>
  <si>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</si>
  <si>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</si>
  <si>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</si>
  <si>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</si>
  <si>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</si>
  <si>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</si>
  <si>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</si>
  <si>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</si>
  <si>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</si>
  <si>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</si>
  <si>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</si>
  <si>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</si>
  <si>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</si>
  <si>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</si>
  <si>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</si>
  <si>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</si>
  <si>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</si>
  <si>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</si>
  <si>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</si>
  <si>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</si>
  <si>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</si>
  <si>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</si>
  <si>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</si>
  <si>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</si>
  <si>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</si>
  <si>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</si>
  <si>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</si>
  <si>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</si>
  <si>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</si>
  <si>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</si>
  <si>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</si>
  <si>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</si>
  <si>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</si>
  <si>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</si>
  <si>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</si>
  <si>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</si>
  <si>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</si>
  <si>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</si>
  <si>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</si>
  <si>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</si>
  <si>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</si>
  <si>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</si>
  <si>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</si>
  <si>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</si>
  <si>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</si>
  <si>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</si>
  <si>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</si>
  <si>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</si>
  <si>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</si>
  <si>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</si>
  <si>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</si>
  <si>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</si>
  <si>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</si>
  <si>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</si>
  <si>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</si>
  <si>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</si>
  <si>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</si>
  <si>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</si>
  <si>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</si>
  <si>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</si>
  <si>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</si>
  <si>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</si>
  <si>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</si>
  <si>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</si>
  <si>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</si>
  <si>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</si>
  <si>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</si>
  <si>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</si>
  <si>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</si>
  <si>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</si>
  <si>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</si>
  <si>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</si>
  <si>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</si>
  <si>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</si>
  <si>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</si>
  <si>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</si>
  <si>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</si>
  <si>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</si>
  <si>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</si>
  <si>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</si>
  <si>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</si>
  <si>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</si>
  <si>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</si>
  <si>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</si>
  <si>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</si>
  <si>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</si>
  <si>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</si>
  <si>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</si>
  <si>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</si>
  <si>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</si>
  <si>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</si>
  <si>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</si>
  <si>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</si>
  <si>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</si>
  <si>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</si>
  <si>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</si>
  <si>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</si>
  <si>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</si>
  <si>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</si>
  <si>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</si>
  <si>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</si>
  <si>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</si>
  <si>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</si>
  <si>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</si>
  <si>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</si>
  <si>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</si>
  <si>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</si>
  <si>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</si>
  <si>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</si>
  <si>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</si>
  <si>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</si>
  <si>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</si>
  <si>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</si>
  <si>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</si>
  <si>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</si>
  <si>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</si>
  <si>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</si>
  <si>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</si>
  <si>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</si>
  <si>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</si>
  <si>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</si>
  <si>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</si>
  <si>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</si>
  <si>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</si>
  <si>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</si>
  <si>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</si>
  <si>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</si>
  <si>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</si>
  <si>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</si>
  <si>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</si>
  <si>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</si>
  <si>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</si>
  <si>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</si>
  <si>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</si>
  <si>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</si>
  <si>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</si>
  <si>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</si>
  <si>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</si>
  <si>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</si>
  <si>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</si>
  <si>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</si>
  <si>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</si>
  <si>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</si>
  <si>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</si>
  <si>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</si>
  <si>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</si>
  <si>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</si>
  <si>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</si>
  <si>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</si>
  <si>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</si>
  <si>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</si>
  <si>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</si>
  <si>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</si>
  <si>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</si>
  <si>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</si>
  <si>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</si>
  <si>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</si>
  <si>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</si>
  <si>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</si>
  <si>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</si>
  <si>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</si>
  <si>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</si>
  <si>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</si>
  <si>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</si>
  <si>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</si>
  <si>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</si>
  <si>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</si>
  <si>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</si>
  <si>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</si>
  <si>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</si>
  <si>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</si>
  <si>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</si>
  <si>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</si>
  <si>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</si>
  <si>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</si>
  <si>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</si>
  <si>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</si>
  <si>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</si>
  <si>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</si>
  <si>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</si>
  <si>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</si>
  <si>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</si>
  <si>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</si>
  <si>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</si>
  <si>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</si>
  <si>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</si>
  <si>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</si>
  <si>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</si>
  <si>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</si>
  <si>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</si>
  <si>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</si>
  <si>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</si>
  <si>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</si>
  <si>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</si>
  <si>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</si>
  <si>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</si>
  <si>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</si>
  <si>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</si>
  <si>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</si>
  <si>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</si>
  <si>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</si>
  <si>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</si>
  <si>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</si>
  <si>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</si>
  <si>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</si>
  <si>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</si>
  <si>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</si>
  <si>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</si>
  <si>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</si>
  <si>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</si>
  <si>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</si>
  <si>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</si>
  <si>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</si>
  <si>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</si>
  <si>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</si>
  <si>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</si>
  <si>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</si>
  <si>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</si>
  <si>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</si>
  <si>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</si>
  <si>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</si>
  <si>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</si>
  <si>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</si>
  <si>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</si>
  <si>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</si>
  <si>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</si>
  <si>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</si>
  <si>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</si>
  <si>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</si>
  <si>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</si>
  <si>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</si>
  <si>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</si>
  <si>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</si>
  <si>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</si>
  <si>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</si>
  <si>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</si>
  <si>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</si>
  <si>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</si>
  <si>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</si>
  <si>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</si>
  <si>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</si>
  <si>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</si>
  <si>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</si>
  <si>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</si>
  <si>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</si>
  <si>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</si>
  <si>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</si>
  <si>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</si>
  <si>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</si>
  <si>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</si>
  <si>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</si>
  <si>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</si>
  <si>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</si>
  <si>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</si>
  <si>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</si>
  <si>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</si>
  <si>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</si>
  <si>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</si>
  <si>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</si>
  <si>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</si>
  <si>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</si>
  <si>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</si>
  <si>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</si>
  <si>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</si>
  <si>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</si>
  <si>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</si>
  <si>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</si>
  <si>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</si>
  <si>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</si>
  <si>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</si>
  <si>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</si>
  <si>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</si>
  <si>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</si>
  <si>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</si>
  <si>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</si>
  <si>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</si>
  <si>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</si>
  <si>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</si>
  <si>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</si>
  <si>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</si>
  <si>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</si>
  <si>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</si>
  <si>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</si>
  <si>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</si>
  <si>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</si>
  <si>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</si>
  <si>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</si>
  <si>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</si>
  <si>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</si>
  <si>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</si>
  <si>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</si>
  <si>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</si>
  <si>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</si>
  <si>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</si>
  <si>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</si>
  <si>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</si>
  <si>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</si>
  <si>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</si>
  <si>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</si>
  <si>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</si>
  <si>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</si>
  <si>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</si>
  <si>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</si>
  <si>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</si>
  <si>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</si>
  <si>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</si>
  <si>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</si>
  <si>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</si>
  <si>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</si>
  <si>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</si>
  <si>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</si>
  <si>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</si>
  <si>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</si>
  <si>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</si>
  <si>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</si>
  <si>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</si>
  <si>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</si>
  <si>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</si>
  <si>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</si>
  <si>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</si>
  <si>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</si>
  <si>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</si>
  <si>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</si>
  <si>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</si>
  <si>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</si>
  <si>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</si>
  <si>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</si>
  <si>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</si>
  <si>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</si>
  <si>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</si>
  <si>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</si>
  <si>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</si>
  <si>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</si>
  <si>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</si>
  <si>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</si>
  <si>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</si>
  <si>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</si>
  <si>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</si>
  <si>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</si>
  <si>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</si>
  <si>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</si>
  <si>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</si>
  <si>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</si>
  <si>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</si>
  <si>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</si>
  <si>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</si>
  <si>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</si>
  <si>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</si>
  <si>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</si>
  <si>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</si>
  <si>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</si>
  <si>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</si>
  <si>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</si>
  <si>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</si>
  <si>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</si>
  <si>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</si>
  <si>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</si>
  <si>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</si>
  <si>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</si>
  <si>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</si>
  <si>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</si>
  <si>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</si>
  <si>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</si>
  <si>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</si>
  <si>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</si>
  <si>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</si>
  <si>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</si>
  <si>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</si>
  <si>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</si>
  <si>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</si>
  <si>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</si>
  <si>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</si>
  <si>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</si>
  <si>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</si>
  <si>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</si>
  <si>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</si>
  <si>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</si>
  <si>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</si>
  <si>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</si>
  <si>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</si>
  <si>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</si>
  <si>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</si>
  <si>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</si>
  <si>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</si>
  <si>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</si>
  <si>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</si>
  <si>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</si>
  <si>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</si>
  <si>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</si>
  <si>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</si>
  <si>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</si>
  <si>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</si>
  <si>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</si>
  <si>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</si>
  <si>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</si>
  <si>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</si>
  <si>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</si>
  <si>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</si>
  <si>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</si>
  <si>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</si>
  <si>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</si>
  <si>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</si>
  <si>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</si>
  <si>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</si>
  <si>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</si>
  <si>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</si>
  <si>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</si>
  <si>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</si>
  <si>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</si>
  <si>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</si>
  <si>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</si>
  <si>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</si>
  <si>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</si>
  <si>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</si>
  <si>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</si>
  <si>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</si>
  <si>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</si>
  <si>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</si>
  <si>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</si>
  <si>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</si>
  <si>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</si>
  <si>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</si>
  <si>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</si>
  <si>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</si>
  <si>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</si>
  <si>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</si>
  <si>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</si>
  <si>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</si>
  <si>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</si>
  <si>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</si>
  <si>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</si>
  <si>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</si>
  <si>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</si>
  <si>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</si>
  <si>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</si>
  <si>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</si>
  <si>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</si>
  <si>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</si>
  <si>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</si>
  <si>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</si>
  <si>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</si>
  <si>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</si>
  <si>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</si>
  <si>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</si>
  <si>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</si>
  <si>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</si>
  <si>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</si>
  <si>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</si>
  <si>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</si>
  <si>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</si>
  <si>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</si>
  <si>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</si>
  <si>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</si>
  <si>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</si>
  <si>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</si>
  <si>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</si>
  <si>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</si>
  <si>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</si>
  <si>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</si>
  <si>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</si>
  <si>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</si>
  <si>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</si>
  <si>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</si>
  <si>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</si>
  <si>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</si>
  <si>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</si>
  <si>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</si>
  <si>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</si>
  <si>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</si>
  <si>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</si>
  <si>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</si>
  <si>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</si>
  <si>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</si>
  <si>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</si>
  <si>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</si>
  <si>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</si>
  <si>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</si>
  <si>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</si>
  <si>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</si>
  <si>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</si>
  <si>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</si>
  <si>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</si>
  <si>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</si>
  <si>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</si>
  <si>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</si>
  <si>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</si>
  <si>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</si>
  <si>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</si>
  <si>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</si>
  <si>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</si>
  <si>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</si>
  <si>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</si>
  <si>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</si>
  <si>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</si>
  <si>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</si>
  <si>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</si>
  <si>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</si>
  <si>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</si>
  <si>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</si>
  <si>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</si>
  <si>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</si>
  <si>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</si>
  <si>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</si>
  <si>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</si>
  <si>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</si>
  <si>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</si>
  <si>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</si>
  <si>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</si>
  <si>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</si>
  <si>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</si>
  <si>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</si>
  <si>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</si>
  <si>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</si>
  <si>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</si>
  <si>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</si>
  <si>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</si>
  <si>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</si>
  <si>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</si>
  <si>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</si>
  <si>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</si>
  <si>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</si>
  <si>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</si>
  <si>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</si>
  <si>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</si>
  <si>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</si>
  <si>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</si>
  <si>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</si>
  <si>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</si>
  <si>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</si>
  <si>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</si>
  <si>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</si>
  <si>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</si>
  <si>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</si>
  <si>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</si>
  <si>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</si>
  <si>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</si>
  <si>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</si>
  <si>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</si>
  <si>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</si>
  <si>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</si>
  <si>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</si>
  <si>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</si>
  <si>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</si>
  <si>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</si>
  <si>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</si>
  <si>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</si>
  <si>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</si>
  <si>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</si>
  <si>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</si>
  <si>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</si>
  <si>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</si>
  <si>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</si>
  <si>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</si>
  <si>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</si>
  <si>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</si>
  <si>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</si>
  <si>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</si>
  <si>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</si>
  <si>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</si>
  <si>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</si>
  <si>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</si>
  <si>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</si>
  <si>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</si>
  <si>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</si>
  <si>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</si>
  <si>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</si>
  <si>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</si>
  <si>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</si>
  <si>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</si>
  <si>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</si>
  <si>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</si>
  <si>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</si>
  <si>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</si>
  <si>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</si>
  <si>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</si>
  <si>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</si>
  <si>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</si>
  <si>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</si>
  <si>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</si>
  <si>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</si>
  <si>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</si>
  <si>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</si>
  <si>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</si>
  <si>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</si>
  <si>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</si>
  <si>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</si>
  <si>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</si>
  <si>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</si>
  <si>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</si>
  <si>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</si>
  <si>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</si>
  <si>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</si>
  <si>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</si>
  <si>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</si>
  <si>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</si>
  <si>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</si>
  <si>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</si>
  <si>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</si>
  <si>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</si>
  <si>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</si>
  <si>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</si>
  <si>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</si>
  <si>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</si>
  <si>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</si>
  <si>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</si>
  <si>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</si>
  <si>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</si>
  <si>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</si>
  <si>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</si>
  <si>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</si>
  <si>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</si>
  <si>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</si>
  <si>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</si>
  <si>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</si>
  <si>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</si>
  <si>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</si>
  <si>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</si>
  <si>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</si>
  <si>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</si>
  <si>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</si>
  <si>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</si>
  <si>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</si>
  <si>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</si>
  <si>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</si>
  <si>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</si>
  <si>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</si>
  <si>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</si>
  <si>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</si>
  <si>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</si>
  <si>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</si>
  <si>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</si>
  <si>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</si>
  <si>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</si>
  <si>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</si>
  <si>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</si>
  <si>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</si>
  <si>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</si>
  <si>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</si>
  <si>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</si>
  <si>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</si>
  <si>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</si>
  <si>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</si>
  <si>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</si>
  <si>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</si>
  <si>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</si>
  <si>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</si>
  <si>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</si>
  <si>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</si>
  <si>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</si>
  <si>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</si>
  <si>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</si>
  <si>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</si>
  <si>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</si>
  <si>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</si>
  <si>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</si>
  <si>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</si>
  <si>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</si>
  <si>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</si>
  <si>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</si>
  <si>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</si>
  <si>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</si>
  <si>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</si>
  <si>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</si>
  <si>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</si>
  <si>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</si>
  <si>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</si>
  <si>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</si>
  <si>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</si>
  <si>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</si>
  <si>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</si>
  <si>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</si>
  <si>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</si>
  <si>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</si>
  <si>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</si>
  <si>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</si>
  <si>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</si>
  <si>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</si>
  <si>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</si>
  <si>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</si>
  <si>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</si>
  <si>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</si>
  <si>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</si>
  <si>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</si>
  <si>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</si>
  <si>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</si>
  <si>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</si>
  <si>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</si>
  <si>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</si>
  <si>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</si>
  <si>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</si>
  <si>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</si>
  <si>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</si>
  <si>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</si>
  <si>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</si>
  <si>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</si>
  <si>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</si>
  <si>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</si>
  <si>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</si>
  <si>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</si>
  <si>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</si>
  <si>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</si>
  <si>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</si>
  <si>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</si>
  <si>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</si>
  <si>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</si>
  <si>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</si>
  <si>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</si>
  <si>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</si>
  <si>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</si>
  <si>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</si>
  <si>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</si>
  <si>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</si>
  <si>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</si>
  <si>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</si>
  <si>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</si>
  <si>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</si>
  <si>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</si>
  <si>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</si>
  <si>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</si>
  <si>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</si>
  <si>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</si>
  <si>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</si>
  <si>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</si>
  <si>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</si>
  <si>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</si>
  <si>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</si>
  <si>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</si>
  <si>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</si>
  <si>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</si>
  <si>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</si>
  <si>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</si>
  <si>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</si>
  <si>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</si>
  <si>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</si>
  <si>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</si>
  <si>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</si>
  <si>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</si>
  <si>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</si>
  <si>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</si>
  <si>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</si>
  <si>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</si>
  <si>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</si>
  <si>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</si>
  <si>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</si>
  <si>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</si>
  <si>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</si>
  <si>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</si>
  <si>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</si>
  <si>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</si>
  <si>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</si>
  <si>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</si>
  <si>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</si>
  <si>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</si>
  <si>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</si>
  <si>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</si>
  <si>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</si>
  <si>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</si>
  <si>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</si>
  <si>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</si>
  <si>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</si>
  <si>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</si>
  <si>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</si>
  <si>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</si>
  <si>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</si>
  <si>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</si>
  <si>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</si>
  <si>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</si>
  <si>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</si>
  <si>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</si>
  <si>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</si>
  <si>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</si>
  <si>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</si>
  <si>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</si>
  <si>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</si>
  <si>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</si>
  <si>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</si>
  <si>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</si>
  <si>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</si>
  <si>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</si>
  <si>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</si>
  <si>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</si>
  <si>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</si>
  <si>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</si>
  <si>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</si>
  <si>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</si>
  <si>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</si>
  <si>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</si>
  <si>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</si>
  <si>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</si>
  <si>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</si>
  <si>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</si>
  <si>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</si>
  <si>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</si>
  <si>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</si>
  <si>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</si>
  <si>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</si>
  <si>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</si>
  <si>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</si>
  <si>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</si>
  <si>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</si>
  <si>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</si>
  <si>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</si>
  <si>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</si>
  <si>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</si>
  <si>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</si>
  <si>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</si>
  <si>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</si>
  <si>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</si>
  <si>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</si>
  <si>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</si>
  <si>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</si>
  <si>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</si>
  <si>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</si>
  <si>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</si>
  <si>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</si>
  <si>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</si>
  <si>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</si>
  <si>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</si>
  <si>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</si>
  <si>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</si>
  <si>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</si>
  <si>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</si>
  <si>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</si>
  <si>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</si>
  <si>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</si>
  <si>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</si>
  <si>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</si>
  <si>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</si>
  <si>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</si>
  <si>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</si>
  <si>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</si>
  <si>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</si>
  <si>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</si>
  <si>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</si>
  <si>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</si>
  <si>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</si>
  <si>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</si>
  <si>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</si>
  <si>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</si>
  <si>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</si>
  <si>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</si>
  <si>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</si>
  <si>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</si>
  <si>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</si>
  <si>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</si>
  <si>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</si>
  <si>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</si>
  <si>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</si>
  <si>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</si>
  <si>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</si>
  <si>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</si>
  <si>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</si>
  <si>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</si>
  <si>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</si>
  <si>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</si>
  <si>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</si>
  <si>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</si>
  <si>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</si>
  <si>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</si>
  <si>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</si>
  <si>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</si>
  <si>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</si>
  <si>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</si>
  <si>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</si>
  <si>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</si>
  <si>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</si>
  <si>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</si>
  <si>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</si>
  <si>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</si>
  <si>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</si>
  <si>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</si>
  <si>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</si>
  <si>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</si>
  <si>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</si>
  <si>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</si>
  <si>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</si>
  <si>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</si>
  <si>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</si>
  <si>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</si>
  <si>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</si>
  <si>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</si>
  <si>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</si>
  <si>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</si>
  <si>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</si>
  <si>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</si>
  <si>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</si>
  <si>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</si>
  <si>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</si>
  <si>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</si>
  <si>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</si>
  <si>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</si>
  <si>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</si>
  <si>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</si>
  <si>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</si>
  <si>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</si>
  <si>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</si>
  <si>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</si>
  <si>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</si>
  <si>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</si>
  <si>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</si>
  <si>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</si>
  <si>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</si>
  <si>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</si>
  <si>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</si>
  <si>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</si>
  <si>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</si>
  <si>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</si>
  <si>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</si>
  <si>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</si>
  <si>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</si>
  <si>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</si>
  <si>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</si>
  <si>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</si>
  <si>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</si>
  <si>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</si>
  <si>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</si>
  <si>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</si>
  <si>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</si>
  <si>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</si>
  <si>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</si>
  <si>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</si>
  <si>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</si>
  <si>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</si>
  <si>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</si>
  <si>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</si>
  <si>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</si>
  <si>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</si>
  <si>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</si>
  <si>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</si>
  <si>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</si>
  <si>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</si>
  <si>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</si>
  <si>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</si>
  <si>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</si>
  <si>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</si>
  <si>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</si>
  <si>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</si>
  <si>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</si>
  <si>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</si>
  <si>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</si>
  <si>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</si>
  <si>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</si>
  <si>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</si>
  <si>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</si>
  <si>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</si>
  <si>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</si>
  <si>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</si>
  <si>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</si>
  <si>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</si>
  <si>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</si>
  <si>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</si>
  <si>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</si>
  <si>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</si>
  <si>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</si>
  <si>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</si>
  <si>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</si>
  <si>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</si>
  <si>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</si>
  <si>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</si>
  <si>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</si>
  <si>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</si>
  <si>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</si>
  <si>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</si>
  <si>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</si>
  <si>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</si>
  <si>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</si>
  <si>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</si>
  <si>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</si>
  <si>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</si>
  <si>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</si>
  <si>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</si>
  <si>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</si>
  <si>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</si>
  <si>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</si>
  <si>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</si>
  <si>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</si>
  <si>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</si>
  <si>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</si>
  <si>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</si>
  <si>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</si>
  <si>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</si>
  <si>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</si>
  <si>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</si>
  <si>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</si>
  <si>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</si>
  <si>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</si>
  <si>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</si>
  <si>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</si>
  <si>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</si>
  <si>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</si>
  <si>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</si>
  <si>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</si>
  <si>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</si>
  <si>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</si>
  <si>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</si>
  <si>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</si>
  <si>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</si>
  <si>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</si>
  <si>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</si>
  <si>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</si>
  <si>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</si>
  <si>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</si>
  <si>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</si>
  <si>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</si>
  <si>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</si>
  <si>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</si>
  <si>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</si>
  <si>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</si>
  <si>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</si>
  <si>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</si>
  <si>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</si>
  <si>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</si>
  <si>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</si>
  <si>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</si>
  <si>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</si>
  <si>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</si>
  <si>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</si>
  <si>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</si>
  <si>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</si>
  <si>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</si>
  <si>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</si>
  <si>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</si>
  <si>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</si>
  <si>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</si>
  <si>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</si>
  <si>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</si>
  <si>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</si>
  <si>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</si>
  <si>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</si>
  <si>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</si>
  <si>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</si>
  <si>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</si>
  <si>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</si>
  <si>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</si>
  <si>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</si>
  <si>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</si>
  <si>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</si>
  <si>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</si>
  <si>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</si>
  <si>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</si>
  <si>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</si>
  <si>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</si>
  <si>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</si>
  <si>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</si>
  <si>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</si>
  <si>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</si>
  <si>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</si>
  <si>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</si>
  <si>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</si>
  <si>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</si>
  <si>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</si>
  <si>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</si>
  <si>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</si>
  <si>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</si>
  <si>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</si>
  <si>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</si>
  <si>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</si>
  <si>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</si>
  <si>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</si>
  <si>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</si>
  <si>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</si>
  <si>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</si>
  <si>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</si>
  <si>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</si>
  <si>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</si>
  <si>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</si>
  <si>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</si>
  <si>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</si>
  <si>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</si>
  <si>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</si>
  <si>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</si>
  <si>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</si>
  <si>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</si>
  <si>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</si>
  <si>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</si>
  <si>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</si>
  <si>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</si>
  <si>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</si>
  <si>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</si>
  <si>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</si>
  <si>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</si>
  <si>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</si>
  <si>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</si>
  <si>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</si>
  <si>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</si>
  <si>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</si>
  <si>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</si>
  <si>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</si>
  <si>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</si>
  <si>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</si>
  <si>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</si>
  <si>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</si>
  <si>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</si>
  <si>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</si>
  <si>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</si>
  <si>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</si>
  <si>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</si>
  <si>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</si>
  <si>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</si>
  <si>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</si>
  <si>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</si>
  <si>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</si>
  <si>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</si>
  <si>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</si>
  <si>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</si>
  <si>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</si>
  <si>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</si>
  <si>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</si>
  <si>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</si>
  <si>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</si>
  <si>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</si>
  <si>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</si>
  <si>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</si>
  <si>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</si>
  <si>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</si>
  <si>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</si>
  <si>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</si>
  <si>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</si>
  <si>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</si>
  <si>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</si>
  <si>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</si>
  <si>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</si>
  <si>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</si>
  <si>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</si>
  <si>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</si>
  <si>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</si>
  <si>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</si>
  <si>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</si>
  <si>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</si>
  <si>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</si>
  <si>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</si>
  <si>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</si>
  <si>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</si>
  <si>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</si>
  <si>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</si>
  <si>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</si>
  <si>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</si>
  <si>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</si>
  <si>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</si>
  <si>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</si>
  <si>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</si>
  <si>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</si>
  <si>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</si>
  <si>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</si>
  <si>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</si>
  <si>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</si>
  <si>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</si>
  <si>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</si>
  <si>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</si>
  <si>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</si>
  <si>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</si>
  <si>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</si>
  <si>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</si>
  <si>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</si>
  <si>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</si>
  <si>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</si>
  <si>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</si>
  <si>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</si>
  <si>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</si>
  <si>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</si>
  <si>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</si>
  <si>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</si>
  <si>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</si>
  <si>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</si>
  <si>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</si>
  <si>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</si>
  <si>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</si>
  <si>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</si>
  <si>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</si>
  <si>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</si>
  <si>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</si>
  <si>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</si>
  <si>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</si>
  <si>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</si>
  <si>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</si>
  <si>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</si>
  <si>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</si>
  <si>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</si>
  <si>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</si>
  <si>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</si>
  <si>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</si>
  <si>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</si>
  <si>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</si>
  <si>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</si>
  <si>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</si>
  <si>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</si>
  <si>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</si>
  <si>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</si>
  <si>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</si>
  <si>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</si>
  <si>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</si>
  <si>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</si>
  <si>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</si>
  <si>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</si>
  <si>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</si>
  <si>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</si>
  <si>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</si>
  <si>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</si>
  <si>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</si>
  <si>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</si>
  <si>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</si>
  <si>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</si>
  <si>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</si>
  <si>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</si>
  <si>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</si>
  <si>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</si>
  <si>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</si>
  <si>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</si>
  <si>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</si>
  <si>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</si>
  <si>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</si>
  <si>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</si>
  <si>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</si>
  <si>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</si>
  <si>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</si>
  <si>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</si>
  <si>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</si>
  <si>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</si>
  <si>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</si>
  <si>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</si>
  <si>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</si>
  <si>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</si>
  <si>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</si>
  <si>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</si>
  <si>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</si>
  <si>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</si>
  <si>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</si>
  <si>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</si>
  <si>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</si>
  <si>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</si>
  <si>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</si>
  <si>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</si>
  <si>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</si>
  <si>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</si>
  <si>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</si>
  <si>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</si>
  <si>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</si>
  <si>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</si>
  <si>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</si>
  <si>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</si>
  <si>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</si>
  <si>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</si>
  <si>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</si>
  <si>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</si>
  <si>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</si>
  <si>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</si>
  <si>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</si>
  <si>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</si>
  <si>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</si>
  <si>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</si>
  <si>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</si>
  <si>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</si>
  <si>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</si>
  <si>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</si>
  <si>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</si>
  <si>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</si>
  <si>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</si>
  <si>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</si>
  <si>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</si>
  <si>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</si>
  <si>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</si>
  <si>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</si>
  <si>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</si>
  <si>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</si>
  <si>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</si>
  <si>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</si>
  <si>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</si>
  <si>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</si>
  <si>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</si>
  <si>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</si>
  <si>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</si>
  <si>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</si>
  <si>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</si>
  <si>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</si>
  <si>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</si>
  <si>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</si>
  <si>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</si>
  <si>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</si>
  <si>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</si>
  <si>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</si>
  <si>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</si>
  <si>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</si>
  <si>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</si>
  <si>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</si>
  <si>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</si>
  <si>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</si>
  <si>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</si>
  <si>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</si>
  <si>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</si>
  <si>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</si>
  <si>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</si>
  <si>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</si>
  <si>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</si>
  <si>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</si>
  <si>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</si>
  <si>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</si>
  <si>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</si>
  <si>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</si>
  <si>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</si>
  <si>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</si>
  <si>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</si>
  <si>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</si>
  <si>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</si>
  <si>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</si>
  <si>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</si>
  <si>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</si>
  <si>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</si>
  <si>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</si>
  <si>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</si>
  <si>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</si>
  <si>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</si>
  <si>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</si>
  <si>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</si>
  <si>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</si>
  <si>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</si>
  <si>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</si>
  <si>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</si>
  <si>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</si>
  <si>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</si>
  <si>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</si>
  <si>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</si>
  <si>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</si>
  <si>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</si>
  <si>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</si>
  <si>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</si>
  <si>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</si>
  <si>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</si>
  <si>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</si>
  <si>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</si>
  <si>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</si>
  <si>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</si>
  <si>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</si>
  <si>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</si>
  <si>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</si>
  <si>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</si>
  <si>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</si>
  <si>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</si>
  <si>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</si>
  <si>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</si>
  <si>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</si>
  <si>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</si>
  <si>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</si>
  <si>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</si>
  <si>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</si>
  <si>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</si>
  <si>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</si>
  <si>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</si>
  <si>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</si>
  <si>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</si>
  <si>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</si>
  <si>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</si>
  <si>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</si>
  <si>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</si>
  <si>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</si>
  <si>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</si>
  <si>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</si>
  <si>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</si>
  <si>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</si>
  <si>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</si>
  <si>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</si>
  <si>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</si>
  <si>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</si>
  <si>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</si>
  <si>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</si>
  <si>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</si>
  <si>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</si>
  <si>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</si>
  <si>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</si>
  <si>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</si>
  <si>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</si>
  <si>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</si>
  <si>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</si>
  <si>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</si>
  <si>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</si>
  <si>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</si>
  <si>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</si>
  <si>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</si>
  <si>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</si>
  <si>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</si>
  <si>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</si>
  <si>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</si>
  <si>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</si>
  <si>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</si>
  <si>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</si>
  <si>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</si>
  <si>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</si>
  <si>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</si>
  <si>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</si>
  <si>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</si>
  <si>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</si>
  <si>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</si>
  <si>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</si>
  <si>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</si>
  <si>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</si>
  <si>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</si>
  <si>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</si>
  <si>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</si>
  <si>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</si>
  <si>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</si>
  <si>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</si>
  <si>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</si>
  <si>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</si>
  <si>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</si>
  <si>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</si>
  <si>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</si>
  <si>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</si>
  <si>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</si>
  <si>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</si>
  <si>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</si>
  <si>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</si>
  <si>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</si>
  <si>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</si>
  <si>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</si>
  <si>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</si>
  <si>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</si>
  <si>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</si>
  <si>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</si>
  <si>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</si>
  <si>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</si>
  <si>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</si>
  <si>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</si>
  <si>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</si>
  <si>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</si>
  <si>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</si>
  <si>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</si>
  <si>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</si>
  <si>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</si>
  <si>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</si>
  <si>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</si>
  <si>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</si>
  <si>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</si>
  <si>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</si>
  <si>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</si>
  <si>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</si>
  <si>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</si>
  <si>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</si>
  <si>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</si>
  <si>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</si>
  <si>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</si>
  <si>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</si>
  <si>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</si>
  <si>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</si>
  <si>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</si>
  <si>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</si>
  <si>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</si>
  <si>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</si>
  <si>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</si>
  <si>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</si>
  <si>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</si>
  <si>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</si>
  <si>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</si>
  <si>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</si>
  <si>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</si>
  <si>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</si>
  <si>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</si>
  <si>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</si>
  <si>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</si>
  <si>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</si>
  <si>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</si>
  <si>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</si>
  <si>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</si>
  <si>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</si>
  <si>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</si>
  <si>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</si>
  <si>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</si>
  <si>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</si>
  <si>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</si>
  <si>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</si>
  <si>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</si>
  <si>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</si>
  <si>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</si>
  <si>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</si>
  <si>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</si>
  <si>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</si>
  <si>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</si>
  <si>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</si>
  <si>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</si>
  <si>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</si>
  <si>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</si>
  <si>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</si>
  <si>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</si>
  <si>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</si>
  <si>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</si>
  <si>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</si>
  <si>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</si>
  <si>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</si>
  <si>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</si>
  <si>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</si>
  <si>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</si>
  <si>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</si>
  <si>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</si>
  <si>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</si>
  <si>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</si>
  <si>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</si>
  <si>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</si>
  <si>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</si>
  <si>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</si>
  <si>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</si>
  <si>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</si>
  <si>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</si>
  <si>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</si>
  <si>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</si>
  <si>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</si>
  <si>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</si>
  <si>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</si>
  <si>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</si>
  <si>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</si>
  <si>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</si>
  <si>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</si>
  <si>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</si>
  <si>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</si>
  <si>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</si>
  <si>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</si>
  <si>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</si>
  <si>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</si>
  <si>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</si>
  <si>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</si>
  <si>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</si>
  <si>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</si>
  <si>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</si>
  <si>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</si>
  <si>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</si>
  <si>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</si>
  <si>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</si>
  <si>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</si>
  <si>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</si>
  <si>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</si>
  <si>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</si>
  <si>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</si>
  <si>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</si>
  <si>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</si>
  <si>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</si>
  <si>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</si>
  <si>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</si>
  <si>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</si>
  <si>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</si>
  <si>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</si>
  <si>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</si>
  <si>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</si>
  <si>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</si>
  <si>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</si>
  <si>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</si>
  <si>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</si>
  <si>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</si>
  <si>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</si>
  <si>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</si>
  <si>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</si>
  <si>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</si>
  <si>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</si>
  <si>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</si>
  <si>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</si>
  <si>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</si>
  <si>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</si>
  <si>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</si>
  <si>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</si>
  <si>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</si>
  <si>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</si>
  <si>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</si>
  <si>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</si>
  <si>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</si>
  <si>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</si>
  <si>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</si>
  <si>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</si>
  <si>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</si>
  <si>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</si>
  <si>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</si>
  <si>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</si>
  <si>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</si>
  <si>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</si>
  <si>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</si>
  <si>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</si>
  <si>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</si>
  <si>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</si>
  <si>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</si>
  <si>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</si>
  <si>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</si>
  <si>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</si>
  <si>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</si>
  <si>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</si>
  <si>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</si>
  <si>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</si>
  <si>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</si>
  <si>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</si>
  <si>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</si>
  <si>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</si>
  <si>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</si>
  <si>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</si>
  <si>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</si>
  <si>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</si>
  <si>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</si>
  <si>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</si>
  <si>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</si>
  <si>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</si>
  <si>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</si>
  <si>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</si>
  <si>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</si>
  <si>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</si>
  <si>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</si>
  <si>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</si>
  <si>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</si>
  <si>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</si>
  <si>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</si>
  <si>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</si>
  <si>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</si>
  <si>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</si>
  <si>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</si>
  <si>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</si>
  <si>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</si>
  <si>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</si>
  <si>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</si>
  <si>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</si>
  <si>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</si>
  <si>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</si>
  <si>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</si>
  <si>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</si>
  <si>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</si>
  <si>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</si>
  <si>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</si>
  <si>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</si>
  <si>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</si>
  <si>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</si>
  <si>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</si>
  <si>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</si>
  <si>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</si>
  <si>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</si>
  <si>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</si>
  <si>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</si>
  <si>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</si>
  <si>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</si>
  <si>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</si>
  <si>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</si>
  <si>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</si>
  <si>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LASALLE</t>
  </si>
  <si>
    <t>315 W. THIRD ST.</t>
  </si>
  <si>
    <t>LOSTANT</t>
  </si>
  <si>
    <t>smalahy@lostant.k12il.us</t>
  </si>
  <si>
    <t>SANDRA MALAHY</t>
  </si>
  <si>
    <t>815-368-3392</t>
  </si>
  <si>
    <t>815-368-3132</t>
  </si>
  <si>
    <t>HOPKINS &amp; ASSOCIATES, CPA'S, INC.</t>
  </si>
  <si>
    <t>JOEL HOPKINS</t>
  </si>
  <si>
    <t>314 S. MCCOY ST.</t>
  </si>
  <si>
    <t>GRANVILLE</t>
  </si>
  <si>
    <t>IL</t>
  </si>
  <si>
    <t>815-339-6630</t>
  </si>
  <si>
    <t>815-339-6643</t>
  </si>
  <si>
    <t>066-004501</t>
  </si>
  <si>
    <t>joelhopkins@msn.com</t>
  </si>
  <si>
    <t>X</t>
  </si>
  <si>
    <t>GASB 75 Omission</t>
  </si>
  <si>
    <t>Hopkins &amp; Associates, CPAs</t>
  </si>
  <si>
    <t>2007 Life Safety Issue</t>
  </si>
  <si>
    <t>2016 Working Cash Bonds</t>
  </si>
  <si>
    <t>ISBE School Technology Loan</t>
  </si>
  <si>
    <t>2017 Life Safety Issue</t>
  </si>
  <si>
    <t>Speech and Social Work Services with other schools</t>
  </si>
  <si>
    <t>L.E.A.S.E.</t>
  </si>
  <si>
    <t>O&amp;M - Oper &amp; Maint. Of Plant Services - Purch. Svcs.</t>
  </si>
  <si>
    <t>20-2540-300</t>
  </si>
  <si>
    <t>IL Valley Waste Services (Garbage)</t>
  </si>
  <si>
    <t>Republic Services (Garbage)</t>
  </si>
  <si>
    <t>Kendrick Pest Control (Pest Control)</t>
  </si>
  <si>
    <t>Aramark (Laundry)</t>
  </si>
  <si>
    <t>Frontier (Phone)</t>
  </si>
  <si>
    <t>H.I. Cable LLC (Internet)</t>
  </si>
  <si>
    <t>Village of Lostant (Water)</t>
  </si>
  <si>
    <t>10-1999 - Ed Fund - Other Local Rev - $16,006 - Reimb for Cobra Ins, Teacher Tuition Reimb, Insurance Claim</t>
  </si>
  <si>
    <t>20-1999 - O&amp;M Fund - Other Local Rev - $907 - Insurance Claim</t>
  </si>
  <si>
    <t>40-1999 - Transp Fund - Other Local Rev - $120 - Career Expo Reimb</t>
  </si>
  <si>
    <t>10-2190-300 - Other Support Svcs - Pupil - $6,063 - Private O.T. Services for Student</t>
  </si>
  <si>
    <t>10-2900-300 - Other Support Svcs - $4,844 - Technology Service - Repairs/Maint/Consulting</t>
  </si>
  <si>
    <t>30-5400-600 - Debt Service - Other - $1,000 - Bond Fees</t>
  </si>
  <si>
    <t>ISBE Loan</t>
  </si>
  <si>
    <t>Lostant CUSD 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</si>
</sst>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D6DFB3F6-F3A9-489E-9196-933589050AC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t="s">
        <v>2077</v>
      </c>
      <c r="C5" s="26" t="s">
        <v>966</v>
      </c>
      <c r="D5" s="84"/>
      <c r="E5" s="84"/>
      <c r="H5" s="38"/>
      <c r="I5" s="2041" t="s">
        <v>701</v>
      </c>
      <c r="J5" s="1986"/>
      <c r="K5" s="1986"/>
      <c r="L5" s="1986"/>
      <c r="M5" s="1986"/>
      <c r="N5" s="1986"/>
      <c r="O5" s="1986"/>
      <c r="P5" s="1986"/>
      <c r="Q5" s="1986"/>
      <c r="R5" s="1986"/>
      <c r="S5" s="1986"/>
    </row>
    <row r="6" spans="1:28" ht="14.1" customHeight="1" x14ac:dyDescent="0.2">
      <c r="B6" s="104"/>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t="s">
        <v>2077</v>
      </c>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2">
        <v>35050425026</v>
      </c>
      <c r="B13" s="2003"/>
      <c r="C13" s="2003"/>
      <c r="D13" s="2003"/>
      <c r="E13" s="2003"/>
      <c r="F13" s="2003"/>
      <c r="G13" s="2003"/>
      <c r="H13" s="2004"/>
      <c r="I13" s="31"/>
      <c r="J13" s="30"/>
      <c r="K13" s="28"/>
      <c r="L13" s="30"/>
      <c r="M13" s="30"/>
      <c r="N13" s="30"/>
      <c r="O13" s="30"/>
      <c r="P13" s="30"/>
      <c r="Q13" s="30"/>
      <c r="R13" s="30"/>
      <c r="S13" s="30"/>
      <c r="T13" s="2007" t="s">
        <v>2085</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2078</v>
      </c>
      <c r="B15" s="2005"/>
      <c r="C15" s="2005"/>
      <c r="D15" s="2005"/>
      <c r="E15" s="2005"/>
      <c r="F15" s="2005"/>
      <c r="G15" s="2005"/>
      <c r="H15" s="2006"/>
      <c r="T15" s="1968" t="s">
        <v>2086</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2119</v>
      </c>
      <c r="B17" s="2030"/>
      <c r="C17" s="2030"/>
      <c r="D17" s="2030"/>
      <c r="E17" s="2030"/>
      <c r="F17" s="2030"/>
      <c r="G17" s="2030"/>
      <c r="H17" s="2031"/>
      <c r="T17" s="2017" t="s">
        <v>2087</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2079</v>
      </c>
      <c r="B19" s="2001"/>
      <c r="C19" s="2001"/>
      <c r="D19" s="2001"/>
      <c r="E19" s="2001"/>
      <c r="F19" s="2001"/>
      <c r="G19" s="2001"/>
      <c r="H19" s="1999"/>
      <c r="I19" s="30"/>
      <c r="J19" s="99"/>
      <c r="K19" s="40"/>
      <c r="L19" s="38"/>
      <c r="M19" s="112" t="s">
        <v>333</v>
      </c>
      <c r="P19" s="27"/>
      <c r="Q19" s="27"/>
      <c r="R19" s="27"/>
      <c r="S19" s="31"/>
      <c r="T19" s="2000" t="s">
        <v>2088</v>
      </c>
      <c r="U19" s="1998"/>
      <c r="V19" s="1998"/>
      <c r="W19" s="1999"/>
      <c r="X19" s="2015" t="s">
        <v>2089</v>
      </c>
      <c r="Y19" s="2016"/>
      <c r="Z19" s="2013">
        <v>61326</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2080</v>
      </c>
      <c r="B21" s="1998"/>
      <c r="C21" s="1998"/>
      <c r="D21" s="1998"/>
      <c r="E21" s="1998"/>
      <c r="F21" s="1998"/>
      <c r="G21" s="1998"/>
      <c r="H21" s="1999"/>
      <c r="I21" s="2023" t="s">
        <v>699</v>
      </c>
      <c r="J21" s="1986"/>
      <c r="K21" s="1986"/>
      <c r="L21" s="1986"/>
      <c r="M21" s="1986"/>
      <c r="N21" s="1986"/>
      <c r="O21" s="1986"/>
      <c r="P21" s="1986"/>
      <c r="Q21" s="1986"/>
      <c r="R21" s="1986"/>
      <c r="S21" s="1987"/>
      <c r="T21" s="1965" t="s">
        <v>2090</v>
      </c>
      <c r="U21" s="1966"/>
      <c r="V21" s="1966"/>
      <c r="W21" s="1966"/>
      <c r="X21" s="1979" t="s">
        <v>2091</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t="s">
        <v>2081</v>
      </c>
      <c r="B23" s="2021"/>
      <c r="C23" s="2021"/>
      <c r="D23" s="2021"/>
      <c r="E23" s="2021"/>
      <c r="F23" s="2021"/>
      <c r="G23" s="2021"/>
      <c r="H23" s="2022"/>
      <c r="T23" s="1960" t="s">
        <v>2092</v>
      </c>
      <c r="U23" s="1961"/>
      <c r="V23" s="1961"/>
      <c r="W23" s="1961"/>
      <c r="X23" s="1976">
        <v>43434</v>
      </c>
      <c r="Y23" s="1977"/>
      <c r="Z23" s="1977"/>
      <c r="AA23" s="1978"/>
    </row>
    <row r="24" spans="1:27" ht="14.1" customHeight="1" x14ac:dyDescent="0.2">
      <c r="A24" s="88" t="s">
        <v>698</v>
      </c>
      <c r="B24" s="49"/>
      <c r="C24" s="49"/>
      <c r="D24" s="49"/>
      <c r="E24" s="49"/>
      <c r="F24" s="49"/>
      <c r="G24" s="49"/>
      <c r="H24" s="61"/>
      <c r="J24" s="2062">
        <f>IF(B5="x",IF(AUDITCHECK!D29="AFR form Incomplete.","",IF(AUDITCHECK!D29="Deficit reduction plan is required.","School District must complete a deficit reduction plan in the 2018-2019 Budget",)),"")</f>
        <v>0</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v>61334</v>
      </c>
      <c r="B25" s="1998"/>
      <c r="C25" s="1998"/>
      <c r="D25" s="1998"/>
      <c r="E25" s="1998"/>
      <c r="F25" s="1998"/>
      <c r="G25" s="1998"/>
      <c r="H25" s="1999"/>
      <c r="I25" s="113"/>
      <c r="J25" s="2064"/>
      <c r="K25" s="2064"/>
      <c r="L25" s="2064"/>
      <c r="M25" s="2064"/>
      <c r="N25" s="2064"/>
      <c r="O25" s="2064"/>
      <c r="P25" s="2064"/>
      <c r="Q25" s="2064"/>
      <c r="R25" s="2064"/>
      <c r="S25" s="2065"/>
      <c r="T25" s="1957" t="s">
        <v>2093</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t="s">
        <v>2082</v>
      </c>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t="s">
        <v>2081</v>
      </c>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t="s">
        <v>2083</v>
      </c>
      <c r="B42" s="2047"/>
      <c r="C42" s="2048"/>
      <c r="D42" s="2061" t="s">
        <v>2084</v>
      </c>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997229</v>
      </c>
      <c r="C4" s="1546"/>
      <c r="D4" s="1774">
        <f>B4-C4</f>
        <v>997229</v>
      </c>
      <c r="E4" s="1546">
        <f>27437608*0.038</f>
        <v>1042629.1039999999</v>
      </c>
      <c r="F4" s="1774">
        <f>E4-C4</f>
        <v>1042629.1039999999</v>
      </c>
    </row>
    <row r="5" spans="1:6" ht="13.7" customHeight="1" x14ac:dyDescent="0.2">
      <c r="A5" s="716" t="s">
        <v>925</v>
      </c>
      <c r="B5" s="1772">
        <f>'Revenues 9-14'!D5</f>
        <v>131214</v>
      </c>
      <c r="C5" s="585"/>
      <c r="D5" s="1775">
        <f t="shared" ref="D5:D18" si="0">B5-C5</f>
        <v>131214</v>
      </c>
      <c r="E5" s="585">
        <f>27437608*0.005</f>
        <v>137188.04</v>
      </c>
      <c r="F5" s="1775">
        <f>E5-C5</f>
        <v>137188.04</v>
      </c>
    </row>
    <row r="6" spans="1:6" ht="13.7" customHeight="1" x14ac:dyDescent="0.2">
      <c r="A6" s="716" t="s">
        <v>431</v>
      </c>
      <c r="B6" s="1772">
        <f>'Revenues 9-14'!E5</f>
        <v>132298</v>
      </c>
      <c r="C6" s="585"/>
      <c r="D6" s="1775">
        <f t="shared" si="0"/>
        <v>132298</v>
      </c>
      <c r="E6" s="585">
        <f>27437608*0.0065472</f>
        <v>179639.5070976</v>
      </c>
      <c r="F6" s="1775">
        <f t="shared" ref="F6:F18" si="1">E6-C6</f>
        <v>179639.5070976</v>
      </c>
    </row>
    <row r="7" spans="1:6" ht="13.7" customHeight="1" x14ac:dyDescent="0.2">
      <c r="A7" s="716" t="s">
        <v>157</v>
      </c>
      <c r="B7" s="1772">
        <f>'Revenues 9-14'!F5</f>
        <v>62983</v>
      </c>
      <c r="C7" s="585"/>
      <c r="D7" s="1775">
        <f t="shared" si="0"/>
        <v>62983</v>
      </c>
      <c r="E7" s="585">
        <f>27437608*0.0024</f>
        <v>65850.2592</v>
      </c>
      <c r="F7" s="1775">
        <f t="shared" si="1"/>
        <v>65850.2592</v>
      </c>
    </row>
    <row r="8" spans="1:6" ht="13.7" customHeight="1" x14ac:dyDescent="0.2">
      <c r="A8" s="716" t="s">
        <v>1241</v>
      </c>
      <c r="B8" s="1772">
        <f>'Revenues 9-14'!G5</f>
        <v>14132</v>
      </c>
      <c r="C8" s="585"/>
      <c r="D8" s="1775">
        <f t="shared" si="0"/>
        <v>14132</v>
      </c>
      <c r="E8" s="585">
        <f>27437608*0.0005285</f>
        <v>14500.775828</v>
      </c>
      <c r="F8" s="1775">
        <f t="shared" si="1"/>
        <v>14500.775828</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13121</v>
      </c>
      <c r="C10" s="585"/>
      <c r="D10" s="1775">
        <f t="shared" si="0"/>
        <v>13121</v>
      </c>
      <c r="E10" s="585">
        <f>27437608*0.0005</f>
        <v>13718.804</v>
      </c>
      <c r="F10" s="1775">
        <f t="shared" si="1"/>
        <v>13718.804</v>
      </c>
    </row>
    <row r="11" spans="1:6" x14ac:dyDescent="0.2">
      <c r="A11" s="716" t="s">
        <v>429</v>
      </c>
      <c r="B11" s="1772">
        <f>'Revenues 9-14'!J5</f>
        <v>172927</v>
      </c>
      <c r="C11" s="585"/>
      <c r="D11" s="1775">
        <f t="shared" si="0"/>
        <v>172927</v>
      </c>
      <c r="E11" s="585">
        <f>27437608*0.0056419</f>
        <v>154800.2405752</v>
      </c>
      <c r="F11" s="1775">
        <f t="shared" si="1"/>
        <v>154800.2405752</v>
      </c>
    </row>
    <row r="12" spans="1:6" ht="13.7" customHeight="1" x14ac:dyDescent="0.2">
      <c r="A12" s="716" t="s">
        <v>159</v>
      </c>
      <c r="B12" s="1772">
        <f>'Revenues 9-14'!K5</f>
        <v>13452</v>
      </c>
      <c r="C12" s="585"/>
      <c r="D12" s="1775">
        <f t="shared" si="0"/>
        <v>13452</v>
      </c>
      <c r="E12" s="585">
        <f>27437608*0.001</f>
        <v>27437.608</v>
      </c>
      <c r="F12" s="1775">
        <f t="shared" si="1"/>
        <v>27437.608</v>
      </c>
    </row>
    <row r="13" spans="1:6" ht="13.7" customHeight="1" x14ac:dyDescent="0.2">
      <c r="A13" s="716" t="s">
        <v>993</v>
      </c>
      <c r="B13" s="1772">
        <f>SUM('Revenues 9-14'!C6:D6)</f>
        <v>13121</v>
      </c>
      <c r="C13" s="585"/>
      <c r="D13" s="1775">
        <f t="shared" si="0"/>
        <v>13121</v>
      </c>
      <c r="E13" s="585">
        <f>27437608*0.0005</f>
        <v>13718.804</v>
      </c>
      <c r="F13" s="1775">
        <f t="shared" si="1"/>
        <v>13718.804</v>
      </c>
    </row>
    <row r="14" spans="1:6" ht="13.7" customHeight="1" x14ac:dyDescent="0.2">
      <c r="A14" s="716" t="s">
        <v>430</v>
      </c>
      <c r="B14" s="1772">
        <f>SUM('Revenues 9-14'!C7:D7,'Revenues 9-14'!F7:H7)</f>
        <v>10497</v>
      </c>
      <c r="C14" s="585"/>
      <c r="D14" s="1775">
        <f t="shared" si="0"/>
        <v>10497</v>
      </c>
      <c r="E14" s="585">
        <f>27437608*0.0004</f>
        <v>10975.0432</v>
      </c>
      <c r="F14" s="1775">
        <f t="shared" si="1"/>
        <v>10975.0432</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12114</v>
      </c>
      <c r="C16" s="585"/>
      <c r="D16" s="1775">
        <f t="shared" si="0"/>
        <v>12114</v>
      </c>
      <c r="E16" s="585">
        <f>27437608*0.0004739</f>
        <v>13002.682431200001</v>
      </c>
      <c r="F16" s="1775">
        <f t="shared" si="1"/>
        <v>13002.682431200001</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1573088</v>
      </c>
      <c r="C19" s="1773">
        <f>SUM(C4:C18)</f>
        <v>0</v>
      </c>
      <c r="D19" s="1773">
        <f>SUM(D4:D18)</f>
        <v>1573088</v>
      </c>
      <c r="E19" s="1773">
        <f>SUM(E4:E18)</f>
        <v>1673460.8683319998</v>
      </c>
      <c r="F19" s="1773">
        <f>SUM(F4:F18)</f>
        <v>1673460.8683319998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1" colorId="8" zoomScale="110" zoomScaleNormal="110" workbookViewId="0">
      <selection activeCell="F53" sqref="F53:G5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2038</v>
      </c>
      <c r="D2" s="724" t="s">
        <v>2045</v>
      </c>
      <c r="E2" s="724" t="s">
        <v>2046</v>
      </c>
      <c r="F2" s="1909" t="s">
        <v>2039</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2097</v>
      </c>
      <c r="B31" s="734">
        <v>39203</v>
      </c>
      <c r="C31" s="735">
        <v>415000</v>
      </c>
      <c r="D31" s="736">
        <v>4</v>
      </c>
      <c r="E31" s="735">
        <v>55000</v>
      </c>
      <c r="F31" s="735"/>
      <c r="G31" s="735"/>
      <c r="H31" s="735">
        <v>55000</v>
      </c>
      <c r="I31" s="1778">
        <f>((E31+F31)-H31)+G31</f>
        <v>0</v>
      </c>
      <c r="J31" s="735"/>
      <c r="K31" s="737"/>
    </row>
    <row r="32" spans="1:11" ht="12" customHeight="1" x14ac:dyDescent="0.2">
      <c r="A32" s="733" t="s">
        <v>2098</v>
      </c>
      <c r="B32" s="734">
        <v>42466</v>
      </c>
      <c r="C32" s="735">
        <v>300000</v>
      </c>
      <c r="D32" s="736">
        <v>1</v>
      </c>
      <c r="E32" s="735">
        <v>300000</v>
      </c>
      <c r="F32" s="735"/>
      <c r="G32" s="735"/>
      <c r="H32" s="735">
        <v>50000</v>
      </c>
      <c r="I32" s="1778">
        <f>((E32+F32)-H32)+G32</f>
        <v>250000</v>
      </c>
      <c r="J32" s="735">
        <v>227920</v>
      </c>
      <c r="K32" s="737"/>
    </row>
    <row r="33" spans="1:11" ht="12" customHeight="1" x14ac:dyDescent="0.2">
      <c r="A33" s="733" t="s">
        <v>2099</v>
      </c>
      <c r="B33" s="734">
        <v>42423</v>
      </c>
      <c r="C33" s="735">
        <v>19643</v>
      </c>
      <c r="D33" s="736">
        <v>7</v>
      </c>
      <c r="E33" s="735">
        <v>9923</v>
      </c>
      <c r="F33" s="735"/>
      <c r="G33" s="735"/>
      <c r="H33" s="735">
        <v>6582</v>
      </c>
      <c r="I33" s="1778">
        <f t="shared" ref="I33:I48" si="1">((E33+F33)-H33)+G33</f>
        <v>3341</v>
      </c>
      <c r="J33" s="735">
        <v>3341</v>
      </c>
      <c r="K33" s="737"/>
    </row>
    <row r="34" spans="1:11" ht="12" customHeight="1" x14ac:dyDescent="0.2">
      <c r="A34" s="733" t="s">
        <v>2100</v>
      </c>
      <c r="B34" s="734">
        <v>42929</v>
      </c>
      <c r="C34" s="735">
        <v>1260000</v>
      </c>
      <c r="D34" s="736">
        <v>4</v>
      </c>
      <c r="E34" s="735"/>
      <c r="F34" s="735">
        <v>1260000</v>
      </c>
      <c r="G34" s="735"/>
      <c r="H34" s="735"/>
      <c r="I34" s="1778">
        <f t="shared" si="1"/>
        <v>1260000</v>
      </c>
      <c r="J34" s="735">
        <v>1260000</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1994643</v>
      </c>
      <c r="D49" s="746"/>
      <c r="E49" s="1778">
        <f t="shared" ref="E49:J49" si="2">SUM(E31:E48)</f>
        <v>364923</v>
      </c>
      <c r="F49" s="1778">
        <f t="shared" si="2"/>
        <v>1260000</v>
      </c>
      <c r="G49" s="1778">
        <f t="shared" si="2"/>
        <v>0</v>
      </c>
      <c r="H49" s="1778">
        <f t="shared" si="2"/>
        <v>111582</v>
      </c>
      <c r="I49" s="1778">
        <f t="shared" si="2"/>
        <v>1513341</v>
      </c>
      <c r="J49" s="1778">
        <f t="shared" si="2"/>
        <v>1491261</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t="s">
        <v>2118</v>
      </c>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10497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10497</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10497</v>
      </c>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10497</v>
      </c>
      <c r="I23" s="1780">
        <f>SUM(I14:I16,I21,I22)</f>
        <v>0</v>
      </c>
      <c r="J23" s="1780">
        <f>SUM(J14:J16,J21,J22)</f>
        <v>0</v>
      </c>
      <c r="K23" s="1780">
        <f>SUM(K14:K16,K21,K22)</f>
        <v>0</v>
      </c>
    </row>
    <row r="24" spans="1:11" ht="14.25" thickTop="1" thickBot="1" x14ac:dyDescent="0.25">
      <c r="A24" s="2253" t="s">
        <v>2026</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24650</v>
      </c>
      <c r="D5" s="842"/>
      <c r="E5" s="842"/>
      <c r="F5" s="1782">
        <f>(C5+D5)-E5</f>
        <v>24650</v>
      </c>
      <c r="G5" s="838"/>
      <c r="H5" s="843"/>
      <c r="I5" s="843"/>
      <c r="J5" s="843"/>
      <c r="K5" s="794"/>
      <c r="L5" s="1791">
        <f>F5-K5</f>
        <v>24650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2493738</v>
      </c>
      <c r="D8" s="845">
        <v>1338226</v>
      </c>
      <c r="E8" s="845"/>
      <c r="F8" s="1782">
        <f>(C8+D8)-E8</f>
        <v>3831964</v>
      </c>
      <c r="G8" s="844">
        <v>50</v>
      </c>
      <c r="H8" s="766">
        <v>1388253</v>
      </c>
      <c r="I8" s="766">
        <v>48291</v>
      </c>
      <c r="J8" s="766"/>
      <c r="K8" s="1791">
        <f>(H8+I8)-J8</f>
        <v>1436544</v>
      </c>
      <c r="L8" s="1791">
        <f>F8-K8</f>
        <v>2395420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19238</v>
      </c>
      <c r="D10" s="847"/>
      <c r="E10" s="847"/>
      <c r="F10" s="1786">
        <f>(C10+D10)-E10</f>
        <v>19238</v>
      </c>
      <c r="G10" s="844">
        <v>20</v>
      </c>
      <c r="H10" s="848">
        <v>19238</v>
      </c>
      <c r="I10" s="848"/>
      <c r="J10" s="848"/>
      <c r="K10" s="1791">
        <f>(H10+I10)-J10</f>
        <v>19238</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218593</v>
      </c>
      <c r="D12" s="845">
        <f>2186+4095</f>
        <v>6281</v>
      </c>
      <c r="E12" s="845"/>
      <c r="F12" s="1782">
        <f>(C12+D12)-E12</f>
        <v>224874</v>
      </c>
      <c r="G12" s="844">
        <v>10</v>
      </c>
      <c r="H12" s="766">
        <v>213525</v>
      </c>
      <c r="I12" s="766">
        <f>5833+64+319+482+156+293</f>
        <v>7147</v>
      </c>
      <c r="J12" s="766"/>
      <c r="K12" s="1791">
        <f>(H12+I12)-J12</f>
        <v>220672</v>
      </c>
      <c r="L12" s="1791">
        <f>F12-K12</f>
        <v>4202</v>
      </c>
    </row>
    <row r="13" spans="1:14" ht="14.25" thickTop="1" thickBot="1" x14ac:dyDescent="0.25">
      <c r="A13" s="849" t="s">
        <v>1184</v>
      </c>
      <c r="B13" s="841">
        <v>252</v>
      </c>
      <c r="C13" s="845">
        <v>134753</v>
      </c>
      <c r="D13" s="845"/>
      <c r="E13" s="845"/>
      <c r="F13" s="1782">
        <f>(C13+D13)-E13</f>
        <v>134753</v>
      </c>
      <c r="G13" s="844">
        <v>5</v>
      </c>
      <c r="H13" s="766">
        <v>103595</v>
      </c>
      <c r="I13" s="766">
        <v>10922</v>
      </c>
      <c r="J13" s="766"/>
      <c r="K13" s="1791">
        <f>(H13+I13)-J13</f>
        <v>114517</v>
      </c>
      <c r="L13" s="1791">
        <f>F13-K13</f>
        <v>20236</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2890972</v>
      </c>
      <c r="D16" s="1782">
        <f>SUM(D3,D5:D6,D8:D10,D12:D15)</f>
        <v>1344507</v>
      </c>
      <c r="E16" s="1782">
        <f>SUM(E3,E5:E6,E8:E10,E12:E15)</f>
        <v>0</v>
      </c>
      <c r="F16" s="1782">
        <f>SUM(F3,F5:F6,F8:F10,F12:F15)</f>
        <v>4235479</v>
      </c>
      <c r="G16" s="844"/>
      <c r="H16" s="1782">
        <f>SUM(H3,H6,H8:H10,H12:H14,)</f>
        <v>1724611</v>
      </c>
      <c r="I16" s="1782">
        <f>SUM(I3,I6,I8:I10,I12:I14,)</f>
        <v>66360</v>
      </c>
      <c r="J16" s="1782">
        <f>SUM(J3,J6,J8:J10,J12:J14,)</f>
        <v>0</v>
      </c>
      <c r="K16" s="1782">
        <f>(H16+I16)-J16</f>
        <v>1790971</v>
      </c>
      <c r="L16" s="1782">
        <f>F16-K16</f>
        <v>2444508</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66360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9"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1238247</v>
      </c>
      <c r="G8" s="866"/>
    </row>
    <row r="9" spans="1:7" x14ac:dyDescent="0.2">
      <c r="A9" s="870" t="s">
        <v>480</v>
      </c>
      <c r="B9" s="871" t="s">
        <v>1989</v>
      </c>
      <c r="C9" s="872"/>
      <c r="D9" s="870" t="s">
        <v>522</v>
      </c>
      <c r="E9" s="869"/>
      <c r="F9" s="1935">
        <f>'Expenditures 15-22'!K151</f>
        <v>147040</v>
      </c>
      <c r="G9" s="873"/>
    </row>
    <row r="10" spans="1:7" x14ac:dyDescent="0.2">
      <c r="A10" s="870" t="s">
        <v>520</v>
      </c>
      <c r="B10" s="871" t="s">
        <v>1990</v>
      </c>
      <c r="C10" s="872"/>
      <c r="D10" s="870" t="s">
        <v>522</v>
      </c>
      <c r="E10" s="869"/>
      <c r="F10" s="1935">
        <f>'Expenditures 15-22'!K174</f>
        <v>138819</v>
      </c>
      <c r="G10" s="873"/>
    </row>
    <row r="11" spans="1:7" x14ac:dyDescent="0.2">
      <c r="A11" s="870" t="s">
        <v>481</v>
      </c>
      <c r="B11" s="871" t="s">
        <v>1991</v>
      </c>
      <c r="C11" s="872"/>
      <c r="D11" s="870" t="s">
        <v>522</v>
      </c>
      <c r="E11" s="869"/>
      <c r="F11" s="1935">
        <f>'Expenditures 15-22'!K210</f>
        <v>99970</v>
      </c>
      <c r="G11" s="873"/>
    </row>
    <row r="12" spans="1:7" x14ac:dyDescent="0.2">
      <c r="A12" s="870" t="s">
        <v>482</v>
      </c>
      <c r="B12" s="871" t="s">
        <v>1992</v>
      </c>
      <c r="C12" s="872"/>
      <c r="D12" s="870" t="s">
        <v>522</v>
      </c>
      <c r="E12" s="869"/>
      <c r="F12" s="1935">
        <f>'Expenditures 15-22'!K295</f>
        <v>23634</v>
      </c>
      <c r="G12" s="873"/>
    </row>
    <row r="13" spans="1:7" x14ac:dyDescent="0.2">
      <c r="A13" s="870" t="s">
        <v>108</v>
      </c>
      <c r="B13" s="871" t="s">
        <v>1993</v>
      </c>
      <c r="C13" s="872"/>
      <c r="D13" s="870" t="s">
        <v>522</v>
      </c>
      <c r="E13" s="869"/>
      <c r="F13" s="1935">
        <f>'Expenditures 15-22'!K342</f>
        <v>98806</v>
      </c>
      <c r="G13" s="874"/>
    </row>
    <row r="14" spans="1:7" ht="12" customHeight="1" thickBot="1" x14ac:dyDescent="0.25">
      <c r="A14" s="1792"/>
      <c r="B14" s="1793"/>
      <c r="C14" s="1794"/>
      <c r="D14" s="1795" t="s">
        <v>522</v>
      </c>
      <c r="E14" s="1796" t="s">
        <v>1015</v>
      </c>
      <c r="F14" s="1797">
        <f>SUM(F8:F13)</f>
        <v>1746516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27190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334</v>
      </c>
      <c r="G52" s="866"/>
    </row>
    <row r="53" spans="1:7" x14ac:dyDescent="0.2">
      <c r="A53" s="870" t="s">
        <v>479</v>
      </c>
      <c r="B53" s="870" t="s">
        <v>1551</v>
      </c>
      <c r="C53" s="890">
        <f>'Expenditures 15-22'!B102</f>
        <v>4000</v>
      </c>
      <c r="D53" s="889" t="str">
        <f>'Expenditures 15-22'!A102</f>
        <v>Total Payments to Other Govt Units</v>
      </c>
      <c r="E53" s="869"/>
      <c r="F53" s="1939">
        <f>'Expenditures 15-22'!K102</f>
        <v>441708</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6281</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111582</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30457</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617552</v>
      </c>
      <c r="G76" s="866"/>
    </row>
    <row r="77" spans="1:8" s="894" customFormat="1" ht="12" customHeight="1" thickTop="1" thickBot="1" x14ac:dyDescent="0.25">
      <c r="A77" s="1801"/>
      <c r="B77" s="1798"/>
      <c r="C77" s="1794"/>
      <c r="D77" s="1799" t="s">
        <v>2012</v>
      </c>
      <c r="E77" s="1796"/>
      <c r="F77" s="1802">
        <f>(F14-F76)</f>
        <v>1128964</v>
      </c>
      <c r="G77" s="870"/>
    </row>
    <row r="78" spans="1:8" s="894" customFormat="1" ht="12" customHeight="1" thickTop="1" x14ac:dyDescent="0.2">
      <c r="A78" s="1803"/>
      <c r="B78" s="1798"/>
      <c r="C78" s="1794"/>
      <c r="D78" s="1799" t="s">
        <v>2059</v>
      </c>
      <c r="E78" s="1796"/>
      <c r="F78" s="899">
        <v>51.38</v>
      </c>
      <c r="G78" s="900"/>
      <c r="H78" s="870"/>
    </row>
    <row r="79" spans="1:8" s="894" customFormat="1" ht="12" customHeight="1" thickBot="1" x14ac:dyDescent="0.25">
      <c r="A79" s="1804"/>
      <c r="B79" s="1798"/>
      <c r="C79" s="1794"/>
      <c r="D79" s="1799" t="s">
        <v>2013</v>
      </c>
      <c r="E79" s="1796" t="s">
        <v>1015</v>
      </c>
      <c r="F79" s="1805">
        <f>IF(F78&gt;0,F77/F78," Complete Line 78")</f>
        <v>21972.829894900737</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14171</v>
      </c>
      <c r="G94" s="913"/>
    </row>
    <row r="95" spans="1:7" x14ac:dyDescent="0.2">
      <c r="A95" s="909" t="s">
        <v>142</v>
      </c>
      <c r="B95" s="909" t="s">
        <v>177</v>
      </c>
      <c r="C95" s="911">
        <v>1700</v>
      </c>
      <c r="D95" s="919" t="str">
        <f>'Revenues 9-14'!A82</f>
        <v>Total District/School Activity Income</v>
      </c>
      <c r="E95" s="907"/>
      <c r="F95" s="1811">
        <f>SUM('Revenues 9-14'!C82,'Revenues 9-14'!D82)</f>
        <v>1644</v>
      </c>
      <c r="G95" s="913"/>
    </row>
    <row r="96" spans="1:7" x14ac:dyDescent="0.2">
      <c r="A96" s="909" t="s">
        <v>479</v>
      </c>
      <c r="B96" s="909" t="s">
        <v>178</v>
      </c>
      <c r="C96" s="911">
        <f>'Revenues 9-14'!B84</f>
        <v>1811</v>
      </c>
      <c r="D96" s="912" t="str">
        <f>'Revenues 9-14'!A84</f>
        <v>Rentals - Regular Textbooks</v>
      </c>
      <c r="E96" s="907"/>
      <c r="F96" s="1811">
        <f>'Revenues 9-14'!C84</f>
        <v>5518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54816</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59179</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317</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111537</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15038</v>
      </c>
      <c r="G128" s="931"/>
    </row>
    <row r="129" spans="1:7" x14ac:dyDescent="0.2">
      <c r="A129" s="928" t="s">
        <v>685</v>
      </c>
      <c r="B129" s="928" t="s">
        <v>803</v>
      </c>
      <c r="C129" s="933">
        <v>4200</v>
      </c>
      <c r="D129" s="930" t="str">
        <f>'Revenues 9-14'!A201</f>
        <v>Total Food Service</v>
      </c>
      <c r="E129" s="907"/>
      <c r="F129" s="1811">
        <f>SUM('Revenues 9-14'!C201,'Revenues 9-14'!G201)</f>
        <v>19446</v>
      </c>
      <c r="G129" s="931"/>
    </row>
    <row r="130" spans="1:7" x14ac:dyDescent="0.2">
      <c r="A130" s="928" t="s">
        <v>689</v>
      </c>
      <c r="B130" s="928" t="s">
        <v>804</v>
      </c>
      <c r="C130" s="933">
        <v>4300</v>
      </c>
      <c r="D130" s="934" t="str">
        <f>'Revenues 9-14'!A211</f>
        <v>Total Title I</v>
      </c>
      <c r="E130" s="907"/>
      <c r="F130" s="1811">
        <f>SUM('Revenues 9-14'!C211,'Revenues 9-14'!D211,'Revenues 9-14'!F211,'Revenues 9-14'!G211)</f>
        <v>40229</v>
      </c>
      <c r="G130" s="931"/>
    </row>
    <row r="131" spans="1:7" x14ac:dyDescent="0.2">
      <c r="A131" s="928" t="s">
        <v>689</v>
      </c>
      <c r="B131" s="928" t="s">
        <v>805</v>
      </c>
      <c r="C131" s="933">
        <v>4400</v>
      </c>
      <c r="D131" s="934" t="str">
        <f>'Revenues 9-14'!A216</f>
        <v>Total Title IV</v>
      </c>
      <c r="E131" s="907"/>
      <c r="F131" s="1811">
        <f>SUM('Revenues 9-14'!C216,'Revenues 9-14'!D216,'Revenues 9-14'!F216,'Revenues 9-14'!G216)</f>
        <v>959</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8840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4401</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8558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344653</v>
      </c>
    </row>
    <row r="179" spans="1:7" ht="12" customHeight="1" x14ac:dyDescent="0.2">
      <c r="A179" s="1792"/>
      <c r="B179" s="1806"/>
      <c r="C179" s="1807"/>
      <c r="D179" s="1808" t="s">
        <v>2015</v>
      </c>
      <c r="E179" s="1809"/>
      <c r="F179" s="1811">
        <f>'PCTC-OEPP 27-28'!F77-F178</f>
        <v>784311</v>
      </c>
    </row>
    <row r="180" spans="1:7" ht="12" customHeight="1" x14ac:dyDescent="0.2">
      <c r="A180" s="1792"/>
      <c r="B180" s="1806"/>
      <c r="C180" s="1807"/>
      <c r="D180" s="1808" t="s">
        <v>1924</v>
      </c>
      <c r="E180" s="1809"/>
      <c r="F180" s="1811">
        <f>'Cap Outlay Deprec 26'!I18</f>
        <v>66360</v>
      </c>
    </row>
    <row r="181" spans="1:7" ht="12" customHeight="1" x14ac:dyDescent="0.2">
      <c r="A181" s="1792"/>
      <c r="B181" s="1806"/>
      <c r="C181" s="1807"/>
      <c r="D181" s="1808" t="s">
        <v>2016</v>
      </c>
      <c r="E181" s="1809"/>
      <c r="F181" s="1811">
        <f>F179+F180</f>
        <v>850671</v>
      </c>
    </row>
    <row r="182" spans="1:7" ht="12" customHeight="1" x14ac:dyDescent="0.2">
      <c r="A182" s="1792"/>
      <c r="B182" s="1812"/>
      <c r="C182" s="1807"/>
      <c r="D182" s="1808" t="str">
        <f>D78</f>
        <v>9 Month ADA from District Average Daily Attendance/Prior General State Aid Inquiry 2017-2018</v>
      </c>
      <c r="E182" s="1809"/>
      <c r="F182" s="1813">
        <f>'PCTC-OEPP 27-28'!F78</f>
        <v>51.38</v>
      </c>
      <c r="G182" s="931"/>
    </row>
    <row r="183" spans="1:7" ht="12" customHeight="1" thickBot="1" x14ac:dyDescent="0.25">
      <c r="A183" s="1792"/>
      <c r="B183" s="1812"/>
      <c r="C183" s="1807"/>
      <c r="D183" s="1808" t="s">
        <v>2017</v>
      </c>
      <c r="E183" s="1809" t="s">
        <v>1626</v>
      </c>
      <c r="F183" s="1814">
        <f>F181/F182</f>
        <v>16556.461658232776</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25" sqref="A25:XFD140"/>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4" t="s">
        <v>2103</v>
      </c>
      <c r="B17" s="1955" t="s">
        <v>2104</v>
      </c>
      <c r="C17" s="1956" t="s">
        <v>2105</v>
      </c>
      <c r="D17" s="1867">
        <v>670</v>
      </c>
      <c r="E17" s="1562">
        <f t="shared" ref="E17:E141" si="1">IF(D17&lt;=25000,D17,IF(D17&gt;25000,25000,0))</f>
        <v>670</v>
      </c>
      <c r="F17" s="1815">
        <f t="shared" si="0"/>
        <v>670</v>
      </c>
      <c r="G17" s="1816">
        <f>IF(F17=0,0,D17-F17)</f>
        <v>0</v>
      </c>
      <c r="H17" s="1669"/>
    </row>
    <row r="18" spans="1:8" x14ac:dyDescent="0.25">
      <c r="A18" s="1954" t="s">
        <v>2103</v>
      </c>
      <c r="B18" s="1955" t="s">
        <v>2104</v>
      </c>
      <c r="C18" s="1956" t="s">
        <v>2106</v>
      </c>
      <c r="D18" s="1867">
        <v>1619</v>
      </c>
      <c r="E18" s="1562">
        <f t="shared" ref="E18:E140" si="2">IF(D18&lt;=25000,D18,IF(D18&gt;25000,25000,0))</f>
        <v>1619</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1619</v>
      </c>
      <c r="G18" s="1816">
        <f t="shared" ref="G18:G140" si="4">IF(F18=0,0,D18-F18)</f>
        <v>0</v>
      </c>
    </row>
    <row r="19" spans="1:8" x14ac:dyDescent="0.25">
      <c r="A19" s="1954" t="s">
        <v>2103</v>
      </c>
      <c r="B19" s="1955" t="s">
        <v>2104</v>
      </c>
      <c r="C19" s="1956" t="s">
        <v>2107</v>
      </c>
      <c r="D19" s="1867">
        <v>336</v>
      </c>
      <c r="E19" s="1562">
        <f t="shared" si="2"/>
        <v>336</v>
      </c>
      <c r="F19" s="1815">
        <f t="shared" si="3"/>
        <v>336</v>
      </c>
      <c r="G19" s="1816">
        <f t="shared" si="4"/>
        <v>0</v>
      </c>
    </row>
    <row r="20" spans="1:8" x14ac:dyDescent="0.25">
      <c r="A20" s="1954" t="s">
        <v>2103</v>
      </c>
      <c r="B20" s="1955" t="s">
        <v>2104</v>
      </c>
      <c r="C20" s="1956" t="s">
        <v>2108</v>
      </c>
      <c r="D20" s="1867">
        <v>1470</v>
      </c>
      <c r="E20" s="1562">
        <f t="shared" si="2"/>
        <v>1470</v>
      </c>
      <c r="F20" s="1815">
        <f t="shared" si="3"/>
        <v>1470</v>
      </c>
      <c r="G20" s="1816">
        <f t="shared" si="4"/>
        <v>0</v>
      </c>
    </row>
    <row r="21" spans="1:8" x14ac:dyDescent="0.25">
      <c r="A21" s="1954" t="s">
        <v>2103</v>
      </c>
      <c r="B21" s="1955" t="s">
        <v>2104</v>
      </c>
      <c r="C21" s="1956" t="s">
        <v>2109</v>
      </c>
      <c r="D21" s="1867">
        <v>2773</v>
      </c>
      <c r="E21" s="1562">
        <f t="shared" si="2"/>
        <v>2773</v>
      </c>
      <c r="F21" s="1815">
        <f t="shared" si="3"/>
        <v>2773</v>
      </c>
      <c r="G21" s="1816">
        <f t="shared" si="4"/>
        <v>0</v>
      </c>
    </row>
    <row r="22" spans="1:8" x14ac:dyDescent="0.25">
      <c r="A22" s="1954" t="s">
        <v>2103</v>
      </c>
      <c r="B22" s="1955" t="s">
        <v>2104</v>
      </c>
      <c r="C22" s="1956" t="s">
        <v>2110</v>
      </c>
      <c r="D22" s="1867">
        <v>1211</v>
      </c>
      <c r="E22" s="1562">
        <f t="shared" si="2"/>
        <v>1211</v>
      </c>
      <c r="F22" s="1815">
        <f t="shared" si="3"/>
        <v>1211</v>
      </c>
      <c r="G22" s="1816">
        <f t="shared" si="4"/>
        <v>0</v>
      </c>
    </row>
    <row r="23" spans="1:8" x14ac:dyDescent="0.25">
      <c r="A23" s="1954" t="s">
        <v>2103</v>
      </c>
      <c r="B23" s="1955" t="s">
        <v>2104</v>
      </c>
      <c r="C23" s="1956" t="s">
        <v>2111</v>
      </c>
      <c r="D23" s="1867">
        <v>2296</v>
      </c>
      <c r="E23" s="1562">
        <f t="shared" si="2"/>
        <v>2296</v>
      </c>
      <c r="F23" s="1815">
        <f t="shared" si="3"/>
        <v>2296</v>
      </c>
      <c r="G23" s="1816">
        <f t="shared" si="4"/>
        <v>0</v>
      </c>
    </row>
    <row r="24" spans="1:8" x14ac:dyDescent="0.25">
      <c r="A24" s="1675"/>
      <c r="B24" s="1869"/>
      <c r="C24" s="1678"/>
      <c r="D24" s="1867"/>
      <c r="E24" s="1562">
        <f t="shared" si="2"/>
        <v>0</v>
      </c>
      <c r="F24" s="1815">
        <f t="shared" si="3"/>
        <v>0</v>
      </c>
      <c r="G24" s="1816">
        <f t="shared" si="4"/>
        <v>0</v>
      </c>
    </row>
    <row r="25" spans="1:8" hidden="1" x14ac:dyDescent="0.25">
      <c r="A25" s="1675"/>
      <c r="B25" s="1868"/>
      <c r="C25" s="1678"/>
      <c r="D25" s="1867"/>
      <c r="E25" s="1562">
        <f t="shared" si="2"/>
        <v>0</v>
      </c>
      <c r="F25" s="1815">
        <f t="shared" si="3"/>
        <v>0</v>
      </c>
      <c r="G25" s="1816">
        <f t="shared" si="4"/>
        <v>0</v>
      </c>
    </row>
    <row r="26" spans="1:8" hidden="1" x14ac:dyDescent="0.25">
      <c r="A26" s="1675"/>
      <c r="B26" s="1869"/>
      <c r="C26" s="1676"/>
      <c r="D26" s="1867"/>
      <c r="E26" s="1562">
        <f t="shared" si="2"/>
        <v>0</v>
      </c>
      <c r="F26" s="1815">
        <f t="shared" si="3"/>
        <v>0</v>
      </c>
      <c r="G26" s="1816">
        <f t="shared" si="4"/>
        <v>0</v>
      </c>
    </row>
    <row r="27" spans="1:8" hidden="1" x14ac:dyDescent="0.25">
      <c r="A27" s="1675"/>
      <c r="B27" s="1869"/>
      <c r="C27" s="1676"/>
      <c r="D27" s="1867"/>
      <c r="E27" s="1562">
        <f t="shared" si="2"/>
        <v>0</v>
      </c>
      <c r="F27" s="1815">
        <f t="shared" si="3"/>
        <v>0</v>
      </c>
      <c r="G27" s="1816">
        <f t="shared" si="4"/>
        <v>0</v>
      </c>
    </row>
    <row r="28" spans="1:8" hidden="1" x14ac:dyDescent="0.25">
      <c r="A28" s="1675"/>
      <c r="B28" s="1869"/>
      <c r="C28" s="1676"/>
      <c r="D28" s="1867"/>
      <c r="E28" s="1562">
        <f t="shared" si="2"/>
        <v>0</v>
      </c>
      <c r="F28" s="1815">
        <f t="shared" si="3"/>
        <v>0</v>
      </c>
      <c r="G28" s="1816">
        <f t="shared" si="4"/>
        <v>0</v>
      </c>
    </row>
    <row r="29" spans="1:8" hidden="1" x14ac:dyDescent="0.25">
      <c r="A29" s="1675"/>
      <c r="B29" s="1869"/>
      <c r="C29" s="1676"/>
      <c r="D29" s="1867"/>
      <c r="E29" s="1562">
        <f t="shared" si="2"/>
        <v>0</v>
      </c>
      <c r="F29" s="1815">
        <f t="shared" si="3"/>
        <v>0</v>
      </c>
      <c r="G29" s="1816">
        <f t="shared" si="4"/>
        <v>0</v>
      </c>
    </row>
    <row r="30" spans="1:8" hidden="1" x14ac:dyDescent="0.25">
      <c r="A30" s="1675"/>
      <c r="B30" s="1869"/>
      <c r="C30" s="1676"/>
      <c r="D30" s="1867"/>
      <c r="E30" s="1562">
        <f t="shared" si="2"/>
        <v>0</v>
      </c>
      <c r="F30" s="1815">
        <f t="shared" si="3"/>
        <v>0</v>
      </c>
      <c r="G30" s="1816">
        <f t="shared" si="4"/>
        <v>0</v>
      </c>
    </row>
    <row r="31" spans="1:8" hidden="1" x14ac:dyDescent="0.25">
      <c r="A31" s="1675"/>
      <c r="B31" s="1869"/>
      <c r="C31" s="1676"/>
      <c r="D31" s="1867"/>
      <c r="E31" s="1562">
        <f t="shared" si="2"/>
        <v>0</v>
      </c>
      <c r="F31" s="1815">
        <f t="shared" si="3"/>
        <v>0</v>
      </c>
      <c r="G31" s="1816">
        <f t="shared" si="4"/>
        <v>0</v>
      </c>
    </row>
    <row r="32" spans="1:8" hidden="1" x14ac:dyDescent="0.25">
      <c r="A32" s="1675"/>
      <c r="B32" s="1869"/>
      <c r="C32" s="1676"/>
      <c r="D32" s="1867"/>
      <c r="E32" s="1562">
        <f t="shared" si="2"/>
        <v>0</v>
      </c>
      <c r="F32" s="1815">
        <f t="shared" si="3"/>
        <v>0</v>
      </c>
      <c r="G32" s="1816">
        <f t="shared" si="4"/>
        <v>0</v>
      </c>
    </row>
    <row r="33" spans="1:7" hidden="1" x14ac:dyDescent="0.25">
      <c r="A33" s="1675"/>
      <c r="B33" s="1869"/>
      <c r="C33" s="1676"/>
      <c r="D33" s="1867"/>
      <c r="E33" s="1562">
        <f t="shared" si="2"/>
        <v>0</v>
      </c>
      <c r="F33" s="1815">
        <f t="shared" si="3"/>
        <v>0</v>
      </c>
      <c r="G33" s="1816">
        <f t="shared" si="4"/>
        <v>0</v>
      </c>
    </row>
    <row r="34" spans="1:7" hidden="1" x14ac:dyDescent="0.25">
      <c r="A34" s="1675"/>
      <c r="B34" s="1869"/>
      <c r="C34" s="1676"/>
      <c r="D34" s="1867"/>
      <c r="E34" s="1562">
        <f t="shared" si="2"/>
        <v>0</v>
      </c>
      <c r="F34" s="1815">
        <f t="shared" si="3"/>
        <v>0</v>
      </c>
      <c r="G34" s="1816">
        <f t="shared" si="4"/>
        <v>0</v>
      </c>
    </row>
    <row r="35" spans="1:7" hidden="1" x14ac:dyDescent="0.25">
      <c r="A35" s="1675"/>
      <c r="B35" s="1869"/>
      <c r="C35" s="1676"/>
      <c r="D35" s="1867"/>
      <c r="E35" s="1562">
        <f t="shared" si="2"/>
        <v>0</v>
      </c>
      <c r="F35" s="1815">
        <f t="shared" si="3"/>
        <v>0</v>
      </c>
      <c r="G35" s="1816">
        <f t="shared" si="4"/>
        <v>0</v>
      </c>
    </row>
    <row r="36" spans="1:7" hidden="1" x14ac:dyDescent="0.25">
      <c r="A36" s="1675"/>
      <c r="B36" s="1869"/>
      <c r="C36" s="1676"/>
      <c r="D36" s="1867"/>
      <c r="E36" s="1562">
        <f t="shared" si="2"/>
        <v>0</v>
      </c>
      <c r="F36" s="1815">
        <f t="shared" si="3"/>
        <v>0</v>
      </c>
      <c r="G36" s="1816">
        <f t="shared" si="4"/>
        <v>0</v>
      </c>
    </row>
    <row r="37" spans="1:7" hidden="1" x14ac:dyDescent="0.25">
      <c r="A37" s="1675"/>
      <c r="B37" s="1869"/>
      <c r="C37" s="1676"/>
      <c r="D37" s="1867"/>
      <c r="E37" s="1562">
        <f t="shared" si="2"/>
        <v>0</v>
      </c>
      <c r="F37" s="1815">
        <f t="shared" si="3"/>
        <v>0</v>
      </c>
      <c r="G37" s="1816">
        <f t="shared" si="4"/>
        <v>0</v>
      </c>
    </row>
    <row r="38" spans="1:7" hidden="1" x14ac:dyDescent="0.25">
      <c r="A38" s="1675"/>
      <c r="B38" s="1689"/>
      <c r="C38" s="1676"/>
      <c r="D38" s="1867"/>
      <c r="E38" s="1562">
        <f t="shared" si="2"/>
        <v>0</v>
      </c>
      <c r="F38" s="1815">
        <f t="shared" si="3"/>
        <v>0</v>
      </c>
      <c r="G38" s="1816">
        <f t="shared" si="4"/>
        <v>0</v>
      </c>
    </row>
    <row r="39" spans="1:7" hidden="1" x14ac:dyDescent="0.25">
      <c r="A39" s="1675"/>
      <c r="B39" s="1689"/>
      <c r="C39" s="1676"/>
      <c r="D39" s="1867"/>
      <c r="E39" s="1562">
        <f t="shared" si="2"/>
        <v>0</v>
      </c>
      <c r="F39" s="1815">
        <f t="shared" si="3"/>
        <v>0</v>
      </c>
      <c r="G39" s="1816">
        <f t="shared" si="4"/>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hidden="1" x14ac:dyDescent="0.25">
      <c r="A133" s="1675"/>
      <c r="B133" s="1689"/>
      <c r="C133" s="1676"/>
      <c r="D133" s="1867"/>
      <c r="E133" s="1562">
        <f t="shared" si="23"/>
        <v>0</v>
      </c>
      <c r="F133" s="1815">
        <f t="shared" si="24"/>
        <v>0</v>
      </c>
      <c r="G133" s="1816">
        <f t="shared" si="25"/>
        <v>0</v>
      </c>
    </row>
    <row r="134" spans="1:7" hidden="1" x14ac:dyDescent="0.25">
      <c r="A134" s="1675"/>
      <c r="B134" s="1689"/>
      <c r="C134" s="1676"/>
      <c r="D134" s="1867"/>
      <c r="E134" s="1562">
        <f t="shared" si="23"/>
        <v>0</v>
      </c>
      <c r="F134" s="1815">
        <f t="shared" si="24"/>
        <v>0</v>
      </c>
      <c r="G134" s="1816">
        <f t="shared" si="25"/>
        <v>0</v>
      </c>
    </row>
    <row r="135" spans="1:7" hidden="1"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hidden="1" x14ac:dyDescent="0.25">
      <c r="A136" s="1675"/>
      <c r="B136" s="1689"/>
      <c r="C136" s="1676"/>
      <c r="D136" s="1867"/>
      <c r="E136" s="1562">
        <f t="shared" si="26"/>
        <v>0</v>
      </c>
      <c r="F136" s="1815">
        <f t="shared" si="27"/>
        <v>0</v>
      </c>
      <c r="G136" s="1816">
        <f t="shared" si="28"/>
        <v>0</v>
      </c>
    </row>
    <row r="137" spans="1:7" hidden="1" x14ac:dyDescent="0.25">
      <c r="A137" s="1675"/>
      <c r="B137" s="1689"/>
      <c r="C137" s="1676"/>
      <c r="D137" s="1867"/>
      <c r="E137" s="1562">
        <f t="shared" si="26"/>
        <v>0</v>
      </c>
      <c r="F137" s="1815">
        <f t="shared" si="27"/>
        <v>0</v>
      </c>
      <c r="G137" s="1816">
        <f t="shared" si="28"/>
        <v>0</v>
      </c>
    </row>
    <row r="138" spans="1:7" hidden="1" x14ac:dyDescent="0.25">
      <c r="A138" s="1675"/>
      <c r="B138" s="1689"/>
      <c r="C138" s="1676"/>
      <c r="D138" s="1867"/>
      <c r="E138" s="1562">
        <f t="shared" si="26"/>
        <v>0</v>
      </c>
      <c r="F138" s="1815">
        <f t="shared" si="27"/>
        <v>0</v>
      </c>
      <c r="G138" s="1816">
        <f t="shared" si="28"/>
        <v>0</v>
      </c>
    </row>
    <row r="139" spans="1:7" hidden="1" x14ac:dyDescent="0.25">
      <c r="A139" s="1675"/>
      <c r="B139" s="1689"/>
      <c r="C139" s="1676"/>
      <c r="D139" s="1867"/>
      <c r="E139" s="1562">
        <f t="shared" si="26"/>
        <v>0</v>
      </c>
      <c r="F139" s="1815">
        <f t="shared" si="27"/>
        <v>0</v>
      </c>
      <c r="G139" s="1816">
        <f t="shared" si="28"/>
        <v>0</v>
      </c>
    </row>
    <row r="140" spans="1:7" hidden="1"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10375</v>
      </c>
      <c r="E141" s="1563">
        <f t="shared" si="1"/>
        <v>10375</v>
      </c>
      <c r="F141" s="1817">
        <f>SUM(F17:F140)</f>
        <v>10375</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5" t="s">
        <v>1945</v>
      </c>
      <c r="B11" s="2306"/>
      <c r="C11" s="2306"/>
      <c r="D11" s="2307"/>
      <c r="E11" s="978">
        <v>2958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518182</v>
      </c>
      <c r="F19" s="1822"/>
      <c r="G19" s="1824">
        <f>'Expenditures 15-22'!K33-SUM('Expenditures 15-22'!G33,'Expenditures 15-22'!I33)+'Expenditures 15-22'!D229</f>
        <v>518182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73898</v>
      </c>
      <c r="F21" s="1825"/>
      <c r="G21" s="1828">
        <f>'Expenditures 15-22'!K42-SUM('Expenditures 15-22'!G42,'Expenditures 15-22'!I42)+'Expenditures 15-22'!K120-SUM('Expenditures 15-22'!G120,'Expenditures 15-22'!I120)+'Expenditures 15-22'!K180-SUM('Expenditures 15-22'!G180,'Expenditures 15-22'!I180)+'Expenditures 15-22'!D238</f>
        <v>73898</v>
      </c>
      <c r="H21" s="988"/>
      <c r="I21" s="162"/>
    </row>
    <row r="22" spans="1:9" s="669" customFormat="1" ht="12" customHeight="1" x14ac:dyDescent="0.2">
      <c r="A22" s="995" t="s">
        <v>585</v>
      </c>
      <c r="B22" s="996"/>
      <c r="C22" s="994">
        <v>2200</v>
      </c>
      <c r="D22" s="1825"/>
      <c r="E22" s="1827">
        <f>'Expenditures 15-22'!K47-SUM('Expenditures 15-22'!G47,'Expenditures 15-22'!I47)+'Expenditures 15-22'!D243</f>
        <v>15482</v>
      </c>
      <c r="F22" s="1825"/>
      <c r="G22" s="1828">
        <f>'Expenditures 15-22'!K47-SUM('Expenditures 15-22'!G47,'Expenditures 15-22'!I47)+'Expenditures 15-22'!D243</f>
        <v>15482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164730</v>
      </c>
      <c r="F23" s="1825"/>
      <c r="G23" s="1827">
        <f>'Expenditures 15-22'!K53-SUM('Expenditures 15-22'!G53,'Expenditures 15-22'!I53)+'Expenditures 15-22'!D257+'Expenditures 15-22'!K330-SUM('Expenditures 15-22'!G330,'Expenditures 15-22'!I330)</f>
        <v>164730</v>
      </c>
      <c r="H23" s="988"/>
      <c r="I23" s="162"/>
    </row>
    <row r="24" spans="1:9" s="669" customFormat="1" ht="12" customHeight="1" x14ac:dyDescent="0.2">
      <c r="A24" s="995" t="s">
        <v>587</v>
      </c>
      <c r="B24" s="996"/>
      <c r="C24" s="994">
        <v>2400</v>
      </c>
      <c r="D24" s="1825"/>
      <c r="E24" s="1827">
        <f>'Expenditures 15-22'!K57-SUM('Expenditures 15-22'!G57,'Expenditures 15-22'!I57)+'Expenditures 15-22'!D261</f>
        <v>58261</v>
      </c>
      <c r="F24" s="1825"/>
      <c r="G24" s="1828">
        <f>'Expenditures 15-22'!K57-SUM('Expenditures 15-22'!G57,'Expenditures 15-22'!I57)+'Expenditures 15-22'!D261</f>
        <v>58261</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38812</v>
      </c>
      <c r="E27" s="1827">
        <f>E8</f>
        <v>0</v>
      </c>
      <c r="F27" s="1827">
        <f>'Expenditures 15-22'!K60-SUM('Expenditures 15-22'!G60,'Expenditures 15-22'!I60)+'Expenditures 15-22'!D264-E8</f>
        <v>38812</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144625</v>
      </c>
      <c r="F28" s="1829">
        <f>'Expenditures 15-22'!K61-SUM('Expenditures 15-22'!G61,'Expenditures 15-22'!I61)+'Expenditures 15-22'!K124-SUM('Expenditures 15-22'!G124,'Expenditures 15-22'!I124)+'Expenditures 15-22'!D266-E9</f>
        <v>144625</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72917</v>
      </c>
      <c r="F29" s="1825"/>
      <c r="G29" s="1828">
        <f>'Expenditures 15-22'!K62-SUM('Expenditures 15-22'!G62,'Expenditures 15-22'!I62)+'Expenditures 15-22'!K125-SUM('Expenditures 15-22'!G125,'Expenditures 15-22'!I125)+'Expenditures 15-22'!K182-SUM('Expenditures 15-22'!G182,'Expenditures 15-22'!I182)+'Expenditures 15-22'!D267</f>
        <v>72917</v>
      </c>
      <c r="H29" s="986"/>
    </row>
    <row r="30" spans="1:9" ht="12" customHeight="1" x14ac:dyDescent="0.2">
      <c r="A30" s="995" t="s">
        <v>102</v>
      </c>
      <c r="B30" s="998"/>
      <c r="C30" s="994">
        <v>2560</v>
      </c>
      <c r="D30" s="1825"/>
      <c r="E30" s="1827">
        <f>'Expenditures 15-22'!K63-SUM('Expenditures 15-22'!G63,'Expenditures 15-22'!I63)+'Expenditures 15-22'!D268-E10</f>
        <v>37166</v>
      </c>
      <c r="F30" s="1825"/>
      <c r="G30" s="1827">
        <f>'Expenditures 15-22'!K63-SUM('Expenditures 15-22'!G63,'Expenditures 15-22'!I63)+'Expenditures 15-22'!D268-E10</f>
        <v>37166</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4844</v>
      </c>
      <c r="F38" s="1825"/>
      <c r="G38" s="1827">
        <f>'Expenditures 15-22'!K73-SUM('Expenditures 15-22'!G73,'Expenditures 15-22'!I73)+'Expenditures 15-22'!K128-SUM('Expenditures 15-22'!G128,'Expenditures 15-22'!I128)+'Expenditures 15-22'!K183-SUM('Expenditures 15-22'!G183,'Expenditures 15-22'!I183)+'Expenditures 15-22'!D278</f>
        <v>4844</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334</v>
      </c>
      <c r="F39" s="1825"/>
      <c r="G39" s="1827">
        <f>'Expenditures 15-22'!K75-SUM('Expenditures 15-22'!G75,'Expenditures 15-22'!I75)+'Expenditures 15-22'!K130-SUM('Expenditures 15-22'!G130,'Expenditures 15-22'!I130)+'Expenditures 15-22'!K185-SUM('Expenditures 15-22'!G185,'Expenditures 15-22'!I185)+'Expenditures 15-22'!D280</f>
        <v>334</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38812</v>
      </c>
      <c r="E41" s="1829">
        <f>SUM(E19:E40)</f>
        <v>1090439</v>
      </c>
      <c r="F41" s="1829">
        <f>SUM(F19:F39)</f>
        <v>183437</v>
      </c>
      <c r="G41" s="1829">
        <f>SUM(G19:G40)</f>
        <v>945814</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38812</v>
      </c>
      <c r="F43" s="1830" t="s">
        <v>495</v>
      </c>
      <c r="G43" s="1831">
        <f>F41</f>
        <v>183437</v>
      </c>
    </row>
    <row r="44" spans="1:7" ht="12" customHeight="1" x14ac:dyDescent="0.2">
      <c r="A44" s="988"/>
      <c r="B44" s="162"/>
      <c r="C44" s="1002"/>
      <c r="D44" s="1830" t="s">
        <v>494</v>
      </c>
      <c r="E44" s="1831">
        <f>E41</f>
        <v>1090439</v>
      </c>
      <c r="F44" s="1830" t="s">
        <v>494</v>
      </c>
      <c r="G44" s="1831">
        <f>G41</f>
        <v>945814</v>
      </c>
    </row>
    <row r="45" spans="1:7" ht="12" customHeight="1" x14ac:dyDescent="0.2">
      <c r="A45" s="988"/>
      <c r="B45" s="162"/>
      <c r="C45" s="162"/>
      <c r="D45" s="1832" t="s">
        <v>1063</v>
      </c>
      <c r="E45" s="1833">
        <f>(E43/E44)</f>
        <v>3.5593004285429997E-2</v>
      </c>
      <c r="F45" s="1832" t="s">
        <v>1063</v>
      </c>
      <c r="G45" s="1833">
        <f>(G43/G44)</f>
        <v>0.193946167005352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27" sqref="F27"/>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7109375" style="1903" bestFit="1" customWidth="1"/>
    <col min="9" max="9" width="3.42578125" style="1903" bestFit="1" customWidth="1"/>
    <col min="10" max="10" width="2.28515625"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Lostant CUSD 425</v>
      </c>
      <c r="D6" s="2315"/>
      <c r="E6" s="2315"/>
      <c r="F6" s="1877"/>
    </row>
    <row r="7" spans="1:10" ht="11.25" customHeight="1" thickBot="1" x14ac:dyDescent="0.3">
      <c r="A7" s="1875"/>
      <c r="B7" s="1876"/>
      <c r="C7" s="2316">
        <f>COVER!A13</f>
        <v>35050425026</v>
      </c>
      <c r="D7" s="2316"/>
      <c r="E7" s="2316"/>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2077</v>
      </c>
      <c r="D25" s="1890" t="s">
        <v>2077</v>
      </c>
      <c r="E25" s="1893"/>
      <c r="F25" s="1892" t="s">
        <v>2101</v>
      </c>
      <c r="H25" s="1903">
        <f t="shared" si="0"/>
        <v>5</v>
      </c>
      <c r="I25" s="1903">
        <f t="shared" si="1"/>
        <v>5</v>
      </c>
      <c r="J25" s="1903">
        <f t="shared" si="2"/>
        <v>0</v>
      </c>
    </row>
    <row r="26" spans="1:12" ht="12" customHeight="1" x14ac:dyDescent="0.2">
      <c r="A26" s="1888" t="s">
        <v>1615</v>
      </c>
      <c r="B26" s="1889"/>
      <c r="C26" s="1890" t="s">
        <v>2077</v>
      </c>
      <c r="D26" s="1890" t="s">
        <v>2077</v>
      </c>
      <c r="E26" s="1893"/>
      <c r="F26" s="1892" t="s">
        <v>2102</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Lostant CUSD 425</v>
      </c>
      <c r="J6" s="2336"/>
      <c r="Q6" s="1686"/>
    </row>
    <row r="7" spans="1:17" x14ac:dyDescent="0.2">
      <c r="A7" s="2337" t="s">
        <v>924</v>
      </c>
      <c r="B7" s="2338"/>
      <c r="C7" s="2338"/>
      <c r="D7" s="2338"/>
      <c r="E7" s="2339"/>
      <c r="F7" s="1018"/>
      <c r="G7" s="1010"/>
      <c r="H7" s="1017" t="s">
        <v>390</v>
      </c>
      <c r="I7" s="2340">
        <f>COVER!A13</f>
        <v>35050425026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44489</v>
      </c>
      <c r="F12" s="1040"/>
      <c r="G12" s="1834">
        <f t="shared" ref="G12:G18" si="0">SUM(E12:F12)</f>
        <v>44489</v>
      </c>
      <c r="H12" s="1041">
        <v>46073</v>
      </c>
      <c r="I12" s="1040"/>
      <c r="J12" s="1834">
        <f t="shared" ref="J12:J18" si="1">SUM(H12:I12)</f>
        <v>46073</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44489</v>
      </c>
      <c r="F19" s="1836">
        <f t="shared" si="2"/>
        <v>0</v>
      </c>
      <c r="G19" s="1836">
        <f t="shared" si="2"/>
        <v>44489</v>
      </c>
      <c r="H19" s="1836">
        <f t="shared" si="2"/>
        <v>46073</v>
      </c>
      <c r="I19" s="1836">
        <f t="shared" si="2"/>
        <v>0</v>
      </c>
      <c r="J19" s="1836">
        <f t="shared" si="2"/>
        <v>46073</v>
      </c>
    </row>
    <row r="20" spans="1:10" ht="13.5" thickTop="1" x14ac:dyDescent="0.2">
      <c r="A20" s="1036">
        <v>9</v>
      </c>
      <c r="B20" s="2347" t="s">
        <v>1703</v>
      </c>
      <c r="C20" s="2347"/>
      <c r="D20" s="2348"/>
      <c r="E20" s="1047"/>
      <c r="F20" s="1047"/>
      <c r="G20" s="1047"/>
      <c r="H20" s="1047"/>
      <c r="I20" s="1047"/>
      <c r="J20" s="1837">
        <f>IF(AND(G19&gt;0,J19&gt;0),(((J19-G19)/G19)),"Enter Budget Data")</f>
        <v>3.560430668255074E-2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2" sqref="B1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2112</v>
      </c>
    </row>
    <row r="6" spans="1:2" x14ac:dyDescent="0.2">
      <c r="A6" s="1069">
        <v>2</v>
      </c>
      <c r="B6" s="329" t="s">
        <v>2113</v>
      </c>
    </row>
    <row r="7" spans="1:2" x14ac:dyDescent="0.2">
      <c r="A7" s="1069">
        <v>3</v>
      </c>
      <c r="B7" s="329" t="s">
        <v>2114</v>
      </c>
    </row>
    <row r="8" spans="1:2" x14ac:dyDescent="0.2">
      <c r="A8" s="1069">
        <v>4</v>
      </c>
      <c r="B8" s="329" t="s">
        <v>2115</v>
      </c>
    </row>
    <row r="9" spans="1:2" x14ac:dyDescent="0.2">
      <c r="A9" s="1069">
        <v>5</v>
      </c>
      <c r="B9" s="329" t="s">
        <v>2116</v>
      </c>
    </row>
    <row r="10" spans="1:2" x14ac:dyDescent="0.2">
      <c r="A10" s="1069">
        <v>6</v>
      </c>
      <c r="B10" s="329" t="s">
        <v>2117</v>
      </c>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Lostant CUSD 425</v>
      </c>
    </row>
    <row r="65" spans="2:2" x14ac:dyDescent="0.2">
      <c r="B65" s="1071">
        <f>COVER!A13</f>
        <v>35050425026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1510118</v>
      </c>
      <c r="C8" s="1838">
        <f>'Acct Summary 7-8'!D8</f>
        <v>132121</v>
      </c>
      <c r="D8" s="1838">
        <f>'Acct Summary 7-8'!F8</f>
        <v>174640</v>
      </c>
      <c r="E8" s="1838">
        <f>'Acct Summary 7-8'!I8</f>
        <v>13121</v>
      </c>
      <c r="F8" s="1838">
        <f>SUM(B8:E8)</f>
        <v>1830000</v>
      </c>
    </row>
    <row r="9" spans="1:8" s="1080" customFormat="1" ht="14.25" customHeight="1" thickBot="1" x14ac:dyDescent="0.25">
      <c r="A9" s="1079" t="s">
        <v>1436</v>
      </c>
      <c r="B9" s="1839">
        <f>'Acct Summary 7-8'!C17</f>
        <v>1238247</v>
      </c>
      <c r="C9" s="1839">
        <f>'Acct Summary 7-8'!D17</f>
        <v>147040</v>
      </c>
      <c r="D9" s="1839">
        <f>'Acct Summary 7-8'!F17</f>
        <v>99970</v>
      </c>
      <c r="E9" s="1838"/>
      <c r="F9" s="1838">
        <f>SUM(B9:E9)</f>
        <v>1485257</v>
      </c>
    </row>
    <row r="10" spans="1:8" s="1080" customFormat="1" ht="14.25" thickTop="1" thickBot="1" x14ac:dyDescent="0.25">
      <c r="A10" s="1081" t="s">
        <v>1437</v>
      </c>
      <c r="B10" s="1840">
        <f>(B8-B9)</f>
        <v>271871</v>
      </c>
      <c r="C10" s="1840">
        <f>(C8-C9)</f>
        <v>-14919</v>
      </c>
      <c r="D10" s="1840">
        <f>(D8-D9)</f>
        <v>74670</v>
      </c>
      <c r="E10" s="1839">
        <f>(E8-E9)</f>
        <v>13121</v>
      </c>
      <c r="F10" s="1841">
        <f>SUM(F8-F9)</f>
        <v>344743</v>
      </c>
    </row>
    <row r="11" spans="1:8" s="1080" customFormat="1" ht="14.25" thickTop="1" thickBot="1" x14ac:dyDescent="0.25">
      <c r="A11" s="1082" t="s">
        <v>1785</v>
      </c>
      <c r="B11" s="1842">
        <f>'Acct Summary 7-8'!C81</f>
        <v>1054603</v>
      </c>
      <c r="C11" s="1842">
        <f>'Acct Summary 7-8'!D81</f>
        <v>172156</v>
      </c>
      <c r="D11" s="1842">
        <f>'Acct Summary 7-8'!F81</f>
        <v>217288</v>
      </c>
      <c r="E11" s="1842">
        <f>'Acct Summary 7-8'!I81</f>
        <v>85946</v>
      </c>
      <c r="F11" s="1843">
        <f>SUM(B11:E11)</f>
        <v>1529993</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4"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35050425026</v>
      </c>
    </row>
    <row r="3" spans="1:2" x14ac:dyDescent="0.2">
      <c r="A3" t="s">
        <v>1013</v>
      </c>
      <c r="B3" s="138" t="str">
        <f>COVER!A15</f>
        <v>LASALLE</v>
      </c>
    </row>
    <row r="4" spans="1:2" x14ac:dyDescent="0.2">
      <c r="A4" t="s">
        <v>1064</v>
      </c>
      <c r="B4" s="138" t="str">
        <f>COVER!A17</f>
        <v>Lostant CUSD 425</v>
      </c>
    </row>
    <row r="5" spans="1:2" x14ac:dyDescent="0.2">
      <c r="A5" t="s">
        <v>728</v>
      </c>
      <c r="B5" s="138" t="str">
        <f>COVER!A38</f>
        <v>SANDRA MALAHY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066-004501</v>
      </c>
    </row>
    <row r="16" spans="1:2" x14ac:dyDescent="0.2">
      <c r="A16" t="s">
        <v>442</v>
      </c>
      <c r="B16" s="138" t="str">
        <f>COVER!T13</f>
        <v>HOPKINS &amp; ASSOCIATES, CPA'S, INC.</v>
      </c>
    </row>
    <row r="17" spans="1:2" x14ac:dyDescent="0.2">
      <c r="A17" t="s">
        <v>939</v>
      </c>
      <c r="B17" s="138" t="str">
        <f>COVER!T15</f>
        <v>JOEL HOPKINS</v>
      </c>
    </row>
    <row r="18" spans="1:2" x14ac:dyDescent="0.2">
      <c r="A18" t="s">
        <v>1212</v>
      </c>
      <c r="B18" s="138" t="str">
        <f>COVER!T17</f>
        <v>314 S. MCCOY ST.</v>
      </c>
    </row>
    <row r="19" spans="1:2" x14ac:dyDescent="0.2">
      <c r="A19" t="s">
        <v>941</v>
      </c>
      <c r="B19" s="138" t="str">
        <f>COVER!T25</f>
        <v>joelhopkins@msn.com</v>
      </c>
    </row>
    <row r="20" spans="1:2" x14ac:dyDescent="0.2">
      <c r="A20" t="s">
        <v>942</v>
      </c>
      <c r="B20" s="138" t="str">
        <f>COVER!T19</f>
        <v>GRANVILLE</v>
      </c>
    </row>
    <row r="21" spans="1:2" x14ac:dyDescent="0.2">
      <c r="A21" t="s">
        <v>500</v>
      </c>
      <c r="B21" s="138" t="str">
        <f>COVER!X19</f>
        <v>IL</v>
      </c>
    </row>
    <row r="22" spans="1:2" x14ac:dyDescent="0.2">
      <c r="A22" t="s">
        <v>943</v>
      </c>
      <c r="B22" s="138">
        <f>COVER!Z19</f>
        <v>61326</v>
      </c>
    </row>
    <row r="23" spans="1:2" x14ac:dyDescent="0.2">
      <c r="A23" t="s">
        <v>1214</v>
      </c>
      <c r="B23" s="138" t="str">
        <f>COVER!T21</f>
        <v>815-339-6630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1054603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1045817</v>
      </c>
      <c r="D92" s="2" t="str">
        <f t="shared" si="0"/>
        <v>Error?</v>
      </c>
    </row>
    <row r="93" spans="1:4" x14ac:dyDescent="0.2">
      <c r="A93" s="5">
        <v>32</v>
      </c>
      <c r="B93" s="138">
        <f>'Assets-Liab 5-6'!C41</f>
        <v>1054603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172156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172156</v>
      </c>
      <c r="D123" s="2" t="str">
        <f t="shared" si="0"/>
        <v>Error?</v>
      </c>
    </row>
    <row r="124" spans="1:4" x14ac:dyDescent="0.2">
      <c r="A124" s="5">
        <v>63</v>
      </c>
      <c r="B124" s="138">
        <f>'Assets-Liab 5-6'!D41</f>
        <v>172156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22080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22080</v>
      </c>
      <c r="D140" s="2" t="str">
        <f t="shared" si="1"/>
        <v>Error?</v>
      </c>
    </row>
    <row r="141" spans="1:4" x14ac:dyDescent="0.2">
      <c r="A141" s="5">
        <v>80</v>
      </c>
      <c r="B141" s="138">
        <f>'Assets-Liab 5-6'!E41</f>
        <v>22080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217288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217288</v>
      </c>
      <c r="D170" s="2" t="str">
        <f t="shared" si="1"/>
        <v>Error?</v>
      </c>
    </row>
    <row r="171" spans="1:4" x14ac:dyDescent="0.2">
      <c r="A171" s="5">
        <v>110</v>
      </c>
      <c r="B171" s="138">
        <f>'Assets-Liab 5-6'!F41</f>
        <v>217288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62261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37336</v>
      </c>
      <c r="D189" s="2" t="str">
        <f t="shared" si="1"/>
        <v>Error?</v>
      </c>
    </row>
    <row r="190" spans="1:4" x14ac:dyDescent="0.2">
      <c r="A190" s="5">
        <v>129</v>
      </c>
      <c r="B190" s="138">
        <f>'Assets-Liab 5-6'!G41</f>
        <v>62261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24650</v>
      </c>
      <c r="D273" s="2" t="str">
        <f t="shared" si="3"/>
        <v>Error?</v>
      </c>
    </row>
    <row r="274" spans="1:4" x14ac:dyDescent="0.2">
      <c r="A274" s="5">
        <v>213</v>
      </c>
      <c r="B274" s="138">
        <f>'Assets-Liab 5-6'!M17</f>
        <v>3831964</v>
      </c>
      <c r="D274" s="2" t="str">
        <f t="shared" si="3"/>
        <v>Error?</v>
      </c>
    </row>
    <row r="275" spans="1:4" x14ac:dyDescent="0.2">
      <c r="A275" s="5">
        <v>214</v>
      </c>
      <c r="B275" s="138">
        <f>'Assets-Liab 5-6'!M18</f>
        <v>19238</v>
      </c>
      <c r="D275" s="2" t="str">
        <f t="shared" si="3"/>
        <v>Error?</v>
      </c>
    </row>
    <row r="276" spans="1:4" x14ac:dyDescent="0.2">
      <c r="A276" s="5">
        <v>215</v>
      </c>
      <c r="B276" s="138">
        <f>'Assets-Liab 5-6'!M19</f>
        <v>359627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4235479</v>
      </c>
      <c r="C279" s="2" t="s">
        <v>594</v>
      </c>
      <c r="D279" s="2" t="str">
        <f t="shared" si="3"/>
        <v>Error?</v>
      </c>
    </row>
    <row r="280" spans="1:4" x14ac:dyDescent="0.2">
      <c r="A280" s="5">
        <v>219</v>
      </c>
      <c r="B280" s="138">
        <f>'Assets-Liab 5-6'!M40</f>
        <v>4235479</v>
      </c>
      <c r="D280" s="2" t="str">
        <f t="shared" si="3"/>
        <v>Error?</v>
      </c>
    </row>
    <row r="281" spans="1:4" x14ac:dyDescent="0.2">
      <c r="A281" s="5">
        <v>220</v>
      </c>
      <c r="B281" s="138">
        <f>'Assets-Liab 5-6'!M41</f>
        <v>4235479</v>
      </c>
      <c r="C281" s="2" t="s">
        <v>594</v>
      </c>
      <c r="D281" s="2" t="str">
        <f t="shared" si="3"/>
        <v>Error?</v>
      </c>
    </row>
    <row r="282" spans="1:4" x14ac:dyDescent="0.2">
      <c r="A282" s="5">
        <v>221</v>
      </c>
      <c r="B282" s="138">
        <f>'Assets-Liab 5-6'!N21</f>
        <v>22080</v>
      </c>
      <c r="D282" s="2" t="str">
        <f t="shared" si="3"/>
        <v>Error?</v>
      </c>
    </row>
    <row r="283" spans="1:4" x14ac:dyDescent="0.2">
      <c r="A283" s="5">
        <v>222</v>
      </c>
      <c r="B283" s="138">
        <f>'Assets-Liab 5-6'!N22</f>
        <v>1491261</v>
      </c>
      <c r="D283" s="2" t="str">
        <f t="shared" si="3"/>
        <v>Error?</v>
      </c>
    </row>
    <row r="284" spans="1:4" x14ac:dyDescent="0.2">
      <c r="A284" s="5">
        <v>223</v>
      </c>
      <c r="B284" s="138">
        <f>'Assets-Liab 5-6'!N23</f>
        <v>1513341</v>
      </c>
      <c r="C284" s="2" t="s">
        <v>594</v>
      </c>
      <c r="D284" s="2" t="str">
        <f t="shared" si="3"/>
        <v>Error?</v>
      </c>
    </row>
    <row r="285" spans="1:4" x14ac:dyDescent="0.2">
      <c r="A285" s="5">
        <v>224</v>
      </c>
      <c r="B285" s="138">
        <f>'Assets-Liab 5-6'!N36</f>
        <v>1513341</v>
      </c>
      <c r="D285" s="2" t="str">
        <f t="shared" si="3"/>
        <v>Error?</v>
      </c>
    </row>
    <row r="286" spans="1:4" x14ac:dyDescent="0.2">
      <c r="A286" s="10">
        <v>225</v>
      </c>
      <c r="D286" s="2" t="str">
        <f t="shared" si="3"/>
        <v>OK</v>
      </c>
    </row>
    <row r="287" spans="1:4" x14ac:dyDescent="0.2">
      <c r="A287" s="5">
        <v>226</v>
      </c>
      <c r="B287" s="138">
        <f>'Assets-Liab 5-6'!N37</f>
        <v>1513341</v>
      </c>
      <c r="C287" s="2" t="s">
        <v>594</v>
      </c>
      <c r="D287" s="2" t="str">
        <f t="shared" si="3"/>
        <v>Error?</v>
      </c>
    </row>
    <row r="288" spans="1:4" x14ac:dyDescent="0.2">
      <c r="A288" s="5">
        <v>227</v>
      </c>
      <c r="B288" s="138">
        <f>'Assets-Liab 5-6'!N41</f>
        <v>1513341</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311811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14720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384242</v>
      </c>
      <c r="C720" s="2" t="s">
        <v>594</v>
      </c>
      <c r="D720" s="2" t="str">
        <f t="shared" si="10"/>
        <v>Error?</v>
      </c>
    </row>
    <row r="721" spans="1:4" x14ac:dyDescent="0.2">
      <c r="A721" s="5">
        <v>660</v>
      </c>
      <c r="B721" s="138">
        <f>'Expenditures 15-22'!C36</f>
        <v>57797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57797</v>
      </c>
      <c r="C727" s="2" t="s">
        <v>594</v>
      </c>
      <c r="D727" s="2" t="str">
        <f t="shared" si="10"/>
        <v>Error?</v>
      </c>
    </row>
    <row r="728" spans="1:4" x14ac:dyDescent="0.2">
      <c r="A728" s="5">
        <v>667</v>
      </c>
      <c r="B728" s="138">
        <f>'Expenditures 15-22'!C44</f>
        <v>2535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2535</v>
      </c>
      <c r="C731" s="2" t="s">
        <v>594</v>
      </c>
      <c r="D731" s="2" t="str">
        <f t="shared" si="10"/>
        <v>Error?</v>
      </c>
    </row>
    <row r="732" spans="1:4" x14ac:dyDescent="0.2">
      <c r="A732" s="5">
        <v>671</v>
      </c>
      <c r="B732" s="138">
        <f>'Expenditures 15-22'!C49</f>
        <v>750</v>
      </c>
      <c r="D732" s="2" t="str">
        <f t="shared" si="10"/>
        <v>Error?</v>
      </c>
    </row>
    <row r="733" spans="1:4" x14ac:dyDescent="0.2">
      <c r="A733" s="5">
        <v>672</v>
      </c>
      <c r="B733" s="138">
        <f>'Expenditures 15-22'!C50</f>
        <v>39133</v>
      </c>
      <c r="D733" s="2" t="str">
        <f t="shared" si="10"/>
        <v>Error?</v>
      </c>
    </row>
    <row r="734" spans="1:4" x14ac:dyDescent="0.2">
      <c r="A734" s="5">
        <v>673</v>
      </c>
      <c r="B734" s="138">
        <f>'Expenditures 15-22'!C53</f>
        <v>39883</v>
      </c>
      <c r="C734" s="2" t="s">
        <v>594</v>
      </c>
      <c r="D734" s="2" t="str">
        <f t="shared" si="10"/>
        <v>Error?</v>
      </c>
    </row>
    <row r="735" spans="1:4" x14ac:dyDescent="0.2">
      <c r="A735" s="5">
        <v>674</v>
      </c>
      <c r="B735" s="138">
        <f>'Expenditures 15-22'!C55</f>
        <v>51706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51706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34140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13788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47928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199849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584091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48045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56751</v>
      </c>
      <c r="C778" s="2" t="s">
        <v>594</v>
      </c>
      <c r="D778" s="2" t="str">
        <f t="shared" si="11"/>
        <v>Error?</v>
      </c>
    </row>
    <row r="779" spans="1:4" x14ac:dyDescent="0.2">
      <c r="A779" s="5">
        <v>718</v>
      </c>
      <c r="B779" s="138">
        <f>'Expenditures 15-22'!D36</f>
        <v>9120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9120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3198</v>
      </c>
      <c r="D791" s="2" t="str">
        <f t="shared" si="11"/>
        <v>Error?</v>
      </c>
    </row>
    <row r="792" spans="1:4" x14ac:dyDescent="0.2">
      <c r="A792" s="5">
        <v>731</v>
      </c>
      <c r="B792" s="138">
        <f>'Expenditures 15-22'!D53</f>
        <v>3198</v>
      </c>
      <c r="C792" s="2" t="s">
        <v>594</v>
      </c>
      <c r="D792" s="2" t="str">
        <f t="shared" si="11"/>
        <v>Error?</v>
      </c>
    </row>
    <row r="793" spans="1:4" x14ac:dyDescent="0.2">
      <c r="A793" s="5">
        <v>732</v>
      </c>
      <c r="B793" s="138">
        <f>'Expenditures 15-22'!D55</f>
        <v>3841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3841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574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574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16733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73484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5515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2506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8021</v>
      </c>
      <c r="C836" s="2" t="s">
        <v>594</v>
      </c>
      <c r="D836" s="2" t="str">
        <f t="shared" si="12"/>
        <v>Error?</v>
      </c>
    </row>
    <row r="837" spans="1:4" x14ac:dyDescent="0.2">
      <c r="A837" s="5">
        <v>776</v>
      </c>
      <c r="B837" s="138">
        <f>'Expenditures 15-22'!E36</f>
        <v>80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6063</v>
      </c>
      <c r="D842" s="2" t="str">
        <f t="shared" si="12"/>
        <v>Error?</v>
      </c>
    </row>
    <row r="843" spans="1:4" x14ac:dyDescent="0.2">
      <c r="A843" s="5">
        <v>782</v>
      </c>
      <c r="B843" s="138">
        <f>'Expenditures 15-22'!E42</f>
        <v>6143</v>
      </c>
      <c r="C843" s="2" t="s">
        <v>594</v>
      </c>
      <c r="D843" s="2" t="str">
        <f t="shared" si="12"/>
        <v>Error?</v>
      </c>
    </row>
    <row r="844" spans="1:4" x14ac:dyDescent="0.2">
      <c r="A844" s="5">
        <v>783</v>
      </c>
      <c r="B844" s="138">
        <f>'Expenditures 15-22'!E44</f>
        <v>3629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1209</v>
      </c>
      <c r="D846" s="2" t="str">
        <f t="shared" si="12"/>
        <v>Error?</v>
      </c>
    </row>
    <row r="847" spans="1:4" x14ac:dyDescent="0.2">
      <c r="A847" s="5">
        <v>786</v>
      </c>
      <c r="B847" s="138">
        <f>'Expenditures 15-22'!E47</f>
        <v>4838</v>
      </c>
      <c r="C847" s="2" t="s">
        <v>594</v>
      </c>
      <c r="D847" s="2" t="str">
        <f t="shared" si="12"/>
        <v>Error?</v>
      </c>
    </row>
    <row r="848" spans="1:4" x14ac:dyDescent="0.2">
      <c r="A848" s="5">
        <v>787</v>
      </c>
      <c r="B848" s="138">
        <f>'Expenditures 15-22'!E49</f>
        <v>19784</v>
      </c>
      <c r="D848" s="2" t="str">
        <f t="shared" si="12"/>
        <v>Error?</v>
      </c>
    </row>
    <row r="849" spans="1:4" x14ac:dyDescent="0.2">
      <c r="A849" s="5">
        <v>788</v>
      </c>
      <c r="B849" s="138">
        <f>'Expenditures 15-22'!E50</f>
        <v>960</v>
      </c>
      <c r="D849" s="2" t="str">
        <f t="shared" si="12"/>
        <v>Error?</v>
      </c>
    </row>
    <row r="850" spans="1:4" x14ac:dyDescent="0.2">
      <c r="A850" s="5">
        <v>789</v>
      </c>
      <c r="B850" s="138">
        <f>'Expenditures 15-22'!E53</f>
        <v>20744</v>
      </c>
      <c r="C850" s="2" t="s">
        <v>594</v>
      </c>
      <c r="D850" s="2" t="str">
        <f t="shared" si="12"/>
        <v>Error?</v>
      </c>
    </row>
    <row r="851" spans="1:4" x14ac:dyDescent="0.2">
      <c r="A851" s="5">
        <v>790</v>
      </c>
      <c r="B851" s="138">
        <f>'Expenditures 15-22'!E55</f>
        <v>1777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1777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567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567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4844</v>
      </c>
      <c r="D870" s="2" t="str">
        <f t="shared" si="12"/>
        <v>Error?</v>
      </c>
    </row>
    <row r="871" spans="1:4" x14ac:dyDescent="0.2">
      <c r="A871" s="5">
        <v>810</v>
      </c>
      <c r="B871" s="138">
        <f>'Expenditures 15-22'!E74</f>
        <v>38913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71122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31258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31271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7920</v>
      </c>
      <c r="D902" s="2" t="str">
        <f t="shared" si="13"/>
        <v>Error?</v>
      </c>
    </row>
    <row r="903" spans="1:4" x14ac:dyDescent="0.2">
      <c r="A903" s="5">
        <v>842</v>
      </c>
      <c r="B903" s="138">
        <f>'Expenditures 15-22'!F45</f>
        <v>189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8109</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219</v>
      </c>
      <c r="D907" s="2" t="str">
        <f t="shared" si="13"/>
        <v>Error?</v>
      </c>
    </row>
    <row r="908" spans="1:4" x14ac:dyDescent="0.2">
      <c r="A908" s="5">
        <v>847</v>
      </c>
      <c r="B908" s="138">
        <f>'Expenditures 15-22'!F53</f>
        <v>219</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946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21536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22482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30810</v>
      </c>
      <c r="C929" s="2" t="s">
        <v>594</v>
      </c>
      <c r="D929" s="2" t="str">
        <f t="shared" si="13"/>
        <v>Error?</v>
      </c>
    </row>
    <row r="930" spans="1:4" x14ac:dyDescent="0.2">
      <c r="A930" s="5">
        <v>869</v>
      </c>
      <c r="B930" s="138">
        <f>'Expenditures 15-22'!F75</f>
        <v>334</v>
      </c>
      <c r="D930" s="2" t="str">
        <f t="shared" si="13"/>
        <v>Error?</v>
      </c>
    </row>
    <row r="931" spans="1:4" x14ac:dyDescent="0.2">
      <c r="A931" s="5">
        <v>870</v>
      </c>
      <c r="B931" s="138">
        <f>'Expenditures 15-22'!F114</f>
        <v>62415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1272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28462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123</v>
      </c>
      <c r="D1022" s="2" t="str">
        <f t="shared" si="14"/>
        <v>Error?</v>
      </c>
    </row>
    <row r="1023" spans="1:4" x14ac:dyDescent="0.2">
      <c r="A1023" s="5">
        <v>962</v>
      </c>
      <c r="B1023" s="138">
        <f>'Expenditures 15-22'!H50</f>
        <v>979</v>
      </c>
      <c r="D1023" s="2" t="str">
        <f t="shared" ref="D1023:D1086" si="15">IF(ISBLANK(B1023),"OK",IF(A1023-B1023=0,"OK","Error?"))</f>
        <v>Error?</v>
      </c>
    </row>
    <row r="1024" spans="1:4" x14ac:dyDescent="0.2">
      <c r="A1024" s="5">
        <v>963</v>
      </c>
      <c r="B1024" s="138">
        <f>'Expenditures 15-22'!H53</f>
        <v>1102</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51</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1153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417520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447135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397901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17226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508747</v>
      </c>
      <c r="C1108" s="2" t="s">
        <v>594</v>
      </c>
      <c r="D1108" s="2" t="str">
        <f t="shared" si="16"/>
        <v>Error?</v>
      </c>
    </row>
    <row r="1109" spans="1:4" x14ac:dyDescent="0.2">
      <c r="A1109" s="5">
        <v>1048</v>
      </c>
      <c r="B1109" s="138">
        <f>'Expenditures 15-22'!K36</f>
        <v>66997</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6063</v>
      </c>
      <c r="C1114" s="2" t="s">
        <v>594</v>
      </c>
      <c r="D1114" s="2" t="str">
        <f t="shared" si="16"/>
        <v>Error?</v>
      </c>
    </row>
    <row r="1115" spans="1:4" x14ac:dyDescent="0.2">
      <c r="A1115" s="5">
        <v>1054</v>
      </c>
      <c r="B1115" s="138">
        <f>'Expenditures 15-22'!K42</f>
        <v>73060</v>
      </c>
      <c r="C1115" s="2" t="s">
        <v>594</v>
      </c>
      <c r="D1115" s="2" t="str">
        <f t="shared" si="16"/>
        <v>Error?</v>
      </c>
    </row>
    <row r="1116" spans="1:4" x14ac:dyDescent="0.2">
      <c r="A1116" s="5">
        <v>1055</v>
      </c>
      <c r="B1116" s="138">
        <f>'Expenditures 15-22'!K44</f>
        <v>14084</v>
      </c>
      <c r="C1116" s="2" t="s">
        <v>594</v>
      </c>
      <c r="D1116" s="2" t="str">
        <f t="shared" si="16"/>
        <v>Error?</v>
      </c>
    </row>
    <row r="1117" spans="1:4" x14ac:dyDescent="0.2">
      <c r="A1117" s="5">
        <v>1056</v>
      </c>
      <c r="B1117" s="138">
        <f>'Expenditures 15-22'!K45</f>
        <v>189</v>
      </c>
      <c r="C1117" s="2" t="s">
        <v>594</v>
      </c>
      <c r="D1117" s="2" t="str">
        <f t="shared" si="16"/>
        <v>Error?</v>
      </c>
    </row>
    <row r="1118" spans="1:4" x14ac:dyDescent="0.2">
      <c r="A1118" s="5">
        <v>1057</v>
      </c>
      <c r="B1118" s="138">
        <f>'Expenditures 15-22'!K46</f>
        <v>1209</v>
      </c>
      <c r="C1118" s="2" t="s">
        <v>594</v>
      </c>
      <c r="D1118" s="2" t="str">
        <f t="shared" si="16"/>
        <v>Error?</v>
      </c>
    </row>
    <row r="1119" spans="1:4" x14ac:dyDescent="0.2">
      <c r="A1119" s="5">
        <v>1058</v>
      </c>
      <c r="B1119" s="138">
        <f>'Expenditures 15-22'!K47</f>
        <v>15482</v>
      </c>
      <c r="C1119" s="2" t="s">
        <v>594</v>
      </c>
      <c r="D1119" s="2" t="str">
        <f t="shared" si="16"/>
        <v>Error?</v>
      </c>
    </row>
    <row r="1120" spans="1:4" x14ac:dyDescent="0.2">
      <c r="A1120" s="5">
        <v>1059</v>
      </c>
      <c r="B1120" s="138">
        <f>'Expenditures 15-22'!K49</f>
        <v>20657</v>
      </c>
      <c r="C1120" s="2" t="s">
        <v>594</v>
      </c>
      <c r="D1120" s="2" t="str">
        <f t="shared" si="16"/>
        <v>Error?</v>
      </c>
    </row>
    <row r="1121" spans="1:4" x14ac:dyDescent="0.2">
      <c r="A1121" s="5">
        <v>1060</v>
      </c>
      <c r="B1121" s="138">
        <f>'Expenditures 15-22'!K50</f>
        <v>44489</v>
      </c>
      <c r="C1121" s="2" t="s">
        <v>594</v>
      </c>
      <c r="D1121" s="2" t="str">
        <f t="shared" si="16"/>
        <v>Error?</v>
      </c>
    </row>
    <row r="1122" spans="1:4" x14ac:dyDescent="0.2">
      <c r="A1122" s="5">
        <v>1061</v>
      </c>
      <c r="B1122" s="138">
        <f>'Expenditures 15-22'!K53</f>
        <v>65146</v>
      </c>
      <c r="C1122" s="2" t="s">
        <v>594</v>
      </c>
      <c r="D1122" s="2" t="str">
        <f t="shared" si="16"/>
        <v>Error?</v>
      </c>
    </row>
    <row r="1123" spans="1:4" x14ac:dyDescent="0.2">
      <c r="A1123" s="5">
        <v>1062</v>
      </c>
      <c r="B1123" s="138">
        <f>'Expenditures 15-22'!K55</f>
        <v>57324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57324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35653</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35949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71602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4844</v>
      </c>
      <c r="C1142" s="2" t="s">
        <v>594</v>
      </c>
      <c r="D1142" s="2" t="str">
        <f t="shared" si="16"/>
        <v>Error?</v>
      </c>
    </row>
    <row r="1143" spans="1:4" x14ac:dyDescent="0.2">
      <c r="A1143" s="5">
        <v>1082</v>
      </c>
      <c r="B1143" s="138">
        <f>'Expenditures 15-22'!K74</f>
        <v>287458</v>
      </c>
      <c r="C1143" s="2" t="s">
        <v>594</v>
      </c>
      <c r="D1143" s="2" t="str">
        <f t="shared" si="16"/>
        <v>Error?</v>
      </c>
    </row>
    <row r="1144" spans="1:4" x14ac:dyDescent="0.2">
      <c r="A1144" s="5">
        <v>1083</v>
      </c>
      <c r="B1144" s="138">
        <f>'Expenditures 15-22'!K75</f>
        <v>334</v>
      </c>
      <c r="C1144" s="2" t="s">
        <v>594</v>
      </c>
      <c r="D1144" s="2" t="str">
        <f t="shared" si="16"/>
        <v>Error?</v>
      </c>
    </row>
    <row r="1145" spans="1:4" x14ac:dyDescent="0.2">
      <c r="A1145" s="5">
        <v>1084</v>
      </c>
      <c r="B1145" s="138">
        <f>'Expenditures 15-22'!K102</f>
        <v>441708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1238247</v>
      </c>
      <c r="C1152" s="2" t="s">
        <v>594</v>
      </c>
      <c r="D1152" s="2" t="str">
        <f t="shared" si="17"/>
        <v>Error?</v>
      </c>
    </row>
    <row r="1153" spans="1:4" x14ac:dyDescent="0.2">
      <c r="A1153" s="5">
        <v>1092</v>
      </c>
      <c r="B1153" s="138">
        <f>'Expenditures 15-22'!K115</f>
        <v>271871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33877</v>
      </c>
      <c r="D1221" s="2" t="str">
        <f t="shared" si="18"/>
        <v>Error?</v>
      </c>
    </row>
    <row r="1222" spans="1:4" x14ac:dyDescent="0.2">
      <c r="A1222" s="10">
        <v>1161</v>
      </c>
      <c r="D1222" s="2" t="str">
        <f t="shared" si="18"/>
        <v>OK</v>
      </c>
    </row>
    <row r="1223" spans="1:4" x14ac:dyDescent="0.2">
      <c r="A1223" s="5">
        <v>1162</v>
      </c>
      <c r="B1223" s="138">
        <f>'Expenditures 15-22'!C127</f>
        <v>33877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33877</v>
      </c>
      <c r="C1225" s="2" t="s">
        <v>594</v>
      </c>
      <c r="D1225" s="2" t="str">
        <f t="shared" si="18"/>
        <v>Error?</v>
      </c>
    </row>
    <row r="1226" spans="1:4" x14ac:dyDescent="0.2">
      <c r="A1226" s="5">
        <v>1165</v>
      </c>
      <c r="B1226" s="138">
        <f>'Expenditures 15-22'!C151</f>
        <v>33877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66606</v>
      </c>
      <c r="D1237" s="2" t="str">
        <f t="shared" si="18"/>
        <v>Error?</v>
      </c>
    </row>
    <row r="1238" spans="1:4" x14ac:dyDescent="0.2">
      <c r="A1238" s="10">
        <v>1177</v>
      </c>
      <c r="D1238" s="2" t="str">
        <f t="shared" si="18"/>
        <v>OK</v>
      </c>
    </row>
    <row r="1239" spans="1:4" x14ac:dyDescent="0.2">
      <c r="A1239" s="5">
        <v>1178</v>
      </c>
      <c r="B1239" s="138">
        <f>'Expenditures 15-22'!E127</f>
        <v>66606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66606</v>
      </c>
      <c r="C1241" s="2" t="s">
        <v>594</v>
      </c>
      <c r="D1241" s="2" t="str">
        <f t="shared" si="18"/>
        <v>Error?</v>
      </c>
    </row>
    <row r="1242" spans="1:4" x14ac:dyDescent="0.2">
      <c r="A1242" s="5">
        <v>1181</v>
      </c>
      <c r="B1242" s="138">
        <f>'Expenditures 15-22'!E151</f>
        <v>66606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40276</v>
      </c>
      <c r="D1245" s="2" t="str">
        <f t="shared" si="18"/>
        <v>Error?</v>
      </c>
    </row>
    <row r="1246" spans="1:4" x14ac:dyDescent="0.2">
      <c r="A1246" s="10">
        <v>1185</v>
      </c>
      <c r="D1246" s="2" t="str">
        <f t="shared" si="18"/>
        <v>OK</v>
      </c>
    </row>
    <row r="1247" spans="1:4" x14ac:dyDescent="0.2">
      <c r="A1247" s="5">
        <v>1186</v>
      </c>
      <c r="B1247" s="138">
        <f>'Expenditures 15-22'!F127</f>
        <v>40276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40276</v>
      </c>
      <c r="C1249" s="2" t="s">
        <v>594</v>
      </c>
      <c r="D1249" s="2" t="str">
        <f t="shared" si="18"/>
        <v>Error?</v>
      </c>
    </row>
    <row r="1250" spans="1:4" x14ac:dyDescent="0.2">
      <c r="A1250" s="5">
        <v>1189</v>
      </c>
      <c r="B1250" s="138">
        <f>'Expenditures 15-22'!F151</f>
        <v>40276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6281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6281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6281</v>
      </c>
      <c r="C1258" s="2" t="s">
        <v>594</v>
      </c>
      <c r="D1258" s="2" t="str">
        <f t="shared" si="18"/>
        <v>Error?</v>
      </c>
    </row>
    <row r="1259" spans="1:4" x14ac:dyDescent="0.2">
      <c r="A1259" s="5">
        <v>1198</v>
      </c>
      <c r="B1259" s="138">
        <f>'Expenditures 15-22'!G151</f>
        <v>6281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147040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147040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147040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147040</v>
      </c>
      <c r="C1288" s="2" t="s">
        <v>594</v>
      </c>
      <c r="D1288" s="2" t="str">
        <f t="shared" si="19"/>
        <v>Error?</v>
      </c>
    </row>
    <row r="1289" spans="1:4" x14ac:dyDescent="0.2">
      <c r="A1289" s="5">
        <v>1228</v>
      </c>
      <c r="B1289" s="138">
        <f>'Expenditures 15-22'!K152</f>
        <v>-14919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26237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111582</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138819</v>
      </c>
      <c r="C1317" s="2" t="s">
        <v>594</v>
      </c>
      <c r="D1317" s="2" t="str">
        <f t="shared" si="19"/>
        <v>Error?</v>
      </c>
    </row>
    <row r="1318" spans="1:4" x14ac:dyDescent="0.2">
      <c r="A1318" s="5">
        <v>1257</v>
      </c>
      <c r="B1318" s="138">
        <f>'Expenditures 15-22'!H174</f>
        <v>138819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26237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111582</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138819</v>
      </c>
      <c r="C1331" s="2" t="s">
        <v>594</v>
      </c>
      <c r="D1331" s="2" t="str">
        <f t="shared" si="19"/>
        <v>Error?</v>
      </c>
    </row>
    <row r="1332" spans="1:4" x14ac:dyDescent="0.2">
      <c r="A1332" s="5">
        <v>1271</v>
      </c>
      <c r="B1332" s="138">
        <f>'Expenditures 15-22'!K174</f>
        <v>138819</v>
      </c>
      <c r="C1332" s="2" t="s">
        <v>594</v>
      </c>
      <c r="D1332" s="2" t="str">
        <f t="shared" si="19"/>
        <v>Error?</v>
      </c>
    </row>
    <row r="1333" spans="1:4" x14ac:dyDescent="0.2">
      <c r="A1333" s="5">
        <v>1272</v>
      </c>
      <c r="B1333" s="138">
        <f>'Expenditures 15-22'!K175</f>
        <v>-6455</v>
      </c>
      <c r="C1333" s="2" t="s">
        <v>594</v>
      </c>
      <c r="D1333" s="2" t="str">
        <f t="shared" si="19"/>
        <v>Error?</v>
      </c>
    </row>
    <row r="1334" spans="1:4" x14ac:dyDescent="0.2">
      <c r="A1334" s="10">
        <v>1273</v>
      </c>
      <c r="D1334" s="2" t="str">
        <f t="shared" si="19"/>
        <v>OK</v>
      </c>
    </row>
    <row r="1335" spans="1:4" x14ac:dyDescent="0.2">
      <c r="A1335" s="5">
        <v>1274</v>
      </c>
      <c r="B1335" s="138">
        <f>'Expenditures 15-22'!C182</f>
        <v>42432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42432</v>
      </c>
      <c r="C1339" s="2" t="s">
        <v>594</v>
      </c>
      <c r="D1339" s="2" t="str">
        <f t="shared" si="19"/>
        <v>Error?</v>
      </c>
    </row>
    <row r="1340" spans="1:4" x14ac:dyDescent="0.2">
      <c r="A1340" s="5">
        <v>1279</v>
      </c>
      <c r="B1340" s="138">
        <f>'Expenditures 15-22'!C210</f>
        <v>42432</v>
      </c>
      <c r="C1340" s="2" t="s">
        <v>594</v>
      </c>
      <c r="D1340" s="2" t="str">
        <f t="shared" si="19"/>
        <v>Error?</v>
      </c>
    </row>
    <row r="1341" spans="1:4" x14ac:dyDescent="0.2">
      <c r="A1341" s="5">
        <v>1280</v>
      </c>
      <c r="B1341" s="138">
        <f>'Expenditures 15-22'!D182</f>
        <v>315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315</v>
      </c>
      <c r="C1345" s="2" t="s">
        <v>594</v>
      </c>
      <c r="D1345" s="2" t="str">
        <f t="shared" si="20"/>
        <v>Error?</v>
      </c>
    </row>
    <row r="1346" spans="1:4" x14ac:dyDescent="0.2">
      <c r="A1346" s="5">
        <v>1285</v>
      </c>
      <c r="B1346" s="138">
        <f>'Expenditures 15-22'!D210</f>
        <v>315</v>
      </c>
      <c r="C1346" s="2" t="s">
        <v>594</v>
      </c>
      <c r="D1346" s="2" t="str">
        <f t="shared" si="20"/>
        <v>Error?</v>
      </c>
    </row>
    <row r="1347" spans="1:4" x14ac:dyDescent="0.2">
      <c r="A1347" s="5">
        <v>1286</v>
      </c>
      <c r="B1347" s="138">
        <f>'Expenditures 15-22'!E182</f>
        <v>14817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14817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14817</v>
      </c>
      <c r="C1353" s="2" t="s">
        <v>594</v>
      </c>
      <c r="D1353" s="2" t="str">
        <f t="shared" si="20"/>
        <v>Error?</v>
      </c>
    </row>
    <row r="1354" spans="1:4" x14ac:dyDescent="0.2">
      <c r="A1354" s="5">
        <v>1293</v>
      </c>
      <c r="B1354" s="138">
        <f>'Expenditures 15-22'!F182</f>
        <v>11949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11949</v>
      </c>
      <c r="C1358" s="2" t="s">
        <v>594</v>
      </c>
      <c r="D1358" s="2" t="str">
        <f t="shared" si="20"/>
        <v>Error?</v>
      </c>
    </row>
    <row r="1359" spans="1:4" x14ac:dyDescent="0.2">
      <c r="A1359" s="5">
        <v>1298</v>
      </c>
      <c r="B1359" s="138">
        <f>'Expenditures 15-22'!F210</f>
        <v>11949</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30457</v>
      </c>
      <c r="C1375" s="2" t="s">
        <v>594</v>
      </c>
      <c r="D1375" s="2" t="str">
        <f t="shared" si="20"/>
        <v>Error?</v>
      </c>
    </row>
    <row r="1376" spans="1:4" x14ac:dyDescent="0.2">
      <c r="A1376" s="5">
        <v>1315</v>
      </c>
      <c r="B1376" s="138">
        <f>'Expenditures 15-22'!H210</f>
        <v>30457</v>
      </c>
      <c r="C1376" s="2" t="s">
        <v>594</v>
      </c>
      <c r="D1376" s="2" t="str">
        <f t="shared" si="20"/>
        <v>Error?</v>
      </c>
    </row>
    <row r="1377" spans="1:4" x14ac:dyDescent="0.2">
      <c r="A1377" s="5">
        <v>1316</v>
      </c>
      <c r="B1377" s="138">
        <f>'Expenditures 15-22'!K182</f>
        <v>69513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69513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30457</v>
      </c>
      <c r="C1387" s="2" t="s">
        <v>594</v>
      </c>
      <c r="D1387" s="2" t="str">
        <f t="shared" si="20"/>
        <v>Error?</v>
      </c>
    </row>
    <row r="1388" spans="1:4" x14ac:dyDescent="0.2">
      <c r="A1388" s="5">
        <v>1327</v>
      </c>
      <c r="B1388" s="138">
        <f>'Expenditures 15-22'!K210</f>
        <v>99970</v>
      </c>
      <c r="C1388" s="2" t="s">
        <v>594</v>
      </c>
      <c r="D1388" s="2" t="str">
        <f t="shared" si="20"/>
        <v>Error?</v>
      </c>
    </row>
    <row r="1389" spans="1:4" x14ac:dyDescent="0.2">
      <c r="A1389" s="5">
        <v>1328</v>
      </c>
      <c r="B1389" s="138">
        <f>'Expenditures 15-22'!K211</f>
        <v>74670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1093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9435</v>
      </c>
      <c r="C1410" s="2" t="s">
        <v>594</v>
      </c>
      <c r="D1410" s="2" t="str">
        <f t="shared" si="21"/>
        <v>Error?</v>
      </c>
    </row>
    <row r="1411" spans="1:4" x14ac:dyDescent="0.2">
      <c r="A1411" s="5">
        <v>1350</v>
      </c>
      <c r="B1411" s="138">
        <f>'Expenditures 15-22'!D232</f>
        <v>838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838</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57</v>
      </c>
      <c r="D1422" s="2" t="str">
        <f t="shared" si="21"/>
        <v>Error?</v>
      </c>
    </row>
    <row r="1423" spans="1:4" x14ac:dyDescent="0.2">
      <c r="A1423" s="5">
        <v>1362</v>
      </c>
      <c r="B1423" s="138">
        <f>'Expenditures 15-22'!D246</f>
        <v>721</v>
      </c>
      <c r="D1423" s="2" t="str">
        <f t="shared" si="21"/>
        <v>Error?</v>
      </c>
    </row>
    <row r="1424" spans="1:4" x14ac:dyDescent="0.2">
      <c r="A1424" s="5">
        <v>1363</v>
      </c>
      <c r="B1424" s="138">
        <f>'Expenditures 15-22'!D257</f>
        <v>778</v>
      </c>
      <c r="C1424" s="2" t="s">
        <v>594</v>
      </c>
      <c r="D1424" s="2" t="str">
        <f t="shared" si="21"/>
        <v>Error?</v>
      </c>
    </row>
    <row r="1425" spans="1:4" x14ac:dyDescent="0.2">
      <c r="A1425" s="5">
        <v>1364</v>
      </c>
      <c r="B1425" s="138">
        <f>'Expenditures 15-22'!D259</f>
        <v>937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937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3159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3866</v>
      </c>
      <c r="D1431" s="2" t="str">
        <f t="shared" si="21"/>
        <v>Error?</v>
      </c>
    </row>
    <row r="1432" spans="1:4" x14ac:dyDescent="0.2">
      <c r="A1432" s="5">
        <v>1371</v>
      </c>
      <c r="B1432" s="138">
        <f>'Expenditures 15-22'!D267</f>
        <v>3404</v>
      </c>
      <c r="D1432" s="2" t="str">
        <f t="shared" si="21"/>
        <v>Error?</v>
      </c>
    </row>
    <row r="1433" spans="1:4" x14ac:dyDescent="0.2">
      <c r="A1433" s="5">
        <v>1372</v>
      </c>
      <c r="B1433" s="138">
        <f>'Expenditures 15-22'!D268</f>
        <v>1217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11646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14199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23634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1093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9435</v>
      </c>
      <c r="C1474" s="2" t="s">
        <v>594</v>
      </c>
      <c r="D1474" s="2" t="str">
        <f t="shared" si="22"/>
        <v>Error?</v>
      </c>
    </row>
    <row r="1475" spans="1:4" x14ac:dyDescent="0.2">
      <c r="A1475" s="5">
        <v>1414</v>
      </c>
      <c r="B1475" s="138">
        <f>'Expenditures 15-22'!K232</f>
        <v>838</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838</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57</v>
      </c>
      <c r="C1486" s="2" t="s">
        <v>594</v>
      </c>
      <c r="D1486" s="2" t="str">
        <f t="shared" si="22"/>
        <v>Error?</v>
      </c>
    </row>
    <row r="1487" spans="1:4" x14ac:dyDescent="0.2">
      <c r="A1487" s="5">
        <v>1426</v>
      </c>
      <c r="B1487" s="138">
        <f>'Expenditures 15-22'!K246</f>
        <v>721</v>
      </c>
      <c r="C1487" s="2" t="s">
        <v>594</v>
      </c>
      <c r="D1487" s="2" t="str">
        <f t="shared" si="22"/>
        <v>Error?</v>
      </c>
    </row>
    <row r="1488" spans="1:4" x14ac:dyDescent="0.2">
      <c r="A1488" s="5">
        <v>1427</v>
      </c>
      <c r="B1488" s="138">
        <f>'Expenditures 15-22'!K257</f>
        <v>778</v>
      </c>
      <c r="C1488" s="2" t="s">
        <v>594</v>
      </c>
      <c r="D1488" s="2" t="str">
        <f t="shared" si="22"/>
        <v>Error?</v>
      </c>
    </row>
    <row r="1489" spans="1:4" x14ac:dyDescent="0.2">
      <c r="A1489" s="5">
        <v>1428</v>
      </c>
      <c r="B1489" s="138">
        <f>'Expenditures 15-22'!K259</f>
        <v>937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937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3159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3866</v>
      </c>
      <c r="C1495" s="2" t="s">
        <v>594</v>
      </c>
      <c r="D1495" s="2" t="str">
        <f t="shared" si="22"/>
        <v>Error?</v>
      </c>
    </row>
    <row r="1496" spans="1:4" x14ac:dyDescent="0.2">
      <c r="A1496" s="5">
        <v>1435</v>
      </c>
      <c r="B1496" s="138">
        <f>'Expenditures 15-22'!K267</f>
        <v>3404</v>
      </c>
      <c r="C1496" s="2" t="s">
        <v>594</v>
      </c>
      <c r="D1496" s="2" t="str">
        <f t="shared" si="22"/>
        <v>Error?</v>
      </c>
    </row>
    <row r="1497" spans="1:4" x14ac:dyDescent="0.2">
      <c r="A1497" s="5">
        <v>1436</v>
      </c>
      <c r="B1497" s="138">
        <f>'Expenditures 15-22'!K268</f>
        <v>1217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11646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14199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23634</v>
      </c>
      <c r="C1517" s="2" t="s">
        <v>594</v>
      </c>
      <c r="D1517" s="2" t="str">
        <f t="shared" si="22"/>
        <v>Error?</v>
      </c>
    </row>
    <row r="1518" spans="1:4" x14ac:dyDescent="0.2">
      <c r="A1518" s="5">
        <v>1457</v>
      </c>
      <c r="B1518" s="138">
        <f>'Expenditures 15-22'!K296</f>
        <v>3484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789480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1054603</v>
      </c>
      <c r="C1630" s="2" t="s">
        <v>594</v>
      </c>
      <c r="D1630" s="2" t="str">
        <f t="shared" si="24"/>
        <v>Error?</v>
      </c>
    </row>
    <row r="1631" spans="1:4" x14ac:dyDescent="0.2">
      <c r="A1631" s="5">
        <v>1570</v>
      </c>
      <c r="B1631" s="138">
        <f>'Acct Summary 7-8'!D79</f>
        <v>174075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172156</v>
      </c>
      <c r="C1644" s="2" t="s">
        <v>594</v>
      </c>
      <c r="D1644" s="2" t="str">
        <f t="shared" si="24"/>
        <v>Error?</v>
      </c>
    </row>
    <row r="1645" spans="1:4" x14ac:dyDescent="0.2">
      <c r="A1645" s="5">
        <v>1584</v>
      </c>
      <c r="B1645" s="138">
        <f>'Acct Summary 7-8'!E79</f>
        <v>21787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22080</v>
      </c>
      <c r="C1658" s="2" t="s">
        <v>594</v>
      </c>
      <c r="D1658" s="2" t="str">
        <f t="shared" si="24"/>
        <v>Error?</v>
      </c>
    </row>
    <row r="1659" spans="1:4" x14ac:dyDescent="0.2">
      <c r="A1659" s="5">
        <v>1598</v>
      </c>
      <c r="B1659" s="138">
        <f>'Acct Summary 7-8'!F79</f>
        <v>142618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217288</v>
      </c>
      <c r="C1672" s="2" t="s">
        <v>594</v>
      </c>
      <c r="D1672" s="2" t="str">
        <f t="shared" si="25"/>
        <v>Error?</v>
      </c>
    </row>
    <row r="1673" spans="1:4" x14ac:dyDescent="0.2">
      <c r="A1673" s="5">
        <v>1612</v>
      </c>
      <c r="B1673" s="138">
        <f>'Acct Summary 7-8'!G79</f>
        <v>58777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62261</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997229</v>
      </c>
      <c r="C1744" s="2" t="s">
        <v>594</v>
      </c>
      <c r="D1744" s="2" t="str">
        <f t="shared" si="26"/>
        <v>Error?</v>
      </c>
    </row>
    <row r="1745" spans="1:5" x14ac:dyDescent="0.2">
      <c r="A1745" s="5">
        <v>1684</v>
      </c>
      <c r="B1745" s="138">
        <f>'Tax Sched 23'!B5</f>
        <v>131214</v>
      </c>
      <c r="C1745" s="2" t="s">
        <v>594</v>
      </c>
      <c r="D1745" s="2" t="str">
        <f t="shared" si="26"/>
        <v>Error?</v>
      </c>
    </row>
    <row r="1746" spans="1:5" x14ac:dyDescent="0.2">
      <c r="A1746" s="5">
        <v>1685</v>
      </c>
      <c r="B1746" s="138">
        <f>'Tax Sched 23'!B6</f>
        <v>132298</v>
      </c>
      <c r="C1746" s="2" t="s">
        <v>594</v>
      </c>
      <c r="D1746" s="2" t="str">
        <f t="shared" si="26"/>
        <v>Error?</v>
      </c>
    </row>
    <row r="1747" spans="1:5" x14ac:dyDescent="0.2">
      <c r="A1747" s="5">
        <v>1686</v>
      </c>
      <c r="B1747" s="138">
        <f>'Tax Sched 23'!B7</f>
        <v>62983</v>
      </c>
      <c r="C1747" s="2" t="s">
        <v>594</v>
      </c>
      <c r="D1747" s="2" t="str">
        <f t="shared" si="26"/>
        <v>Error?</v>
      </c>
    </row>
    <row r="1748" spans="1:5" x14ac:dyDescent="0.2">
      <c r="A1748" s="5">
        <v>1687</v>
      </c>
      <c r="B1748" s="138">
        <f>'Tax Sched 23'!B8</f>
        <v>14132</v>
      </c>
      <c r="C1748" s="2" t="s">
        <v>594</v>
      </c>
      <c r="D1748" s="2" t="str">
        <f t="shared" si="26"/>
        <v>Error?</v>
      </c>
    </row>
    <row r="1749" spans="1:5" x14ac:dyDescent="0.2">
      <c r="A1749" s="5">
        <v>1688</v>
      </c>
      <c r="B1749" s="138">
        <f>'Tax Sched 23'!B10</f>
        <v>13121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172927</v>
      </c>
      <c r="C1752" s="2" t="s">
        <v>594</v>
      </c>
      <c r="D1752" s="2" t="str">
        <f t="shared" si="26"/>
        <v>Error?</v>
      </c>
    </row>
    <row r="1753" spans="1:5" x14ac:dyDescent="0.2">
      <c r="A1753" s="5">
        <v>1692</v>
      </c>
      <c r="B1753" s="138">
        <f>'Tax Sched 23'!B12</f>
        <v>13452</v>
      </c>
      <c r="C1753" s="2" t="s">
        <v>594</v>
      </c>
      <c r="D1753" s="2" t="str">
        <f t="shared" si="26"/>
        <v>Error?</v>
      </c>
    </row>
    <row r="1754" spans="1:5" x14ac:dyDescent="0.2">
      <c r="A1754" s="5">
        <v>1693</v>
      </c>
      <c r="B1754" s="138">
        <f>'Tax Sched 23'!B14</f>
        <v>10497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1573088</v>
      </c>
      <c r="C1759" s="2" t="s">
        <v>594</v>
      </c>
      <c r="D1759" s="2" t="str">
        <f t="shared" si="26"/>
        <v>Error?</v>
      </c>
    </row>
    <row r="1760" spans="1:5" x14ac:dyDescent="0.2">
      <c r="A1760" s="5">
        <v>1699</v>
      </c>
      <c r="B1760" s="138">
        <f>'Tax Sched 23'!D4</f>
        <v>997229</v>
      </c>
      <c r="C1760" s="2" t="s">
        <v>594</v>
      </c>
      <c r="D1760" s="2" t="str">
        <f t="shared" si="26"/>
        <v>Error?</v>
      </c>
    </row>
    <row r="1761" spans="1:5" x14ac:dyDescent="0.2">
      <c r="A1761" s="5">
        <v>1700</v>
      </c>
      <c r="B1761" s="138">
        <f>'Tax Sched 23'!D5</f>
        <v>131214</v>
      </c>
      <c r="C1761" s="2" t="s">
        <v>594</v>
      </c>
      <c r="D1761" s="2" t="str">
        <f t="shared" si="26"/>
        <v>Error?</v>
      </c>
    </row>
    <row r="1762" spans="1:5" s="8" customFormat="1" x14ac:dyDescent="0.2">
      <c r="A1762" s="5">
        <v>1701</v>
      </c>
      <c r="B1762" s="138">
        <f>'Tax Sched 23'!D6</f>
        <v>132298</v>
      </c>
      <c r="C1762" s="2" t="s">
        <v>594</v>
      </c>
      <c r="D1762" s="2" t="str">
        <f t="shared" si="26"/>
        <v>Error?</v>
      </c>
      <c r="E1762" s="9"/>
    </row>
    <row r="1763" spans="1:5" x14ac:dyDescent="0.2">
      <c r="A1763" s="5">
        <v>1702</v>
      </c>
      <c r="B1763" s="138">
        <f>'Tax Sched 23'!D7</f>
        <v>62983</v>
      </c>
      <c r="C1763" s="2" t="s">
        <v>594</v>
      </c>
      <c r="D1763" s="2" t="str">
        <f t="shared" si="26"/>
        <v>Error?</v>
      </c>
    </row>
    <row r="1764" spans="1:5" x14ac:dyDescent="0.2">
      <c r="A1764" s="5">
        <v>1703</v>
      </c>
      <c r="B1764" s="138">
        <f>'Tax Sched 23'!D8</f>
        <v>14132</v>
      </c>
      <c r="C1764" s="2" t="s">
        <v>594</v>
      </c>
      <c r="D1764" s="2" t="str">
        <f t="shared" si="26"/>
        <v>Error?</v>
      </c>
    </row>
    <row r="1765" spans="1:5" x14ac:dyDescent="0.2">
      <c r="A1765" s="5">
        <v>1704</v>
      </c>
      <c r="B1765" s="138">
        <f>'Tax Sched 23'!D10</f>
        <v>13121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172927</v>
      </c>
      <c r="C1768" s="2" t="s">
        <v>594</v>
      </c>
      <c r="D1768" s="2" t="str">
        <f t="shared" si="26"/>
        <v>Error?</v>
      </c>
    </row>
    <row r="1769" spans="1:5" x14ac:dyDescent="0.2">
      <c r="A1769" s="5">
        <v>1708</v>
      </c>
      <c r="B1769" s="138">
        <f>'Tax Sched 23'!D12</f>
        <v>13452</v>
      </c>
      <c r="C1769" s="2" t="s">
        <v>594</v>
      </c>
      <c r="D1769" s="2" t="str">
        <f t="shared" si="26"/>
        <v>Error?</v>
      </c>
    </row>
    <row r="1770" spans="1:5" x14ac:dyDescent="0.2">
      <c r="A1770" s="5">
        <v>1709</v>
      </c>
      <c r="B1770" s="138">
        <f>'Tax Sched 23'!D14</f>
        <v>10497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1573088</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1042629.1039999999</v>
      </c>
      <c r="C1792" s="2" t="s">
        <v>594</v>
      </c>
      <c r="D1792" s="2" t="str">
        <f t="shared" si="27"/>
        <v>Error?</v>
      </c>
    </row>
    <row r="1793" spans="1:4" x14ac:dyDescent="0.2">
      <c r="A1793" s="5">
        <v>1732</v>
      </c>
      <c r="B1793" s="138">
        <f>'Tax Sched 23'!F5</f>
        <v>137188.04</v>
      </c>
      <c r="C1793" s="2" t="s">
        <v>594</v>
      </c>
      <c r="D1793" s="2" t="str">
        <f t="shared" si="27"/>
        <v>Error?</v>
      </c>
    </row>
    <row r="1794" spans="1:4" x14ac:dyDescent="0.2">
      <c r="A1794" s="5">
        <v>1733</v>
      </c>
      <c r="B1794" s="138">
        <f>'Tax Sched 23'!F6</f>
        <v>179639.5070976</v>
      </c>
      <c r="C1794" s="2" t="s">
        <v>594</v>
      </c>
      <c r="D1794" s="2" t="str">
        <f t="shared" si="27"/>
        <v>Error?</v>
      </c>
    </row>
    <row r="1795" spans="1:4" x14ac:dyDescent="0.2">
      <c r="A1795" s="5">
        <v>1734</v>
      </c>
      <c r="B1795" s="138">
        <f>'Tax Sched 23'!F7</f>
        <v>65850.2592</v>
      </c>
      <c r="C1795" s="2" t="s">
        <v>594</v>
      </c>
      <c r="D1795" s="2" t="str">
        <f t="shared" si="27"/>
        <v>Error?</v>
      </c>
    </row>
    <row r="1796" spans="1:4" x14ac:dyDescent="0.2">
      <c r="A1796" s="5">
        <v>1735</v>
      </c>
      <c r="B1796" s="138">
        <f>'Tax Sched 23'!F8</f>
        <v>14500.775828</v>
      </c>
      <c r="C1796" s="2" t="s">
        <v>594</v>
      </c>
      <c r="D1796" s="2" t="str">
        <f t="shared" si="27"/>
        <v>Error?</v>
      </c>
    </row>
    <row r="1797" spans="1:4" x14ac:dyDescent="0.2">
      <c r="A1797" s="5">
        <v>1736</v>
      </c>
      <c r="B1797" s="138">
        <f>'Tax Sched 23'!F10</f>
        <v>13718.804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154800.2405752</v>
      </c>
      <c r="C1800" s="2" t="s">
        <v>594</v>
      </c>
      <c r="D1800" s="2" t="str">
        <f t="shared" si="27"/>
        <v>Error?</v>
      </c>
    </row>
    <row r="1801" spans="1:4" x14ac:dyDescent="0.2">
      <c r="A1801" s="5">
        <v>1740</v>
      </c>
      <c r="B1801" s="138">
        <f>'Tax Sched 23'!F12</f>
        <v>27437.608</v>
      </c>
      <c r="C1801" s="2" t="s">
        <v>594</v>
      </c>
      <c r="D1801" s="2" t="str">
        <f t="shared" si="27"/>
        <v>Error?</v>
      </c>
    </row>
    <row r="1802" spans="1:4" x14ac:dyDescent="0.2">
      <c r="A1802" s="5">
        <v>1741</v>
      </c>
      <c r="B1802" s="138">
        <f>'Tax Sched 23'!F14</f>
        <v>10975.0432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1673460.8683319998</v>
      </c>
      <c r="C1807" s="2" t="s">
        <v>594</v>
      </c>
      <c r="D1807" s="2" t="str">
        <f t="shared" si="27"/>
        <v>Error?</v>
      </c>
    </row>
    <row r="1808" spans="1:4" x14ac:dyDescent="0.2">
      <c r="A1808" s="5">
        <v>1747</v>
      </c>
      <c r="B1808" s="138">
        <f>'Tax Sched 23'!E4</f>
        <v>1042629.1039999999</v>
      </c>
      <c r="D1808" s="2" t="str">
        <f t="shared" si="27"/>
        <v>Error?</v>
      </c>
    </row>
    <row r="1809" spans="1:4" x14ac:dyDescent="0.2">
      <c r="A1809" s="5">
        <v>1748</v>
      </c>
      <c r="B1809" s="138">
        <f>'Tax Sched 23'!E5</f>
        <v>137188.04</v>
      </c>
      <c r="D1809" s="2" t="str">
        <f t="shared" si="27"/>
        <v>Error?</v>
      </c>
    </row>
    <row r="1810" spans="1:4" x14ac:dyDescent="0.2">
      <c r="A1810" s="5">
        <v>1749</v>
      </c>
      <c r="B1810" s="138">
        <f>'Tax Sched 23'!E6</f>
        <v>179639.5070976</v>
      </c>
      <c r="D1810" s="2" t="str">
        <f t="shared" si="27"/>
        <v>Error?</v>
      </c>
    </row>
    <row r="1811" spans="1:4" x14ac:dyDescent="0.2">
      <c r="A1811" s="5">
        <v>1750</v>
      </c>
      <c r="B1811" s="138">
        <f>'Tax Sched 23'!E7</f>
        <v>65850.2592</v>
      </c>
      <c r="D1811" s="2" t="str">
        <f t="shared" si="27"/>
        <v>Error?</v>
      </c>
    </row>
    <row r="1812" spans="1:4" x14ac:dyDescent="0.2">
      <c r="A1812" s="5">
        <v>1751</v>
      </c>
      <c r="B1812" s="138">
        <f>'Tax Sched 23'!E8</f>
        <v>14500.775828</v>
      </c>
      <c r="D1812" s="2" t="str">
        <f t="shared" si="27"/>
        <v>Error?</v>
      </c>
    </row>
    <row r="1813" spans="1:4" x14ac:dyDescent="0.2">
      <c r="A1813" s="5">
        <v>1752</v>
      </c>
      <c r="B1813" s="138">
        <f>'Tax Sched 23'!E10</f>
        <v>13718.804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154800.2405752</v>
      </c>
      <c r="D1816" s="2" t="str">
        <f t="shared" si="27"/>
        <v>Error?</v>
      </c>
    </row>
    <row r="1817" spans="1:4" x14ac:dyDescent="0.2">
      <c r="A1817" s="5">
        <v>1756</v>
      </c>
      <c r="B1817" s="138">
        <f>'Tax Sched 23'!E12</f>
        <v>27437.608</v>
      </c>
      <c r="D1817" s="2" t="str">
        <f t="shared" si="27"/>
        <v>Error?</v>
      </c>
    </row>
    <row r="1818" spans="1:4" x14ac:dyDescent="0.2">
      <c r="A1818" s="5">
        <v>1757</v>
      </c>
      <c r="B1818" s="138">
        <f>'Tax Sched 23'!E14</f>
        <v>10975.0432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1673460.8683319998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364923</v>
      </c>
      <c r="C1939" s="2" t="s">
        <v>594</v>
      </c>
      <c r="D1939" s="2" t="str">
        <f t="shared" si="29"/>
        <v>Error?</v>
      </c>
    </row>
    <row r="1940" spans="1:5" x14ac:dyDescent="0.2">
      <c r="A1940" s="5">
        <v>1879</v>
      </c>
      <c r="B1940" s="138">
        <f>'Short-Term Long-Term Debt 24'!F49</f>
        <v>1260000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10497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10497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10497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24650</v>
      </c>
      <c r="D2008" s="2" t="str">
        <f t="shared" si="30"/>
        <v>Error?</v>
      </c>
    </row>
    <row r="2009" spans="1:4" x14ac:dyDescent="0.2">
      <c r="A2009" s="5">
        <v>1948</v>
      </c>
      <c r="B2009" s="138">
        <f>'Cap Outlay Deprec 26'!C8</f>
        <v>2493738</v>
      </c>
      <c r="D2009" s="2" t="str">
        <f t="shared" si="30"/>
        <v>Error?</v>
      </c>
    </row>
    <row r="2010" spans="1:4" x14ac:dyDescent="0.2">
      <c r="A2010" s="5">
        <v>1949</v>
      </c>
      <c r="B2010" s="138">
        <f>'Cap Outlay Deprec 26'!C10</f>
        <v>19238</v>
      </c>
      <c r="D2010" s="2" t="str">
        <f t="shared" si="30"/>
        <v>Error?</v>
      </c>
    </row>
    <row r="2011" spans="1:4" x14ac:dyDescent="0.2">
      <c r="A2011" s="5">
        <v>1950</v>
      </c>
      <c r="B2011" s="138">
        <f>'Cap Outlay Deprec 26'!C12</f>
        <v>218593</v>
      </c>
      <c r="D2011" s="2" t="str">
        <f t="shared" si="30"/>
        <v>Error?</v>
      </c>
    </row>
    <row r="2012" spans="1:4" x14ac:dyDescent="0.2">
      <c r="A2012" s="5">
        <v>1951</v>
      </c>
      <c r="B2012" s="138">
        <f>'Cap Outlay Deprec 26'!C13</f>
        <v>134753</v>
      </c>
      <c r="D2012" s="2" t="str">
        <f t="shared" si="30"/>
        <v>Error?</v>
      </c>
    </row>
    <row r="2013" spans="1:4" x14ac:dyDescent="0.2">
      <c r="A2013" s="5">
        <v>1952</v>
      </c>
      <c r="B2013" s="138">
        <f>'Cap Outlay Deprec 26'!C16</f>
        <v>2890972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1338226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6281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1344507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24650</v>
      </c>
      <c r="C2026" s="2" t="s">
        <v>594</v>
      </c>
      <c r="D2026" s="2" t="str">
        <f t="shared" si="30"/>
        <v>Error?</v>
      </c>
    </row>
    <row r="2027" spans="1:4" x14ac:dyDescent="0.2">
      <c r="A2027" s="5">
        <v>1966</v>
      </c>
      <c r="B2027" s="138">
        <f>'Cap Outlay Deprec 26'!F8</f>
        <v>3831964</v>
      </c>
      <c r="C2027" s="2" t="s">
        <v>594</v>
      </c>
      <c r="D2027" s="2" t="str">
        <f t="shared" si="30"/>
        <v>Error?</v>
      </c>
    </row>
    <row r="2028" spans="1:4" x14ac:dyDescent="0.2">
      <c r="A2028" s="5">
        <v>1967</v>
      </c>
      <c r="B2028" s="138">
        <f>'Cap Outlay Deprec 26'!F10</f>
        <v>19238</v>
      </c>
      <c r="C2028" s="2" t="s">
        <v>594</v>
      </c>
      <c r="D2028" s="2" t="str">
        <f t="shared" si="30"/>
        <v>Error?</v>
      </c>
    </row>
    <row r="2029" spans="1:4" x14ac:dyDescent="0.2">
      <c r="A2029" s="5">
        <v>1968</v>
      </c>
      <c r="B2029" s="138">
        <f>'Cap Outlay Deprec 26'!F12</f>
        <v>224874</v>
      </c>
      <c r="C2029" s="2" t="s">
        <v>594</v>
      </c>
      <c r="D2029" s="2" t="str">
        <f t="shared" si="30"/>
        <v>Error?</v>
      </c>
    </row>
    <row r="2030" spans="1:4" x14ac:dyDescent="0.2">
      <c r="A2030" s="5">
        <v>1969</v>
      </c>
      <c r="B2030" s="138">
        <f>'Cap Outlay Deprec 26'!F13</f>
        <v>134753</v>
      </c>
      <c r="C2030" s="2" t="s">
        <v>594</v>
      </c>
      <c r="D2030" s="2" t="str">
        <f t="shared" si="30"/>
        <v>Error?</v>
      </c>
    </row>
    <row r="2031" spans="1:4" x14ac:dyDescent="0.2">
      <c r="A2031" s="5">
        <v>1970</v>
      </c>
      <c r="B2031" s="138">
        <f>'Cap Outlay Deprec 26'!F16</f>
        <v>4235479</v>
      </c>
      <c r="C2031" s="2" t="s">
        <v>594</v>
      </c>
      <c r="D2031" s="2" t="str">
        <f t="shared" si="30"/>
        <v>Error?</v>
      </c>
    </row>
    <row r="2032" spans="1:4" x14ac:dyDescent="0.2">
      <c r="A2032" s="10">
        <v>1971</v>
      </c>
      <c r="D2032" s="2" t="str">
        <f t="shared" si="30"/>
        <v>OK</v>
      </c>
    </row>
    <row r="2033" spans="1:4" x14ac:dyDescent="0.2">
      <c r="A2033" s="5">
        <v>1972</v>
      </c>
      <c r="B2033" s="138">
        <f>'Cap Outlay Deprec 26'!H8</f>
        <v>1388253</v>
      </c>
      <c r="D2033" s="2" t="str">
        <f t="shared" si="30"/>
        <v>Error?</v>
      </c>
    </row>
    <row r="2034" spans="1:4" x14ac:dyDescent="0.2">
      <c r="A2034" s="5">
        <v>1973</v>
      </c>
      <c r="B2034" s="138">
        <f>'Cap Outlay Deprec 26'!H10</f>
        <v>19238</v>
      </c>
      <c r="D2034" s="2" t="str">
        <f t="shared" si="30"/>
        <v>Error?</v>
      </c>
    </row>
    <row r="2035" spans="1:4" x14ac:dyDescent="0.2">
      <c r="A2035" s="5">
        <v>1974</v>
      </c>
      <c r="B2035" s="138">
        <f>'Cap Outlay Deprec 26'!H12</f>
        <v>213525</v>
      </c>
      <c r="D2035" s="2" t="str">
        <f t="shared" si="30"/>
        <v>Error?</v>
      </c>
    </row>
    <row r="2036" spans="1:4" x14ac:dyDescent="0.2">
      <c r="A2036" s="5">
        <v>1975</v>
      </c>
      <c r="B2036" s="138">
        <f>'Cap Outlay Deprec 26'!H13</f>
        <v>103595</v>
      </c>
      <c r="D2036" s="2" t="str">
        <f t="shared" si="30"/>
        <v>Error?</v>
      </c>
    </row>
    <row r="2037" spans="1:4" x14ac:dyDescent="0.2">
      <c r="A2037" s="5">
        <v>1976</v>
      </c>
      <c r="B2037" s="138">
        <f>'Cap Outlay Deprec 26'!H16</f>
        <v>1724611</v>
      </c>
      <c r="C2037" s="2" t="s">
        <v>594</v>
      </c>
      <c r="D2037" s="2" t="str">
        <f t="shared" si="30"/>
        <v>Error?</v>
      </c>
    </row>
    <row r="2038" spans="1:4" x14ac:dyDescent="0.2">
      <c r="A2038" s="10">
        <v>1977</v>
      </c>
      <c r="D2038" s="2" t="str">
        <f t="shared" si="30"/>
        <v>OK</v>
      </c>
    </row>
    <row r="2039" spans="1:4" x14ac:dyDescent="0.2">
      <c r="A2039" s="5">
        <v>1978</v>
      </c>
      <c r="B2039" s="138">
        <f>'Cap Outlay Deprec 26'!I8</f>
        <v>48291</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7147</v>
      </c>
      <c r="D2041" s="2" t="str">
        <f t="shared" si="30"/>
        <v>Error?</v>
      </c>
    </row>
    <row r="2042" spans="1:4" x14ac:dyDescent="0.2">
      <c r="A2042" s="5">
        <v>1981</v>
      </c>
      <c r="B2042" s="138">
        <f>'Cap Outlay Deprec 26'!I13</f>
        <v>10922</v>
      </c>
      <c r="D2042" s="2" t="str">
        <f t="shared" si="30"/>
        <v>Error?</v>
      </c>
    </row>
    <row r="2043" spans="1:4" x14ac:dyDescent="0.2">
      <c r="A2043" s="5">
        <v>1982</v>
      </c>
      <c r="B2043" s="138">
        <f>'Cap Outlay Deprec 26'!I16</f>
        <v>66360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1436544</v>
      </c>
      <c r="C2051" s="2" t="s">
        <v>594</v>
      </c>
      <c r="D2051" s="2" t="str">
        <f t="shared" si="31"/>
        <v>Error?</v>
      </c>
    </row>
    <row r="2052" spans="1:4" x14ac:dyDescent="0.2">
      <c r="A2052" s="5">
        <v>1991</v>
      </c>
      <c r="B2052" s="138">
        <f>'Cap Outlay Deprec 26'!K10</f>
        <v>19238</v>
      </c>
      <c r="C2052" s="2" t="s">
        <v>594</v>
      </c>
      <c r="D2052" s="2" t="str">
        <f t="shared" si="31"/>
        <v>Error?</v>
      </c>
    </row>
    <row r="2053" spans="1:4" x14ac:dyDescent="0.2">
      <c r="A2053" s="5">
        <v>1992</v>
      </c>
      <c r="B2053" s="138">
        <f>'Cap Outlay Deprec 26'!K12</f>
        <v>220672</v>
      </c>
      <c r="C2053" s="2" t="s">
        <v>594</v>
      </c>
      <c r="D2053" s="2" t="str">
        <f t="shared" si="31"/>
        <v>Error?</v>
      </c>
    </row>
    <row r="2054" spans="1:4" x14ac:dyDescent="0.2">
      <c r="A2054" s="5">
        <v>1993</v>
      </c>
      <c r="B2054" s="138">
        <f>'Cap Outlay Deprec 26'!K13</f>
        <v>114517</v>
      </c>
      <c r="C2054" s="2" t="s">
        <v>594</v>
      </c>
      <c r="D2054" s="2" t="str">
        <f t="shared" si="31"/>
        <v>Error?</v>
      </c>
    </row>
    <row r="2055" spans="1:4" x14ac:dyDescent="0.2">
      <c r="A2055" s="5">
        <v>1994</v>
      </c>
      <c r="B2055" s="138">
        <f>'Cap Outlay Deprec 26'!K16</f>
        <v>1790971</v>
      </c>
      <c r="C2055" s="2" t="s">
        <v>594</v>
      </c>
      <c r="D2055" s="2" t="str">
        <f t="shared" si="31"/>
        <v>Error?</v>
      </c>
    </row>
    <row r="2056" spans="1:4" x14ac:dyDescent="0.2">
      <c r="A2056" s="5">
        <v>1995</v>
      </c>
      <c r="B2056" s="138">
        <f>'Cap Outlay Deprec 26'!L5</f>
        <v>24650</v>
      </c>
      <c r="C2056" s="2" t="s">
        <v>594</v>
      </c>
      <c r="D2056" s="2" t="str">
        <f t="shared" si="31"/>
        <v>Error?</v>
      </c>
    </row>
    <row r="2057" spans="1:4" x14ac:dyDescent="0.2">
      <c r="A2057" s="5">
        <v>1996</v>
      </c>
      <c r="B2057" s="138">
        <f>'Cap Outlay Deprec 26'!L8</f>
        <v>2395420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4202</v>
      </c>
      <c r="C2059" s="2" t="s">
        <v>594</v>
      </c>
      <c r="D2059" s="2" t="str">
        <f t="shared" si="31"/>
        <v>Error?</v>
      </c>
    </row>
    <row r="2060" spans="1:4" x14ac:dyDescent="0.2">
      <c r="A2060" s="5">
        <v>1999</v>
      </c>
      <c r="B2060" s="138">
        <f>'Cap Outlay Deprec 26'!L13</f>
        <v>20236</v>
      </c>
      <c r="C2060" s="2" t="s">
        <v>594</v>
      </c>
      <c r="D2060" s="2" t="str">
        <f t="shared" si="31"/>
        <v>Error?</v>
      </c>
    </row>
    <row r="2061" spans="1:4" x14ac:dyDescent="0.2">
      <c r="A2061" s="5">
        <v>2000</v>
      </c>
      <c r="B2061" s="138">
        <f>'Cap Outlay Deprec 26'!L16</f>
        <v>2444508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17505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41693</v>
      </c>
      <c r="C2088" s="2" t="s">
        <v>594</v>
      </c>
      <c r="D2088" s="2" t="str">
        <f t="shared" si="31"/>
        <v>Error?</v>
      </c>
    </row>
    <row r="2089" spans="1:4" x14ac:dyDescent="0.2">
      <c r="A2089" s="5">
        <v>2028</v>
      </c>
      <c r="B2089" s="138">
        <f>'Expenditures 15-22'!K92</f>
        <v>400015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13000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8786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24925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1174883</v>
      </c>
      <c r="C2551" s="2" t="s">
        <v>594</v>
      </c>
      <c r="D2551" s="2" t="str">
        <f t="shared" si="38"/>
        <v>Error?</v>
      </c>
    </row>
    <row r="2552" spans="1:4" x14ac:dyDescent="0.2">
      <c r="A2552" s="10">
        <v>2491</v>
      </c>
      <c r="D2552" s="2" t="str">
        <f t="shared" si="38"/>
        <v>OK</v>
      </c>
    </row>
    <row r="2553" spans="1:4" x14ac:dyDescent="0.2">
      <c r="A2553" s="5">
        <v>2492</v>
      </c>
      <c r="B2553" s="138">
        <f>'Acct Summary 7-8'!C6</f>
        <v>237764</v>
      </c>
      <c r="C2553" s="2" t="s">
        <v>594</v>
      </c>
      <c r="D2553" s="2" t="str">
        <f t="shared" si="38"/>
        <v>Error?</v>
      </c>
    </row>
    <row r="2554" spans="1:4" x14ac:dyDescent="0.2">
      <c r="A2554" s="5">
        <v>2493</v>
      </c>
      <c r="B2554" s="138">
        <f>'Acct Summary 7-8'!C7</f>
        <v>97471</v>
      </c>
      <c r="C2554" s="2" t="s">
        <v>594</v>
      </c>
      <c r="D2554" s="2" t="str">
        <f t="shared" si="38"/>
        <v>Error?</v>
      </c>
    </row>
    <row r="2555" spans="1:4" x14ac:dyDescent="0.2">
      <c r="A2555" s="5">
        <v>2494</v>
      </c>
      <c r="B2555" s="138">
        <f>'Acct Summary 7-8'!C8</f>
        <v>1510118</v>
      </c>
      <c r="C2555" s="2" t="s">
        <v>594</v>
      </c>
      <c r="D2555" s="2" t="str">
        <f t="shared" si="38"/>
        <v>Error?</v>
      </c>
    </row>
    <row r="2556" spans="1:4" x14ac:dyDescent="0.2">
      <c r="A2556" s="5">
        <v>2495</v>
      </c>
      <c r="B2556" s="138">
        <f>'Acct Summary 7-8'!C12</f>
        <v>508747</v>
      </c>
      <c r="C2556" s="2" t="s">
        <v>594</v>
      </c>
      <c r="D2556" s="2" t="str">
        <f t="shared" si="38"/>
        <v>Error?</v>
      </c>
    </row>
    <row r="2557" spans="1:4" x14ac:dyDescent="0.2">
      <c r="A2557" s="5">
        <v>2496</v>
      </c>
      <c r="B2557" s="138">
        <f>'Acct Summary 7-8'!C13</f>
        <v>287458</v>
      </c>
      <c r="C2557" s="2" t="s">
        <v>594</v>
      </c>
      <c r="D2557" s="2" t="str">
        <f t="shared" si="38"/>
        <v>Error?</v>
      </c>
    </row>
    <row r="2558" spans="1:4" x14ac:dyDescent="0.2">
      <c r="A2558" s="5">
        <v>2497</v>
      </c>
      <c r="B2558" s="138">
        <f>'Acct Summary 7-8'!C14</f>
        <v>334</v>
      </c>
      <c r="C2558" s="2" t="s">
        <v>594</v>
      </c>
      <c r="D2558" s="2" t="str">
        <f t="shared" si="38"/>
        <v>Error?</v>
      </c>
    </row>
    <row r="2559" spans="1:4" x14ac:dyDescent="0.2">
      <c r="A2559" s="5">
        <v>2498</v>
      </c>
      <c r="B2559" s="138">
        <f>'Acct Summary 7-8'!C15</f>
        <v>441708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1238247</v>
      </c>
      <c r="C2561" s="2" t="s">
        <v>594</v>
      </c>
      <c r="D2561" s="2" t="str">
        <f t="shared" si="39"/>
        <v>Error?</v>
      </c>
    </row>
    <row r="2562" spans="1:4" x14ac:dyDescent="0.2">
      <c r="A2562" s="5">
        <v>2501</v>
      </c>
      <c r="B2562" s="138">
        <f>'Acct Summary 7-8'!C20</f>
        <v>271871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132121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132121</v>
      </c>
      <c r="C2568" s="2" t="s">
        <v>594</v>
      </c>
      <c r="D2568" s="2" t="str">
        <f t="shared" si="39"/>
        <v>Error?</v>
      </c>
    </row>
    <row r="2569" spans="1:4" x14ac:dyDescent="0.2">
      <c r="A2569" s="5">
        <v>2508</v>
      </c>
      <c r="B2569" s="138">
        <f>'Acct Summary 7-8'!D13</f>
        <v>147040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147040</v>
      </c>
      <c r="C2573" s="2" t="s">
        <v>594</v>
      </c>
      <c r="D2573" s="2" t="str">
        <f t="shared" si="39"/>
        <v>Error?</v>
      </c>
    </row>
    <row r="2574" spans="1:4" x14ac:dyDescent="0.2">
      <c r="A2574" s="5">
        <v>2513</v>
      </c>
      <c r="B2574" s="138">
        <f>'Acct Summary 7-8'!D20</f>
        <v>-14919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63103</v>
      </c>
      <c r="C2591" s="2" t="s">
        <v>594</v>
      </c>
      <c r="D2591" s="2" t="str">
        <f t="shared" si="39"/>
        <v>Error?</v>
      </c>
    </row>
    <row r="2592" spans="1:4" x14ac:dyDescent="0.2">
      <c r="A2592" s="10">
        <v>2531</v>
      </c>
      <c r="D2592" s="2" t="str">
        <f t="shared" si="39"/>
        <v>OK</v>
      </c>
    </row>
    <row r="2593" spans="1:4" x14ac:dyDescent="0.2">
      <c r="A2593" s="5">
        <v>2532</v>
      </c>
      <c r="B2593" s="138">
        <f>'Acct Summary 7-8'!F6</f>
        <v>111537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174640</v>
      </c>
      <c r="C2595" s="2" t="s">
        <v>594</v>
      </c>
      <c r="D2595" s="2" t="str">
        <f t="shared" si="39"/>
        <v>Error?</v>
      </c>
    </row>
    <row r="2596" spans="1:4" x14ac:dyDescent="0.2">
      <c r="A2596" s="5">
        <v>2535</v>
      </c>
      <c r="B2596" s="138">
        <f>'Acct Summary 7-8'!F13</f>
        <v>69513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30457</v>
      </c>
      <c r="C2599" s="2" t="s">
        <v>594</v>
      </c>
      <c r="D2599" s="2" t="str">
        <f t="shared" si="39"/>
        <v>Error?</v>
      </c>
    </row>
    <row r="2600" spans="1:4" x14ac:dyDescent="0.2">
      <c r="A2600" s="5">
        <v>2539</v>
      </c>
      <c r="B2600" s="138">
        <f>'Acct Summary 7-8'!F17</f>
        <v>99970</v>
      </c>
      <c r="C2600" s="2" t="s">
        <v>594</v>
      </c>
      <c r="D2600" s="2" t="str">
        <f t="shared" si="39"/>
        <v>Error?</v>
      </c>
    </row>
    <row r="2601" spans="1:4" x14ac:dyDescent="0.2">
      <c r="A2601" s="5">
        <v>2540</v>
      </c>
      <c r="B2601" s="138">
        <f>'Acct Summary 7-8'!F20</f>
        <v>74670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27118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27118</v>
      </c>
      <c r="C2606" s="2" t="s">
        <v>594</v>
      </c>
      <c r="D2606" s="2" t="str">
        <f t="shared" si="39"/>
        <v>Error?</v>
      </c>
    </row>
    <row r="2607" spans="1:4" x14ac:dyDescent="0.2">
      <c r="A2607" s="5">
        <v>2546</v>
      </c>
      <c r="B2607" s="138">
        <f>'Acct Summary 7-8'!G12</f>
        <v>9435</v>
      </c>
      <c r="C2607" s="2" t="s">
        <v>594</v>
      </c>
      <c r="D2607" s="2" t="str">
        <f t="shared" si="39"/>
        <v>Error?</v>
      </c>
    </row>
    <row r="2608" spans="1:4" x14ac:dyDescent="0.2">
      <c r="A2608" s="5">
        <v>2547</v>
      </c>
      <c r="B2608" s="138">
        <f>'Acct Summary 7-8'!G13</f>
        <v>14199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23634</v>
      </c>
      <c r="C2612" s="2" t="s">
        <v>594</v>
      </c>
      <c r="D2612" s="2" t="str">
        <f t="shared" si="39"/>
        <v>Error?</v>
      </c>
    </row>
    <row r="2613" spans="1:4" x14ac:dyDescent="0.2">
      <c r="A2613" s="5">
        <v>2552</v>
      </c>
      <c r="B2613" s="138">
        <f>'Acct Summary 7-8'!G20</f>
        <v>3484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132364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132364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138819</v>
      </c>
      <c r="C2634" s="2" t="s">
        <v>594</v>
      </c>
      <c r="D2634" s="2" t="str">
        <f t="shared" si="40"/>
        <v>Error?</v>
      </c>
    </row>
    <row r="2635" spans="1:4" x14ac:dyDescent="0.2">
      <c r="A2635" s="5">
        <v>2574</v>
      </c>
      <c r="B2635" s="138">
        <f>'Acct Summary 7-8'!E17</f>
        <v>138819</v>
      </c>
      <c r="C2635" s="2" t="s">
        <v>594</v>
      </c>
      <c r="D2635" s="2" t="str">
        <f t="shared" si="40"/>
        <v>Error?</v>
      </c>
    </row>
    <row r="2636" spans="1:4" x14ac:dyDescent="0.2">
      <c r="A2636" s="5">
        <v>2575</v>
      </c>
      <c r="B2636" s="138">
        <f>'Acct Summary 7-8'!E20</f>
        <v>-6455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24188</v>
      </c>
      <c r="C2789" s="2" t="s">
        <v>594</v>
      </c>
      <c r="D2789" s="2" t="str">
        <f t="shared" si="42"/>
        <v>Error?</v>
      </c>
    </row>
    <row r="2790" spans="1:4" x14ac:dyDescent="0.2">
      <c r="A2790" s="5">
        <v>2729</v>
      </c>
      <c r="B2790" s="138">
        <f>'Expenditures 15-22'!E102</f>
        <v>24188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85946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15143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85946</v>
      </c>
      <c r="D2912" s="2" t="str">
        <f t="shared" si="44"/>
        <v>Error?</v>
      </c>
    </row>
    <row r="2913" spans="1:4" x14ac:dyDescent="0.2">
      <c r="A2913" s="5">
        <v>2852</v>
      </c>
      <c r="B2913" s="138">
        <f>'Assets-Liab 5-6'!I41</f>
        <v>85946</v>
      </c>
      <c r="C2913" s="2" t="s">
        <v>594</v>
      </c>
      <c r="D2913" s="2" t="str">
        <f t="shared" si="44"/>
        <v>Error?</v>
      </c>
    </row>
    <row r="2914" spans="1:4" x14ac:dyDescent="0.2">
      <c r="A2914" s="5">
        <v>2853</v>
      </c>
      <c r="B2914" s="138">
        <f>'Assets-Liab 5-6'!L33</f>
        <v>15143</v>
      </c>
      <c r="D2914" s="2" t="str">
        <f t="shared" si="44"/>
        <v>Error?</v>
      </c>
    </row>
    <row r="2915" spans="1:4" x14ac:dyDescent="0.2">
      <c r="A2915" s="10">
        <v>2854</v>
      </c>
      <c r="D2915" s="2" t="str">
        <f t="shared" si="44"/>
        <v>OK</v>
      </c>
    </row>
    <row r="2916" spans="1:4" x14ac:dyDescent="0.2">
      <c r="A2916" s="5">
        <v>2855</v>
      </c>
      <c r="B2916" s="138">
        <f>'Assets-Liab 5-6'!L34</f>
        <v>15143</v>
      </c>
      <c r="C2916" s="2" t="s">
        <v>594</v>
      </c>
      <c r="D2916" s="2" t="str">
        <f t="shared" si="44"/>
        <v>Error?</v>
      </c>
    </row>
    <row r="2917" spans="1:4" x14ac:dyDescent="0.2">
      <c r="A2917" s="5">
        <v>2856</v>
      </c>
      <c r="B2917" s="138">
        <f>'Assets-Liab 5-6'!L41</f>
        <v>15143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8787</v>
      </c>
      <c r="D2949" s="2" t="str">
        <f t="shared" si="45"/>
        <v>Error?</v>
      </c>
    </row>
    <row r="2950" spans="1:4" x14ac:dyDescent="0.2">
      <c r="A2950" s="5">
        <v>2889</v>
      </c>
      <c r="B2950" s="138">
        <f>'Expenditures 15-22'!E79</f>
        <v>15401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9755</v>
      </c>
      <c r="D2955" s="2" t="str">
        <f t="shared" si="45"/>
        <v>Error?</v>
      </c>
    </row>
    <row r="2956" spans="1:4" x14ac:dyDescent="0.2">
      <c r="A2956" s="5">
        <v>2895</v>
      </c>
      <c r="B2956" s="138">
        <f>'Expenditures 15-22'!H79</f>
        <v>7750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18542</v>
      </c>
      <c r="C2973" s="2" t="s">
        <v>594</v>
      </c>
      <c r="D2973" s="2" t="str">
        <f t="shared" si="45"/>
        <v>Error?</v>
      </c>
    </row>
    <row r="2974" spans="1:4" x14ac:dyDescent="0.2">
      <c r="A2974" s="5">
        <v>2913</v>
      </c>
      <c r="B2974" s="138">
        <f>'Expenditures 15-22'!K79</f>
        <v>23151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13121</v>
      </c>
      <c r="C3225" s="2" t="s">
        <v>594</v>
      </c>
      <c r="D3225" s="2" t="str">
        <f t="shared" si="49"/>
        <v>Error?</v>
      </c>
    </row>
    <row r="3226" spans="1:4" x14ac:dyDescent="0.2">
      <c r="A3226" s="5">
        <v>3165</v>
      </c>
      <c r="B3226" s="138">
        <f>'Acct Summary 7-8'!I8</f>
        <v>13121</v>
      </c>
      <c r="C3226" s="2" t="s">
        <v>594</v>
      </c>
      <c r="D3226" s="2" t="str">
        <f t="shared" si="49"/>
        <v>Error?</v>
      </c>
    </row>
    <row r="3227" spans="1:4" x14ac:dyDescent="0.2">
      <c r="A3227" s="5">
        <v>3166</v>
      </c>
      <c r="B3227" s="138">
        <f>'Acct Summary 7-8'!I20</f>
        <v>13121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6748</v>
      </c>
      <c r="C3231" s="2" t="s">
        <v>594</v>
      </c>
      <c r="D3231" s="2" t="str">
        <f t="shared" si="49"/>
        <v>Error?</v>
      </c>
    </row>
    <row r="3232" spans="1:4" x14ac:dyDescent="0.2">
      <c r="A3232" s="5">
        <v>3171</v>
      </c>
      <c r="B3232" s="138">
        <f>'Acct Summary 7-8'!C77</f>
        <v>-6748</v>
      </c>
      <c r="C3232" s="2" t="s">
        <v>594</v>
      </c>
      <c r="D3232" s="2" t="str">
        <f t="shared" si="49"/>
        <v>Error?</v>
      </c>
    </row>
    <row r="3233" spans="1:4" x14ac:dyDescent="0.2">
      <c r="A3233" s="5">
        <v>3172</v>
      </c>
      <c r="B3233" s="138">
        <f>'Acct Summary 7-8'!C78</f>
        <v>265123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13000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13000</v>
      </c>
      <c r="C3238" s="2" t="s">
        <v>594</v>
      </c>
      <c r="D3238" s="2" t="str">
        <f t="shared" si="49"/>
        <v>Error?</v>
      </c>
    </row>
    <row r="3239" spans="1:4" x14ac:dyDescent="0.2">
      <c r="A3239" s="5">
        <v>3178</v>
      </c>
      <c r="B3239" s="138">
        <f>'Acct Summary 7-8'!D78</f>
        <v>-1919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74670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3484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6748</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6748</v>
      </c>
      <c r="C3277" s="2" t="s">
        <v>594</v>
      </c>
      <c r="D3277" s="2" t="str">
        <f t="shared" si="50"/>
        <v>Error?</v>
      </c>
    </row>
    <row r="3278" spans="1:4" x14ac:dyDescent="0.2">
      <c r="A3278" s="5">
        <v>3217</v>
      </c>
      <c r="B3278" s="138">
        <f>'Acct Summary 7-8'!E78</f>
        <v>293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13000</v>
      </c>
      <c r="C3318" s="2" t="s">
        <v>594</v>
      </c>
      <c r="D3318" s="2" t="str">
        <f t="shared" si="50"/>
        <v>Error?</v>
      </c>
    </row>
    <row r="3319" spans="1:4" x14ac:dyDescent="0.2">
      <c r="A3319" s="5">
        <v>3258</v>
      </c>
      <c r="B3319" s="138">
        <f>'Acct Summary 7-8'!I77</f>
        <v>-13000</v>
      </c>
      <c r="C3319" s="2" t="s">
        <v>594</v>
      </c>
      <c r="D3319" s="2" t="str">
        <f t="shared" si="50"/>
        <v>Error?</v>
      </c>
    </row>
    <row r="3320" spans="1:4" x14ac:dyDescent="0.2">
      <c r="A3320" s="5">
        <v>3259</v>
      </c>
      <c r="B3320" s="138">
        <f>'Acct Summary 7-8'!I78</f>
        <v>121</v>
      </c>
      <c r="C3320" s="2" t="s">
        <v>594</v>
      </c>
      <c r="D3320" s="2" t="str">
        <f t="shared" si="50"/>
        <v>Error?</v>
      </c>
    </row>
    <row r="3321" spans="1:4" x14ac:dyDescent="0.2">
      <c r="A3321" s="5">
        <v>3260</v>
      </c>
      <c r="B3321" s="138">
        <f>'Acct Summary 7-8'!I79</f>
        <v>85825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85946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57711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8706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66430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4839</v>
      </c>
      <c r="D3387" s="2" t="str">
        <f t="shared" si="51"/>
        <v>Error?</v>
      </c>
    </row>
    <row r="3388" spans="1:4" x14ac:dyDescent="0.2">
      <c r="A3388" s="5">
        <v>3327</v>
      </c>
      <c r="B3388" s="138">
        <f>'Expenditures 15-22'!D217</f>
        <v>3503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4839</v>
      </c>
      <c r="C3390" s="2" t="s">
        <v>594</v>
      </c>
      <c r="D3390" s="2" t="str">
        <f t="shared" si="51"/>
        <v>Error?</v>
      </c>
    </row>
    <row r="3391" spans="1:4" x14ac:dyDescent="0.2">
      <c r="A3391" s="5">
        <v>3330</v>
      </c>
      <c r="B3391" s="138">
        <f>'Expenditures 15-22'!K217</f>
        <v>3503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1054603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172156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22080</v>
      </c>
      <c r="D3417" s="2" t="str">
        <f t="shared" si="52"/>
        <v>Error?</v>
      </c>
    </row>
    <row r="3418" spans="1:4" x14ac:dyDescent="0.2">
      <c r="A3418" s="10">
        <v>3357</v>
      </c>
      <c r="D3418" s="2" t="str">
        <f t="shared" si="52"/>
        <v>OK</v>
      </c>
    </row>
    <row r="3419" spans="1:4" x14ac:dyDescent="0.2">
      <c r="A3419" s="5">
        <v>3358</v>
      </c>
      <c r="B3419" s="138">
        <f>'Assets-Liab 5-6'!F4</f>
        <v>217288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62261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85946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15143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12114</v>
      </c>
      <c r="C3446" s="2" t="s">
        <v>594</v>
      </c>
      <c r="D3446" s="2" t="str">
        <f t="shared" si="52"/>
        <v>Error?</v>
      </c>
    </row>
    <row r="3447" spans="1:4" x14ac:dyDescent="0.2">
      <c r="A3447" s="5">
        <v>3386</v>
      </c>
      <c r="B3447" s="138">
        <f>'Tax Sched 23'!D16</f>
        <v>12114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13002.682431200001</v>
      </c>
      <c r="C3449" s="2" t="s">
        <v>594</v>
      </c>
      <c r="D3449" s="2" t="str">
        <f t="shared" si="52"/>
        <v>Error?</v>
      </c>
    </row>
    <row r="3450" spans="1:4" x14ac:dyDescent="0.2">
      <c r="A3450" s="5">
        <v>3389</v>
      </c>
      <c r="B3450" s="138">
        <f>'Tax Sched 23'!E16</f>
        <v>13002.682431200001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46133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46133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46133</v>
      </c>
      <c r="D3567" s="2" t="str">
        <f t="shared" si="54"/>
        <v>Error?</v>
      </c>
    </row>
    <row r="3568" spans="1:4" x14ac:dyDescent="0.2">
      <c r="A3568" s="5">
        <v>3507</v>
      </c>
      <c r="B3568" s="138">
        <f>'Assets-Liab 5-6'!K41</f>
        <v>46133</v>
      </c>
      <c r="C3568" s="2" t="s">
        <v>594</v>
      </c>
      <c r="D3568" s="2" t="str">
        <f t="shared" si="54"/>
        <v>Error?</v>
      </c>
    </row>
    <row r="3569" spans="1:4" x14ac:dyDescent="0.2">
      <c r="A3569" s="5">
        <v>3508</v>
      </c>
      <c r="B3569" s="138">
        <f>'Acct Summary 7-8'!K4</f>
        <v>13994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13994</v>
      </c>
      <c r="C3571" s="2" t="s">
        <v>594</v>
      </c>
      <c r="D3571" s="2" t="str">
        <f t="shared" si="54"/>
        <v>Error?</v>
      </c>
    </row>
    <row r="3572" spans="1:4" x14ac:dyDescent="0.2">
      <c r="A3572" s="5">
        <v>3511</v>
      </c>
      <c r="B3572" s="138">
        <f>'Acct Summary 7-8'!K13</f>
        <v>1338427</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1338427</v>
      </c>
      <c r="C3575" s="2" t="s">
        <v>594</v>
      </c>
      <c r="D3575" s="2" t="str">
        <f t="shared" si="54"/>
        <v>Error?</v>
      </c>
    </row>
    <row r="3576" spans="1:4" x14ac:dyDescent="0.2">
      <c r="A3576" s="5">
        <v>3515</v>
      </c>
      <c r="B3576" s="138">
        <f>'Acct Summary 7-8'!K20</f>
        <v>-1324433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1260000</v>
      </c>
      <c r="D3579" s="2" t="str">
        <f t="shared" si="54"/>
        <v>Error?</v>
      </c>
    </row>
    <row r="3580" spans="1:4" x14ac:dyDescent="0.2">
      <c r="A3580" s="5">
        <v>3519</v>
      </c>
      <c r="B3580" s="138">
        <f>'Acct Summary 7-8'!K34</f>
        <v>57350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1317350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1317350</v>
      </c>
      <c r="C3587" s="2" t="s">
        <v>594</v>
      </c>
      <c r="D3587" s="2" t="str">
        <f t="shared" si="55"/>
        <v>Error?</v>
      </c>
    </row>
    <row r="3588" spans="1:4" x14ac:dyDescent="0.2">
      <c r="A3588" s="5">
        <v>3527</v>
      </c>
      <c r="B3588" s="138">
        <f>'Acct Summary 7-8'!K78</f>
        <v>-7083</v>
      </c>
      <c r="C3588" s="2" t="s">
        <v>594</v>
      </c>
      <c r="D3588" s="2" t="str">
        <f t="shared" si="55"/>
        <v>Error?</v>
      </c>
    </row>
    <row r="3589" spans="1:4" x14ac:dyDescent="0.2">
      <c r="A3589" s="5">
        <v>3528</v>
      </c>
      <c r="B3589" s="138">
        <f>'Acct Summary 7-8'!K79</f>
        <v>53216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46133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201</v>
      </c>
      <c r="D3639" s="2" t="str">
        <f t="shared" si="55"/>
        <v>Error?</v>
      </c>
    </row>
    <row r="3640" spans="1:4" x14ac:dyDescent="0.2">
      <c r="A3640" s="5">
        <v>3579</v>
      </c>
      <c r="B3640" s="138">
        <f>'Expenditures 15-22'!F350</f>
        <v>201</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201</v>
      </c>
      <c r="C3642" s="2" t="s">
        <v>594</v>
      </c>
      <c r="D3642" s="2" t="str">
        <f t="shared" si="55"/>
        <v>Error?</v>
      </c>
    </row>
    <row r="3643" spans="1:4" x14ac:dyDescent="0.2">
      <c r="A3643" s="5">
        <v>3582</v>
      </c>
      <c r="B3643" s="138">
        <f>'Expenditures 15-22'!F367</f>
        <v>201</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1338226</v>
      </c>
      <c r="D3646" s="2" t="str">
        <f t="shared" si="55"/>
        <v>Error?</v>
      </c>
    </row>
    <row r="3647" spans="1:4" x14ac:dyDescent="0.2">
      <c r="A3647" s="5">
        <v>3586</v>
      </c>
      <c r="B3647" s="138">
        <f>'Expenditures 15-22'!G350</f>
        <v>1338226</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1338226</v>
      </c>
      <c r="C3649" s="2" t="s">
        <v>594</v>
      </c>
      <c r="D3649" s="2" t="str">
        <f t="shared" si="56"/>
        <v>Error?</v>
      </c>
    </row>
    <row r="3650" spans="1:4" x14ac:dyDescent="0.2">
      <c r="A3650" s="5">
        <v>3589</v>
      </c>
      <c r="B3650" s="138">
        <f>'Expenditures 15-22'!G367</f>
        <v>1338226</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1338427</v>
      </c>
      <c r="C3669" s="2" t="s">
        <v>594</v>
      </c>
      <c r="D3669" s="2" t="str">
        <f t="shared" si="56"/>
        <v>Error?</v>
      </c>
    </row>
    <row r="3670" spans="1:4" x14ac:dyDescent="0.2">
      <c r="A3670" s="5">
        <v>3609</v>
      </c>
      <c r="B3670" s="138">
        <f>'Expenditures 15-22'!K350</f>
        <v>1338427</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1338427</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1338427</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-1324433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13121</v>
      </c>
      <c r="C3725" s="2" t="s">
        <v>594</v>
      </c>
      <c r="D3725" s="2" t="str">
        <f t="shared" si="57"/>
        <v>Error?</v>
      </c>
    </row>
    <row r="3726" spans="1:4" x14ac:dyDescent="0.2">
      <c r="A3726" s="5">
        <v>3665</v>
      </c>
      <c r="B3726" s="138">
        <f>'Tax Sched 23'!D13</f>
        <v>13121</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13718.804</v>
      </c>
      <c r="C3728" s="2" t="s">
        <v>594</v>
      </c>
      <c r="D3728" s="2" t="str">
        <f t="shared" si="57"/>
        <v>Error?</v>
      </c>
    </row>
    <row r="3729" spans="1:4" x14ac:dyDescent="0.2">
      <c r="A3729" s="5">
        <v>3668</v>
      </c>
      <c r="B3729" s="138">
        <f>'Tax Sched 23'!E13</f>
        <v>13718.804</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369487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1879605</v>
      </c>
      <c r="C4122" s="2" t="s">
        <v>594</v>
      </c>
      <c r="D4122" s="2" t="str">
        <f t="shared" si="63"/>
        <v>Error?</v>
      </c>
    </row>
    <row r="4123" spans="1:4" x14ac:dyDescent="0.2">
      <c r="A4123" s="5">
        <v>4062</v>
      </c>
      <c r="B4123" s="138">
        <f>'Acct Summary 7-8'!D10</f>
        <v>132121</v>
      </c>
      <c r="C4123" s="2" t="s">
        <v>594</v>
      </c>
      <c r="D4123" s="2" t="str">
        <f t="shared" si="63"/>
        <v>Error?</v>
      </c>
    </row>
    <row r="4124" spans="1:4" x14ac:dyDescent="0.2">
      <c r="A4124" s="5">
        <v>4063</v>
      </c>
      <c r="B4124" s="138">
        <f>'Acct Summary 7-8'!E10</f>
        <v>132364</v>
      </c>
      <c r="C4124" s="2" t="s">
        <v>594</v>
      </c>
      <c r="D4124" s="2" t="str">
        <f t="shared" si="63"/>
        <v>Error?</v>
      </c>
    </row>
    <row r="4125" spans="1:4" x14ac:dyDescent="0.2">
      <c r="A4125" s="5">
        <v>4064</v>
      </c>
      <c r="B4125" s="138">
        <f>'Acct Summary 7-8'!F10</f>
        <v>174640</v>
      </c>
      <c r="C4125" s="2" t="s">
        <v>594</v>
      </c>
      <c r="D4125" s="2" t="str">
        <f t="shared" si="63"/>
        <v>Error?</v>
      </c>
    </row>
    <row r="4126" spans="1:4" x14ac:dyDescent="0.2">
      <c r="A4126" s="5">
        <v>4065</v>
      </c>
      <c r="B4126" s="138">
        <f>'Acct Summary 7-8'!G10</f>
        <v>27118</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13121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13994</v>
      </c>
      <c r="C4130" s="2" t="s">
        <v>594</v>
      </c>
      <c r="D4130" s="2" t="str">
        <f t="shared" si="63"/>
        <v>Error?</v>
      </c>
    </row>
    <row r="4131" spans="1:4" x14ac:dyDescent="0.2">
      <c r="A4131" s="5">
        <v>4070</v>
      </c>
      <c r="B4131" s="138">
        <f>'Acct Summary 7-8'!C18</f>
        <v>369487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1607734</v>
      </c>
      <c r="C4136" s="2" t="s">
        <v>594</v>
      </c>
      <c r="D4136" s="2" t="str">
        <f t="shared" si="63"/>
        <v>Error?</v>
      </c>
    </row>
    <row r="4137" spans="1:4" x14ac:dyDescent="0.2">
      <c r="A4137" s="5">
        <v>4076</v>
      </c>
      <c r="B4137" s="138">
        <f>'Acct Summary 7-8'!D19</f>
        <v>147040</v>
      </c>
      <c r="C4137" s="2" t="s">
        <v>594</v>
      </c>
      <c r="D4137" s="2" t="str">
        <f t="shared" si="63"/>
        <v>Error?</v>
      </c>
    </row>
    <row r="4138" spans="1:4" x14ac:dyDescent="0.2">
      <c r="A4138" s="5">
        <v>4077</v>
      </c>
      <c r="B4138" s="138">
        <f>'Acct Summary 7-8'!E19</f>
        <v>138819</v>
      </c>
      <c r="C4138" s="2" t="s">
        <v>594</v>
      </c>
      <c r="D4138" s="2" t="str">
        <f t="shared" si="63"/>
        <v>Error?</v>
      </c>
    </row>
    <row r="4139" spans="1:4" x14ac:dyDescent="0.2">
      <c r="A4139" s="5">
        <v>4078</v>
      </c>
      <c r="B4139" s="138">
        <f>'Acct Summary 7-8'!F19</f>
        <v>99970</v>
      </c>
      <c r="C4139" s="2" t="s">
        <v>594</v>
      </c>
      <c r="D4139" s="2" t="str">
        <f t="shared" si="63"/>
        <v>Error?</v>
      </c>
    </row>
    <row r="4140" spans="1:4" x14ac:dyDescent="0.2">
      <c r="A4140" s="5">
        <v>4079</v>
      </c>
      <c r="B4140" s="138">
        <f>'Acct Summary 7-8'!G19</f>
        <v>23634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1338427</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1513341</v>
      </c>
      <c r="C4171" s="2" t="s">
        <v>594</v>
      </c>
      <c r="D4171" s="2" t="str">
        <f t="shared" si="64"/>
        <v>Error?</v>
      </c>
    </row>
    <row r="4172" spans="1:4" x14ac:dyDescent="0.2">
      <c r="A4172" s="5">
        <v>4111</v>
      </c>
      <c r="B4172" s="138">
        <f>'Short-Term Long-Term Debt 24'!J49</f>
        <v>1491261</v>
      </c>
      <c r="C4172" s="2" t="s">
        <v>594</v>
      </c>
      <c r="D4172" s="2" t="str">
        <f t="shared" si="64"/>
        <v>Error?</v>
      </c>
    </row>
    <row r="4173" spans="1:4" x14ac:dyDescent="0.2">
      <c r="A4173" s="5">
        <v>4112</v>
      </c>
      <c r="B4173" s="138">
        <f>'Short-Term Long-Term Debt 24'!H49</f>
        <v>111582</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30457</v>
      </c>
      <c r="D4210" s="2" t="str">
        <f t="shared" si="64"/>
        <v>Error?</v>
      </c>
    </row>
    <row r="4211" spans="1:4" x14ac:dyDescent="0.2">
      <c r="A4211" s="5">
        <v>4150</v>
      </c>
      <c r="B4211" s="138">
        <f>'Expenditures 15-22'!K206</f>
        <v>30457</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3800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239.99999999999997</v>
      </c>
      <c r="C4267" s="2" t="s">
        <v>594</v>
      </c>
      <c r="D4267" s="2" t="str">
        <f t="shared" si="65"/>
        <v>Error?</v>
      </c>
      <c r="E4267" s="128"/>
    </row>
    <row r="4268" spans="1:5" x14ac:dyDescent="0.2">
      <c r="A4268" s="12">
        <v>4207</v>
      </c>
      <c r="B4268" s="138">
        <f>('FP Info 3'!J10)*100000</f>
        <v>4540</v>
      </c>
      <c r="C4268" s="2" t="s">
        <v>594</v>
      </c>
      <c r="D4268" s="2" t="str">
        <f t="shared" si="65"/>
        <v>Error?</v>
      </c>
    </row>
    <row r="4269" spans="1:5" x14ac:dyDescent="0.2">
      <c r="A4269" s="12">
        <v>4208</v>
      </c>
      <c r="B4269" s="138">
        <f>'FP Info 3'!J16</f>
        <v>1529993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8558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15038</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15038</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959</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4401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54816</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27437608</v>
      </c>
      <c r="D4995" s="2" t="str">
        <f t="shared" si="77"/>
        <v>Error?</v>
      </c>
    </row>
    <row r="4996" spans="1:4" x14ac:dyDescent="0.2">
      <c r="A4996" s="12">
        <v>4935</v>
      </c>
      <c r="B4996" s="138">
        <f>'FP Info 3'!H31</f>
        <v>3786389.9040000001</v>
      </c>
      <c r="D4996" s="2" t="str">
        <f t="shared" si="77"/>
        <v>Error?</v>
      </c>
    </row>
    <row r="4997" spans="1:4" x14ac:dyDescent="0.2">
      <c r="A4997" s="12">
        <v>4936</v>
      </c>
      <c r="B4997" s="138">
        <f>'FP Info 3'!H37</f>
        <v>1513341</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13121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997229</v>
      </c>
      <c r="D5061" s="2" t="str">
        <f t="shared" si="78"/>
        <v>Error?</v>
      </c>
    </row>
    <row r="5062" spans="1:4" x14ac:dyDescent="0.2">
      <c r="A5062" s="10">
        <v>5001</v>
      </c>
      <c r="D5062" s="2" t="str">
        <f t="shared" si="78"/>
        <v>OK</v>
      </c>
    </row>
    <row r="5063" spans="1:4" x14ac:dyDescent="0.2">
      <c r="A5063" s="5">
        <v>5002</v>
      </c>
      <c r="B5063" s="138">
        <f>'Revenues 9-14'!C7</f>
        <v>10497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1020847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45250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45250</v>
      </c>
      <c r="C5071" s="2" t="s">
        <v>594</v>
      </c>
      <c r="D5071" s="2" t="str">
        <f t="shared" si="78"/>
        <v>Error?</v>
      </c>
    </row>
    <row r="5072" spans="1:4" x14ac:dyDescent="0.2">
      <c r="A5072" s="5">
        <v>5011</v>
      </c>
      <c r="B5072" s="138">
        <f>'Revenues 9-14'!C20</f>
        <v>1830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1830</v>
      </c>
      <c r="C5087" s="2" t="s">
        <v>594</v>
      </c>
      <c r="D5087" s="2" t="str">
        <f t="shared" si="78"/>
        <v>Error?</v>
      </c>
    </row>
    <row r="5088" spans="1:4" x14ac:dyDescent="0.2">
      <c r="A5088" s="5">
        <v>5027</v>
      </c>
      <c r="B5088" s="138">
        <f>'Revenues 9-14'!C65</f>
        <v>6517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6517</v>
      </c>
      <c r="C5090" s="2" t="s">
        <v>594</v>
      </c>
      <c r="D5090" s="2" t="str">
        <f t="shared" si="78"/>
        <v>Error?</v>
      </c>
    </row>
    <row r="5091" spans="1:4" x14ac:dyDescent="0.2">
      <c r="A5091" s="5">
        <v>5030</v>
      </c>
      <c r="B5091" s="138">
        <f>'Revenues 9-14'!C70</f>
        <v>943</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1400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14171</v>
      </c>
      <c r="C5096" s="2" t="s">
        <v>594</v>
      </c>
      <c r="D5096" s="2" t="str">
        <f t="shared" si="78"/>
        <v>Error?</v>
      </c>
    </row>
    <row r="5097" spans="1:4" x14ac:dyDescent="0.2">
      <c r="A5097" s="5">
        <v>5036</v>
      </c>
      <c r="B5097" s="138">
        <f>'Revenues 9-14'!C77</f>
        <v>1644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1644</v>
      </c>
      <c r="C5102" s="2" t="s">
        <v>594</v>
      </c>
      <c r="D5102" s="2" t="str">
        <f t="shared" si="78"/>
        <v>Error?</v>
      </c>
    </row>
    <row r="5103" spans="1:4" x14ac:dyDescent="0.2">
      <c r="A5103" s="5">
        <v>5042</v>
      </c>
      <c r="B5103" s="138">
        <f>'Revenues 9-14'!C84</f>
        <v>5518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5518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148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16006</v>
      </c>
      <c r="D5119" s="2" t="str">
        <f t="shared" ref="D5119:D5182" si="79">IF(ISBLANK(B5119),"OK",IF(A5119-B5119=0,"OK","Error?"))</f>
        <v>Error?</v>
      </c>
    </row>
    <row r="5120" spans="1:4" x14ac:dyDescent="0.2">
      <c r="A5120" s="5">
        <v>5059</v>
      </c>
      <c r="B5120" s="138">
        <f>'Revenues 9-14'!C108</f>
        <v>79106</v>
      </c>
      <c r="C5120" s="2" t="s">
        <v>594</v>
      </c>
      <c r="D5120" s="2" t="str">
        <f t="shared" si="79"/>
        <v>Error?</v>
      </c>
    </row>
    <row r="5121" spans="1:4" x14ac:dyDescent="0.2">
      <c r="A5121" s="5">
        <v>5060</v>
      </c>
      <c r="B5121" s="138">
        <f>'Revenues 9-14'!C109</f>
        <v>1174883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178268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178268</v>
      </c>
      <c r="C5132" s="2" t="s">
        <v>594</v>
      </c>
      <c r="D5132" s="2" t="str">
        <f t="shared" si="79"/>
        <v>Error?</v>
      </c>
    </row>
    <row r="5133" spans="1:4" x14ac:dyDescent="0.2">
      <c r="A5133" s="5">
        <v>5072</v>
      </c>
      <c r="B5133" s="138">
        <f>'Revenues 9-14'!C124</f>
        <v>34359</v>
      </c>
      <c r="D5133" s="2" t="str">
        <f t="shared" si="79"/>
        <v>Error?</v>
      </c>
    </row>
    <row r="5134" spans="1:4" x14ac:dyDescent="0.2">
      <c r="A5134" s="5">
        <v>5073</v>
      </c>
      <c r="B5134" s="138">
        <f>'Revenues 9-14'!C125</f>
        <v>8827</v>
      </c>
      <c r="D5134" s="2" t="str">
        <f t="shared" si="79"/>
        <v>Error?</v>
      </c>
    </row>
    <row r="5135" spans="1:4" x14ac:dyDescent="0.2">
      <c r="A5135" s="5">
        <v>5074</v>
      </c>
      <c r="B5135" s="138">
        <f>'Revenues 9-14'!C126</f>
        <v>15755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238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59179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317</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59496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237764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13325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6121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19446</v>
      </c>
      <c r="C5246" s="2" t="s">
        <v>594</v>
      </c>
      <c r="D5246" s="2" t="str">
        <f t="shared" si="80"/>
        <v>Error?</v>
      </c>
    </row>
    <row r="5247" spans="1:4" x14ac:dyDescent="0.2">
      <c r="A5247" s="5">
        <v>5186</v>
      </c>
      <c r="B5247" s="138">
        <f>'Revenues 9-14'!C203</f>
        <v>40229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959</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40229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8840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8840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97471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97471</v>
      </c>
      <c r="C5326" s="2" t="s">
        <v>594</v>
      </c>
      <c r="D5326" s="2" t="str">
        <f t="shared" si="82"/>
        <v>Error?</v>
      </c>
    </row>
    <row r="5327" spans="1:4" x14ac:dyDescent="0.2">
      <c r="A5327" s="5">
        <v>5266</v>
      </c>
      <c r="B5327" s="138">
        <f>'Revenues 9-14'!C275</f>
        <v>1510118</v>
      </c>
      <c r="C5327" s="2" t="s">
        <v>594</v>
      </c>
      <c r="D5327" s="2" t="str">
        <f t="shared" si="82"/>
        <v>Error?</v>
      </c>
    </row>
    <row r="5328" spans="1:4" x14ac:dyDescent="0.2">
      <c r="A5328" s="5">
        <v>5267</v>
      </c>
      <c r="B5328" s="138">
        <f>'Revenues 9-14'!D5</f>
        <v>131214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131214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907</v>
      </c>
      <c r="D5354" s="2" t="str">
        <f t="shared" si="82"/>
        <v>Error?</v>
      </c>
    </row>
    <row r="5355" spans="1:4" x14ac:dyDescent="0.2">
      <c r="A5355" s="5">
        <v>5294</v>
      </c>
      <c r="B5355" s="138">
        <f>'Revenues 9-14'!D108</f>
        <v>907</v>
      </c>
      <c r="C5355" s="2" t="s">
        <v>594</v>
      </c>
      <c r="D5355" s="2" t="str">
        <f t="shared" si="82"/>
        <v>Error?</v>
      </c>
    </row>
    <row r="5356" spans="1:4" x14ac:dyDescent="0.2">
      <c r="A5356" s="5">
        <v>5295</v>
      </c>
      <c r="B5356" s="138">
        <f>'Revenues 9-14'!D109</f>
        <v>132121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132121</v>
      </c>
      <c r="C5508" s="2" t="s">
        <v>594</v>
      </c>
      <c r="D5508" s="2" t="str">
        <f t="shared" si="85"/>
        <v>Error?</v>
      </c>
    </row>
    <row r="5509" spans="1:4" x14ac:dyDescent="0.2">
      <c r="A5509" s="5">
        <v>5448</v>
      </c>
      <c r="B5509" s="138">
        <f>'Revenues 9-14'!E5</f>
        <v>132298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132298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66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132364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132364</v>
      </c>
      <c r="C5552" s="2" t="s">
        <v>594</v>
      </c>
      <c r="D5552" s="2" t="str">
        <f t="shared" si="85"/>
        <v>Error?</v>
      </c>
    </row>
    <row r="5553" spans="1:4" x14ac:dyDescent="0.2">
      <c r="A5553" s="5">
        <v>5492</v>
      </c>
      <c r="B5553" s="138">
        <f>'Revenues 9-14'!F5</f>
        <v>62983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62983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120</v>
      </c>
      <c r="D5586" s="2" t="str">
        <f t="shared" si="86"/>
        <v>Error?</v>
      </c>
    </row>
    <row r="5587" spans="1:4" x14ac:dyDescent="0.2">
      <c r="A5587" s="5">
        <v>5526</v>
      </c>
      <c r="B5587" s="138">
        <f>'Revenues 9-14'!F108</f>
        <v>120</v>
      </c>
      <c r="C5587" s="2" t="s">
        <v>594</v>
      </c>
      <c r="D5587" s="2" t="str">
        <f t="shared" si="86"/>
        <v>Error?</v>
      </c>
    </row>
    <row r="5588" spans="1:4" x14ac:dyDescent="0.2">
      <c r="A5588" s="5">
        <v>5527</v>
      </c>
      <c r="B5588" s="138">
        <f>'Revenues 9-14'!F109</f>
        <v>63103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51999</v>
      </c>
      <c r="D5615" s="2" t="str">
        <f t="shared" si="86"/>
        <v>Error?</v>
      </c>
    </row>
    <row r="5616" spans="1:4" x14ac:dyDescent="0.2">
      <c r="A5616" s="10">
        <v>5555</v>
      </c>
      <c r="D5616" s="2" t="str">
        <f t="shared" si="86"/>
        <v>OK</v>
      </c>
    </row>
    <row r="5617" spans="1:4" x14ac:dyDescent="0.2">
      <c r="A5617" s="5">
        <v>5556</v>
      </c>
      <c r="B5617" s="138">
        <f>'Revenues 9-14'!F152</f>
        <v>59538</v>
      </c>
      <c r="D5617" s="2" t="str">
        <f t="shared" si="86"/>
        <v>Error?</v>
      </c>
    </row>
    <row r="5618" spans="1:4" x14ac:dyDescent="0.2">
      <c r="A5618" s="5">
        <v>5557</v>
      </c>
      <c r="B5618" s="138">
        <f>'Revenues 9-14'!F154</f>
        <v>111537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111537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111537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174640</v>
      </c>
      <c r="C5720" s="2" t="s">
        <v>594</v>
      </c>
      <c r="D5720" s="2" t="str">
        <f t="shared" si="88"/>
        <v>Error?</v>
      </c>
    </row>
    <row r="5721" spans="1:4" x14ac:dyDescent="0.2">
      <c r="A5721" s="5">
        <v>5660</v>
      </c>
      <c r="B5721" s="138">
        <f>'Revenues 9-14'!G5</f>
        <v>14132</v>
      </c>
      <c r="D5721" s="2" t="str">
        <f t="shared" si="88"/>
        <v>Error?</v>
      </c>
    </row>
    <row r="5722" spans="1:4" x14ac:dyDescent="0.2">
      <c r="A5722" s="5">
        <v>5661</v>
      </c>
      <c r="B5722" s="138">
        <f>'Revenues 9-14'!G7</f>
        <v>0</v>
      </c>
      <c r="D5722" s="2" t="str">
        <f t="shared" si="88"/>
        <v>Error?</v>
      </c>
    </row>
    <row r="5723" spans="1:4" x14ac:dyDescent="0.2">
      <c r="A5723" s="5">
        <v>5662</v>
      </c>
      <c r="B5723" s="138">
        <f>'Revenues 9-14'!G8</f>
        <v>12114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26246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736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736</v>
      </c>
      <c r="C5730" s="2" t="s">
        <v>594</v>
      </c>
      <c r="D5730" s="2" t="str">
        <f t="shared" si="88"/>
        <v>Error?</v>
      </c>
    </row>
    <row r="5731" spans="1:4" x14ac:dyDescent="0.2">
      <c r="A5731" s="5">
        <v>5670</v>
      </c>
      <c r="B5731" s="138">
        <f>'Revenues 9-14'!G65</f>
        <v>136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27118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13121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13121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13121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13452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13452</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542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542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13994</v>
      </c>
      <c r="C6023" s="2" t="s">
        <v>594</v>
      </c>
      <c r="D6023" s="2" t="str">
        <f t="shared" si="93"/>
        <v>Error?</v>
      </c>
    </row>
    <row r="6024" spans="1:5" x14ac:dyDescent="0.2">
      <c r="A6024" s="5">
        <v>5963</v>
      </c>
      <c r="B6024" s="138">
        <f>'Revenues 9-14'!G109</f>
        <v>27118</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13121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13994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11828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2958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51.38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105262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105262</v>
      </c>
      <c r="D6215" s="2" t="str">
        <f t="shared" si="96"/>
        <v>Error?</v>
      </c>
      <c r="E6215" s="2" t="s">
        <v>199</v>
      </c>
    </row>
    <row r="6216" spans="1:5" x14ac:dyDescent="0.2">
      <c r="A6216">
        <v>6155</v>
      </c>
      <c r="B6216" s="138">
        <f>'Assets-Liab 5-6'!J41</f>
        <v>105262</v>
      </c>
      <c r="D6216" s="2" t="str">
        <f t="shared" si="96"/>
        <v>Error?</v>
      </c>
      <c r="E6216" s="2" t="s">
        <v>199</v>
      </c>
    </row>
    <row r="6217" spans="1:5" x14ac:dyDescent="0.2">
      <c r="A6217">
        <v>6156</v>
      </c>
      <c r="B6217" s="138">
        <f>'Assets-Liab 5-6'!J4</f>
        <v>105262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173171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173171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173171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98806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98806</v>
      </c>
      <c r="D6229" s="2" t="str">
        <f t="shared" si="96"/>
        <v>Error?</v>
      </c>
      <c r="E6229" s="2" t="s">
        <v>199</v>
      </c>
    </row>
    <row r="6230" spans="1:5" x14ac:dyDescent="0.2">
      <c r="A6230">
        <v>6169</v>
      </c>
      <c r="B6230" s="138">
        <f>'Acct Summary 7-8'!J20</f>
        <v>74365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6748</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74365</v>
      </c>
      <c r="D6263" s="2" t="str">
        <f t="shared" si="96"/>
        <v>Error?</v>
      </c>
      <c r="E6263" s="2" t="s">
        <v>199</v>
      </c>
    </row>
    <row r="6264" spans="1:5" x14ac:dyDescent="0.2">
      <c r="A6264">
        <v>6203</v>
      </c>
      <c r="B6264" s="138">
        <f>'Acct Summary 7-8'!J79</f>
        <v>30897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105262</v>
      </c>
      <c r="D6266" s="2" t="str">
        <f t="shared" si="96"/>
        <v>Error?</v>
      </c>
      <c r="E6266" s="2" t="s">
        <v>199</v>
      </c>
    </row>
    <row r="6267" spans="1:5" x14ac:dyDescent="0.2">
      <c r="A6267">
        <v>6206</v>
      </c>
      <c r="B6267" s="138">
        <f>'Acct Summary 7-8'!C82</f>
        <v>265123</v>
      </c>
      <c r="D6267" s="2" t="str">
        <f t="shared" si="96"/>
        <v>Error?</v>
      </c>
      <c r="E6267" s="2" t="s">
        <v>199</v>
      </c>
    </row>
    <row r="6268" spans="1:5" x14ac:dyDescent="0.2">
      <c r="A6268">
        <v>6207</v>
      </c>
      <c r="B6268" s="138">
        <f>'Acct Summary 7-8'!D82</f>
        <v>-1919</v>
      </c>
      <c r="D6268" s="2" t="str">
        <f t="shared" si="96"/>
        <v>Error?</v>
      </c>
      <c r="E6268" s="2" t="s">
        <v>199</v>
      </c>
    </row>
    <row r="6269" spans="1:5" x14ac:dyDescent="0.2">
      <c r="A6269">
        <v>6208</v>
      </c>
      <c r="B6269" s="138">
        <f>'Acct Summary 7-8'!E82</f>
        <v>293</v>
      </c>
      <c r="D6269" s="2" t="str">
        <f t="shared" si="96"/>
        <v>Error?</v>
      </c>
      <c r="E6269" s="2" t="s">
        <v>199</v>
      </c>
    </row>
    <row r="6270" spans="1:5" x14ac:dyDescent="0.2">
      <c r="A6270">
        <v>6209</v>
      </c>
      <c r="B6270" s="138">
        <f>'Acct Summary 7-8'!F82</f>
        <v>74670</v>
      </c>
      <c r="D6270" s="2" t="str">
        <f t="shared" si="96"/>
        <v>Error?</v>
      </c>
      <c r="E6270" s="2" t="s">
        <v>199</v>
      </c>
    </row>
    <row r="6271" spans="1:5" x14ac:dyDescent="0.2">
      <c r="A6271">
        <v>6210</v>
      </c>
      <c r="B6271" s="138">
        <f>'Acct Summary 7-8'!G82</f>
        <v>3484</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121</v>
      </c>
      <c r="D6273" s="2" t="str">
        <f t="shared" si="97"/>
        <v>Error?</v>
      </c>
      <c r="E6273" s="2" t="s">
        <v>199</v>
      </c>
    </row>
    <row r="6274" spans="1:5" x14ac:dyDescent="0.2">
      <c r="A6274">
        <v>6213</v>
      </c>
      <c r="B6274" s="138">
        <f>'Acct Summary 7-8'!J82</f>
        <v>74365</v>
      </c>
      <c r="D6274" s="2" t="str">
        <f t="shared" si="97"/>
        <v>Error?</v>
      </c>
      <c r="E6274" s="2" t="s">
        <v>199</v>
      </c>
    </row>
    <row r="6275" spans="1:5" x14ac:dyDescent="0.2">
      <c r="A6275">
        <v>6214</v>
      </c>
      <c r="B6275" s="138">
        <f>'Acct Summary 7-8'!K82</f>
        <v>-7083</v>
      </c>
      <c r="D6275" s="2" t="str">
        <f t="shared" si="97"/>
        <v>Error?</v>
      </c>
      <c r="E6275" s="2" t="s">
        <v>199</v>
      </c>
    </row>
    <row r="6276" spans="1:5" x14ac:dyDescent="0.2">
      <c r="A6276">
        <v>6215</v>
      </c>
      <c r="B6276" s="138">
        <f>'Acct Summary 7-8'!C83</f>
        <v>0.25139602295840235</v>
      </c>
      <c r="D6276" s="2" t="str">
        <f t="shared" si="97"/>
        <v>Error?</v>
      </c>
      <c r="E6276" s="2" t="s">
        <v>199</v>
      </c>
    </row>
    <row r="6277" spans="1:5" x14ac:dyDescent="0.2">
      <c r="A6277">
        <v>6216</v>
      </c>
      <c r="B6277" s="138">
        <f>'Acct Summary 7-8'!D83</f>
        <v>-1.1146866795232231E-2</v>
      </c>
      <c r="D6277" s="2" t="str">
        <f t="shared" si="97"/>
        <v>Error?</v>
      </c>
      <c r="E6277" s="2" t="s">
        <v>199</v>
      </c>
    </row>
    <row r="6278" spans="1:5" x14ac:dyDescent="0.2">
      <c r="A6278">
        <v>6217</v>
      </c>
      <c r="B6278" s="138">
        <f>'Acct Summary 7-8'!E83</f>
        <v>1.3269927536231884E-2</v>
      </c>
      <c r="D6278" s="2" t="str">
        <f t="shared" si="97"/>
        <v>Error?</v>
      </c>
      <c r="E6278" s="2" t="s">
        <v>199</v>
      </c>
    </row>
    <row r="6279" spans="1:5" x14ac:dyDescent="0.2">
      <c r="A6279">
        <v>6218</v>
      </c>
      <c r="B6279" s="138">
        <f>'Acct Summary 7-8'!F83</f>
        <v>0.34364530024667722</v>
      </c>
      <c r="D6279" s="2" t="str">
        <f t="shared" si="97"/>
        <v>Error?</v>
      </c>
      <c r="E6279" s="2" t="s">
        <v>199</v>
      </c>
    </row>
    <row r="6280" spans="1:5" x14ac:dyDescent="0.2">
      <c r="A6280">
        <v>6219</v>
      </c>
      <c r="B6280" s="138">
        <f>'Acct Summary 7-8'!G83</f>
        <v>5.5957983328247217E-2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1.4078607497731133E-3</v>
      </c>
      <c r="D6282" s="2" t="str">
        <f t="shared" si="97"/>
        <v>Error?</v>
      </c>
      <c r="E6282" s="2" t="s">
        <v>199</v>
      </c>
    </row>
    <row r="6283" spans="1:5" x14ac:dyDescent="0.2">
      <c r="A6283">
        <v>6222</v>
      </c>
      <c r="B6283" s="138">
        <f>'Acct Summary 7-8'!J83</f>
        <v>0.70647527122798348</v>
      </c>
      <c r="D6283" s="2" t="str">
        <f t="shared" si="97"/>
        <v>Error?</v>
      </c>
      <c r="E6283" s="2" t="s">
        <v>199</v>
      </c>
    </row>
    <row r="6284" spans="1:5" x14ac:dyDescent="0.2">
      <c r="A6284">
        <v>6223</v>
      </c>
      <c r="B6284" s="138">
        <f>'Acct Summary 7-8'!K83</f>
        <v>-0.15353434634643315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6748</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172927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172927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244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244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8074</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173171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27190</v>
      </c>
      <c r="D6880" s="2" t="str">
        <f t="shared" si="106"/>
        <v>Error?</v>
      </c>
    </row>
    <row r="6881" spans="1:4" x14ac:dyDescent="0.2">
      <c r="A6881">
        <v>6820</v>
      </c>
      <c r="B6881" s="138">
        <f>'Expenditures 15-22'!K22</f>
        <v>27190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341089</v>
      </c>
      <c r="D6981" s="2" t="str">
        <f t="shared" si="108"/>
        <v>Error?</v>
      </c>
    </row>
    <row r="6982" spans="1:4" x14ac:dyDescent="0.2">
      <c r="A6982">
        <v>6921</v>
      </c>
      <c r="B6982" s="138">
        <f>'Expenditures 15-22'!K85</f>
        <v>341089</v>
      </c>
      <c r="D6982" s="2" t="str">
        <f t="shared" si="108"/>
        <v>Error?</v>
      </c>
    </row>
    <row r="6983" spans="1:4" x14ac:dyDescent="0.2">
      <c r="A6983">
        <v>6922</v>
      </c>
      <c r="B6983" s="138">
        <f>'Expenditures 15-22'!H86</f>
        <v>58926</v>
      </c>
      <c r="D6983" s="2" t="str">
        <f t="shared" si="108"/>
        <v>Error?</v>
      </c>
    </row>
    <row r="6984" spans="1:4" x14ac:dyDescent="0.2">
      <c r="A6984">
        <v>6923</v>
      </c>
      <c r="B6984" s="138">
        <f>'Expenditures 15-22'!K86</f>
        <v>58926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400015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98806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173171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11983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11983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1204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1204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1739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1739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62053</v>
      </c>
      <c r="D7172" s="2" t="str">
        <f t="shared" si="111"/>
        <v>Error?</v>
      </c>
    </row>
    <row r="7173" spans="1:4" x14ac:dyDescent="0.2">
      <c r="A7173">
        <v>7112</v>
      </c>
      <c r="B7173" s="138">
        <f>'Expenditures 15-22'!D325</f>
        <v>3543</v>
      </c>
      <c r="D7173" s="2" t="str">
        <f t="shared" si="111"/>
        <v>Error?</v>
      </c>
    </row>
    <row r="7174" spans="1:4" x14ac:dyDescent="0.2">
      <c r="A7174">
        <v>7113</v>
      </c>
      <c r="B7174" s="138">
        <f>'Expenditures 15-22'!E325</f>
        <v>200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65796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600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600</v>
      </c>
      <c r="D7198" s="2" t="str">
        <f t="shared" si="111"/>
        <v>Error?</v>
      </c>
    </row>
    <row r="7199" spans="1:4" x14ac:dyDescent="0.2">
      <c r="A7199">
        <v>7138</v>
      </c>
      <c r="B7199" s="138">
        <f>'Expenditures 15-22'!C330</f>
        <v>62053</v>
      </c>
      <c r="D7199" s="2" t="str">
        <f t="shared" si="111"/>
        <v>Error?</v>
      </c>
    </row>
    <row r="7200" spans="1:4" x14ac:dyDescent="0.2">
      <c r="A7200">
        <v>7139</v>
      </c>
      <c r="B7200" s="138">
        <f>'Expenditures 15-22'!D330</f>
        <v>3543</v>
      </c>
      <c r="D7200" s="2" t="str">
        <f t="shared" si="111"/>
        <v>Error?</v>
      </c>
    </row>
    <row r="7201" spans="1:4" x14ac:dyDescent="0.2">
      <c r="A7201">
        <v>7140</v>
      </c>
      <c r="B7201" s="138">
        <f>'Expenditures 15-22'!E330</f>
        <v>33210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98806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62053</v>
      </c>
      <c r="D7216" s="2" t="str">
        <f t="shared" si="111"/>
        <v>Error?</v>
      </c>
    </row>
    <row r="7217" spans="1:4" x14ac:dyDescent="0.2">
      <c r="A7217">
        <v>7156</v>
      </c>
      <c r="B7217" s="138">
        <f>'Expenditures 15-22'!D342</f>
        <v>3543</v>
      </c>
      <c r="D7217" s="2" t="str">
        <f t="shared" si="111"/>
        <v>Error?</v>
      </c>
    </row>
    <row r="7218" spans="1:4" x14ac:dyDescent="0.2">
      <c r="A7218">
        <v>7157</v>
      </c>
      <c r="B7218" s="138">
        <f>'Expenditures 15-22'!E342</f>
        <v>33210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98806</v>
      </c>
      <c r="D7224" s="2" t="str">
        <f t="shared" si="111"/>
        <v>Error?</v>
      </c>
    </row>
    <row r="7225" spans="1:4" x14ac:dyDescent="0.2">
      <c r="A7225">
        <v>7164</v>
      </c>
      <c r="B7225" s="138">
        <f>'Expenditures 15-22'!K343</f>
        <v>74365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66360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16588</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16588</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896</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896</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10497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13000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10375</v>
      </c>
      <c r="D7797" s="2" t="str">
        <f t="shared" si="127"/>
        <v>Error?</v>
      </c>
      <c r="E7797" s="4" t="s">
        <v>2020</v>
      </c>
    </row>
    <row r="7798" spans="1:5" x14ac:dyDescent="0.2">
      <c r="A7798">
        <v>7737</v>
      </c>
      <c r="B7798" s="138">
        <f>'Contracts Paid in CY 29'!F141</f>
        <v>10375</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Lostant CUSD 425</v>
      </c>
      <c r="B7" s="2422"/>
      <c r="C7" s="2422"/>
      <c r="D7" s="2423"/>
      <c r="E7" s="2424">
        <f>COVER!A13</f>
        <v>35050425026</v>
      </c>
      <c r="F7" s="2425"/>
      <c r="G7" s="2431" t="str">
        <f>COVER!T23</f>
        <v>066-004501</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HOPKINS &amp; ASSOCIATES, CPA'S, INC.</v>
      </c>
      <c r="H9" s="2437"/>
      <c r="I9" s="2437"/>
      <c r="J9" s="2437"/>
      <c r="K9" s="2437"/>
      <c r="L9" s="2438"/>
    </row>
    <row r="10" spans="1:29" ht="13.5" customHeight="1" x14ac:dyDescent="0.2">
      <c r="A10" s="2411" t="str">
        <f>COVER!A38</f>
        <v>SANDRA MALAHY</v>
      </c>
      <c r="B10" s="2412"/>
      <c r="C10" s="2412"/>
      <c r="D10" s="2412"/>
      <c r="E10" s="2412"/>
      <c r="F10" s="2413"/>
      <c r="G10" s="2405" t="str">
        <f>COVER!T17</f>
        <v>314 S. MCCOY ST.</v>
      </c>
      <c r="H10" s="2406"/>
      <c r="I10" s="2406"/>
      <c r="J10" s="2406"/>
      <c r="K10" s="2406"/>
      <c r="L10" s="2407"/>
    </row>
    <row r="11" spans="1:29" ht="13.5" customHeight="1" x14ac:dyDescent="0.2">
      <c r="A11" s="1185" t="s">
        <v>1599</v>
      </c>
      <c r="B11" s="1186"/>
      <c r="C11" s="1187"/>
      <c r="D11" s="1192"/>
      <c r="E11" s="1187"/>
      <c r="F11" s="1191"/>
      <c r="G11" s="2405" t="str">
        <f>COVER!T19</f>
        <v>GRANVILLE</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joelhopkins@msn.com</v>
      </c>
      <c r="J13" s="2418"/>
      <c r="K13" s="2418"/>
      <c r="L13" s="2419"/>
    </row>
    <row r="14" spans="1:29" ht="13.5" customHeight="1" x14ac:dyDescent="0.2">
      <c r="A14" s="2405" t="str">
        <f>COVER!A19</f>
        <v>315 W. THIRD ST.</v>
      </c>
      <c r="B14" s="2406"/>
      <c r="C14" s="2406"/>
      <c r="D14" s="2406"/>
      <c r="E14" s="2406"/>
      <c r="F14" s="2407"/>
      <c r="G14" s="1196" t="s">
        <v>1247</v>
      </c>
      <c r="H14" s="1194"/>
      <c r="I14" s="1194"/>
      <c r="J14" s="1194"/>
      <c r="K14" s="1194"/>
      <c r="L14" s="1195"/>
    </row>
    <row r="15" spans="1:29" ht="13.5" customHeight="1" x14ac:dyDescent="0.2">
      <c r="A15" s="2405" t="str">
        <f>COVER!A21</f>
        <v>LOSTANT</v>
      </c>
      <c r="B15" s="2406"/>
      <c r="C15" s="2406"/>
      <c r="D15" s="2406"/>
      <c r="E15" s="2406"/>
      <c r="F15" s="2407"/>
      <c r="G15" s="2402" t="str">
        <f>COVER!T15</f>
        <v>JOEL HOPKINS</v>
      </c>
      <c r="H15" s="2403"/>
      <c r="I15" s="2403"/>
      <c r="J15" s="2403"/>
      <c r="K15" s="2403"/>
      <c r="L15" s="2404"/>
    </row>
    <row r="16" spans="1:29" ht="12.2" customHeight="1" x14ac:dyDescent="0.2">
      <c r="A16" s="2427">
        <f>COVER!A25</f>
        <v>61334</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815-339-6630</v>
      </c>
      <c r="H18" s="2422"/>
      <c r="I18" s="2422"/>
      <c r="J18" s="2422"/>
      <c r="K18" s="2421" t="str">
        <f>COVER!X21</f>
        <v>815-339-6643</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Lostant CUSD 425</v>
      </c>
      <c r="B1" s="2420"/>
      <c r="C1" s="2420"/>
      <c r="D1" s="2420"/>
    </row>
    <row r="2" spans="1:11" s="1215" customFormat="1" ht="12.75" x14ac:dyDescent="0.2">
      <c r="A2" s="2444">
        <f>'Single Audit Cover'!E7</f>
        <v>35050425026</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Lostant CUSD 425</v>
      </c>
      <c r="B1" s="2447"/>
      <c r="C1" s="2447"/>
      <c r="D1" s="2447"/>
      <c r="E1" s="2447"/>
    </row>
    <row r="2" spans="1:5" x14ac:dyDescent="0.2">
      <c r="A2" s="2448">
        <f>'Single Audit Cover'!E7</f>
        <v>35050425026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97471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2958</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-8558</v>
      </c>
    </row>
    <row r="19" spans="1:4" ht="13.5" thickBot="1" x14ac:dyDescent="0.25">
      <c r="A19" s="1265" t="s">
        <v>1297</v>
      </c>
      <c r="D19" s="1266">
        <f>SUM(D10:D17)</f>
        <v>91871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91871</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91871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Lostant CUSD 425</v>
      </c>
      <c r="B1" s="2460"/>
      <c r="C1" s="2460"/>
      <c r="D1" s="2460"/>
      <c r="E1" s="2460"/>
      <c r="F1" s="2460"/>
    </row>
    <row r="2" spans="1:7" ht="13.5" customHeight="1" x14ac:dyDescent="0.2">
      <c r="A2" s="2461">
        <f>'Single Audit Cover'!E7</f>
        <v>35050425026</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Lostant CUSD 425</v>
      </c>
      <c r="C1" s="2464"/>
      <c r="D1" s="2464"/>
      <c r="E1" s="2464"/>
      <c r="F1" s="2464"/>
      <c r="G1" s="2464"/>
      <c r="H1" s="2464"/>
      <c r="I1" s="2464"/>
      <c r="J1" s="2464"/>
      <c r="K1" s="2464"/>
      <c r="L1" s="2464"/>
      <c r="M1" s="2464"/>
    </row>
    <row r="2" spans="2:14" ht="15" x14ac:dyDescent="0.2">
      <c r="B2" s="2461">
        <f>'Single Audit Cover'!E7</f>
        <v>35050425026</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79"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2094</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2095</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2096</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Lostant CUSD 425</v>
      </c>
      <c r="C1" s="2479"/>
      <c r="D1" s="2479"/>
      <c r="E1" s="2479"/>
      <c r="F1" s="2479"/>
      <c r="G1" s="2479"/>
      <c r="H1" s="2479"/>
      <c r="I1" s="2479"/>
      <c r="J1" s="1422"/>
    </row>
    <row r="2" spans="2:10" s="317" customFormat="1" ht="12.75" customHeight="1" x14ac:dyDescent="0.2">
      <c r="B2" s="2480">
        <f>'Single Audit Cover'!E7</f>
        <v>35050425026</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1952</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Lostant CUSD 425</v>
      </c>
      <c r="C1" s="2478"/>
      <c r="D1" s="2478"/>
      <c r="E1" s="2478"/>
      <c r="F1" s="2478"/>
      <c r="G1" s="2478"/>
      <c r="H1" s="2478"/>
      <c r="I1" s="2478"/>
      <c r="J1" s="2478"/>
      <c r="K1" s="2478"/>
      <c r="L1" s="1374"/>
      <c r="M1" s="1374"/>
    </row>
    <row r="2" spans="1:13" ht="12" customHeight="1" x14ac:dyDescent="0.2">
      <c r="B2" s="2480">
        <f>'Single Audit Cover'!E7</f>
        <v>35050425026</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Lostant CUSD 425</v>
      </c>
      <c r="C1" s="2501"/>
      <c r="D1" s="2501"/>
      <c r="E1" s="2501"/>
      <c r="F1" s="2501"/>
      <c r="G1" s="2501"/>
      <c r="H1" s="2501"/>
      <c r="I1" s="2501"/>
      <c r="J1" s="2501"/>
      <c r="K1" s="2501"/>
      <c r="L1" s="1465"/>
    </row>
    <row r="2" spans="1:12" ht="12.75" customHeight="1" x14ac:dyDescent="0.2">
      <c r="B2" s="2502">
        <f>'Single Audit Cover'!E7</f>
        <v>35050425026</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Lostant CUSD 425</v>
      </c>
      <c r="C1" s="2478"/>
      <c r="D1" s="2478"/>
      <c r="E1" s="1491"/>
    </row>
    <row r="2" spans="2:5" s="1282" customFormat="1" ht="12.75" customHeight="1" x14ac:dyDescent="0.2">
      <c r="B2" s="2480">
        <f>'Single Audit Cover'!E7</f>
        <v>35050425026</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27437608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3.7999999999999999E-2</v>
      </c>
      <c r="E10" s="356" t="s">
        <v>1062</v>
      </c>
      <c r="F10" s="355">
        <v>5.0000000000000001E-3</v>
      </c>
      <c r="G10" s="356" t="s">
        <v>1062</v>
      </c>
      <c r="H10" s="355">
        <v>2.3999999999999998E-3</v>
      </c>
      <c r="I10" s="356" t="s">
        <v>1063</v>
      </c>
      <c r="J10" s="1754">
        <f>ROUND(D10+F10+H10,5)</f>
        <v>4.5400000000000003E-2</v>
      </c>
      <c r="K10" s="222"/>
      <c r="L10" s="355">
        <v>5.0000000000000001E-4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1830000</v>
      </c>
      <c r="E16" s="356"/>
      <c r="F16" s="1755">
        <f>SUM('Acct Summary 7-8'!C17,'Acct Summary 7-8'!D17,'Acct Summary 7-8'!F17)</f>
        <v>1485257</v>
      </c>
      <c r="G16" s="356"/>
      <c r="H16" s="1755">
        <f>SUM(D16-F16)</f>
        <v>344743</v>
      </c>
      <c r="I16" s="222"/>
      <c r="J16" s="1755">
        <f>SUM('Acct Summary 7-8'!C81,'Acct Summary 7-8'!D81,'Acct Summary 7-8'!F81,'Acct Summary 7-8'!I81)</f>
        <v>1529993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3786389.9040000001</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1513341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Lostant CUSD 425</v>
      </c>
      <c r="E7" s="391"/>
      <c r="G7" s="252"/>
      <c r="H7" s="387"/>
      <c r="I7" s="387"/>
      <c r="J7" s="387"/>
      <c r="K7" s="387"/>
      <c r="L7" s="329"/>
      <c r="M7" s="329"/>
      <c r="N7" s="329"/>
      <c r="O7" s="329"/>
      <c r="P7" s="329"/>
    </row>
    <row r="8" spans="1:18" ht="12.75" x14ac:dyDescent="0.2">
      <c r="A8" s="329"/>
      <c r="B8" s="329"/>
      <c r="C8" s="389" t="s">
        <v>1187</v>
      </c>
      <c r="D8" s="392">
        <f>COVER!A13</f>
        <v>35050425026</v>
      </c>
      <c r="E8" s="393"/>
      <c r="G8" s="329"/>
      <c r="H8" s="329"/>
      <c r="I8" s="329"/>
      <c r="J8" s="329"/>
      <c r="K8" s="329"/>
      <c r="L8" s="329"/>
      <c r="M8" s="329"/>
      <c r="N8" s="329"/>
      <c r="O8" s="329"/>
      <c r="P8" s="329"/>
    </row>
    <row r="9" spans="1:18" ht="12.75" x14ac:dyDescent="0.2">
      <c r="A9" s="329"/>
      <c r="B9" s="329"/>
      <c r="C9" s="389" t="s">
        <v>737</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1529993</v>
      </c>
      <c r="I12" s="404"/>
      <c r="J12" s="404"/>
      <c r="K12" s="405">
        <f>TRUNC((H12/H13*100000),5)/100000</f>
        <v>0.83915607930000002</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1823252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-6748</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1485257</v>
      </c>
      <c r="I17" s="404"/>
      <c r="J17" s="416"/>
      <c r="K17" s="405">
        <f>TRUNC((H17/H18*100000),5)/100000</f>
        <v>0.81461970149999996</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1823252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-6748</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1529993</v>
      </c>
      <c r="I24" s="422"/>
      <c r="J24" s="422"/>
      <c r="K24" s="423">
        <f>TRUNC(((H24/H25*100000)/100000),2)</f>
        <v>370.84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4125.71389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1058817.29272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1513341</v>
      </c>
      <c r="I32" s="420"/>
      <c r="J32" s="420"/>
      <c r="K32" s="423">
        <f>TRUNC(100-((((H32/H33*100))*100)/100),2)</f>
        <v>60.03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3786389.9040000001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6" activePane="bottomLeft" state="frozen"/>
      <selection activeCell="A47" sqref="A47"/>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1054603</v>
      </c>
      <c r="D4" s="466">
        <v>172156</v>
      </c>
      <c r="E4" s="466">
        <v>22080</v>
      </c>
      <c r="F4" s="466">
        <v>217288</v>
      </c>
      <c r="G4" s="466">
        <v>62261</v>
      </c>
      <c r="H4" s="466"/>
      <c r="I4" s="466">
        <v>85946</v>
      </c>
      <c r="J4" s="467">
        <v>105262</v>
      </c>
      <c r="K4" s="466">
        <v>46133</v>
      </c>
      <c r="L4" s="466">
        <v>15143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1054603</v>
      </c>
      <c r="D13" s="1759">
        <f t="shared" ref="D13:L13" si="0">SUM(D4:D12)</f>
        <v>172156</v>
      </c>
      <c r="E13" s="1759">
        <f t="shared" si="0"/>
        <v>22080</v>
      </c>
      <c r="F13" s="1759">
        <f t="shared" si="0"/>
        <v>217288</v>
      </c>
      <c r="G13" s="1759">
        <f t="shared" si="0"/>
        <v>62261</v>
      </c>
      <c r="H13" s="1759">
        <f t="shared" si="0"/>
        <v>0</v>
      </c>
      <c r="I13" s="1759">
        <f t="shared" si="0"/>
        <v>85946</v>
      </c>
      <c r="J13" s="1759">
        <f t="shared" si="0"/>
        <v>105262</v>
      </c>
      <c r="K13" s="1759">
        <f t="shared" si="0"/>
        <v>46133</v>
      </c>
      <c r="L13" s="1759">
        <f t="shared" si="0"/>
        <v>15143</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24650</v>
      </c>
      <c r="N16" s="484"/>
    </row>
    <row r="17" spans="1:14" s="485" customFormat="1" ht="12.75" customHeight="1" x14ac:dyDescent="0.2">
      <c r="A17" s="482" t="s">
        <v>1470</v>
      </c>
      <c r="B17" s="483">
        <v>230</v>
      </c>
      <c r="C17" s="477"/>
      <c r="D17" s="477"/>
      <c r="E17" s="477"/>
      <c r="F17" s="477"/>
      <c r="G17" s="477"/>
      <c r="H17" s="477"/>
      <c r="I17" s="477"/>
      <c r="J17" s="477"/>
      <c r="K17" s="477"/>
      <c r="L17" s="477"/>
      <c r="M17" s="467">
        <v>3831964</v>
      </c>
      <c r="N17" s="484"/>
    </row>
    <row r="18" spans="1:14" s="485" customFormat="1" ht="12.75" customHeight="1" x14ac:dyDescent="0.2">
      <c r="A18" s="482" t="s">
        <v>1471</v>
      </c>
      <c r="B18" s="483">
        <v>240</v>
      </c>
      <c r="C18" s="477"/>
      <c r="D18" s="477"/>
      <c r="E18" s="477"/>
      <c r="F18" s="477"/>
      <c r="G18" s="477"/>
      <c r="H18" s="477"/>
      <c r="I18" s="477"/>
      <c r="J18" s="477"/>
      <c r="K18" s="477"/>
      <c r="L18" s="477"/>
      <c r="M18" s="467">
        <v>19238</v>
      </c>
      <c r="N18" s="484"/>
    </row>
    <row r="19" spans="1:14" s="485" customFormat="1" ht="12.75" customHeight="1" x14ac:dyDescent="0.2">
      <c r="A19" s="482" t="s">
        <v>1472</v>
      </c>
      <c r="B19" s="483">
        <v>250</v>
      </c>
      <c r="C19" s="477"/>
      <c r="D19" s="477"/>
      <c r="E19" s="477"/>
      <c r="F19" s="477"/>
      <c r="G19" s="477"/>
      <c r="H19" s="477"/>
      <c r="I19" s="477"/>
      <c r="J19" s="477"/>
      <c r="K19" s="477"/>
      <c r="L19" s="477"/>
      <c r="M19" s="467">
        <v>359627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22080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1491261</v>
      </c>
    </row>
    <row r="23" spans="1:14" ht="13.5" customHeight="1" thickBot="1" x14ac:dyDescent="0.25">
      <c r="A23" s="1758" t="s">
        <v>664</v>
      </c>
      <c r="B23" s="1763"/>
      <c r="C23" s="468"/>
      <c r="D23" s="468"/>
      <c r="E23" s="468"/>
      <c r="F23" s="468"/>
      <c r="G23" s="468"/>
      <c r="H23" s="468"/>
      <c r="I23" s="468"/>
      <c r="J23" s="468"/>
      <c r="K23" s="468"/>
      <c r="L23" s="468"/>
      <c r="M23" s="1710">
        <f>SUM(M15:M22)</f>
        <v>4235479</v>
      </c>
      <c r="N23" s="1710">
        <f>SUM(N21:N22)</f>
        <v>1513341</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15143</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15143</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1513341</v>
      </c>
    </row>
    <row r="37" spans="1:14" ht="13.5" thickBot="1" x14ac:dyDescent="0.25">
      <c r="A37" s="1758" t="s">
        <v>674</v>
      </c>
      <c r="B37" s="1763"/>
      <c r="C37" s="477"/>
      <c r="D37" s="477"/>
      <c r="E37" s="477"/>
      <c r="F37" s="477"/>
      <c r="G37" s="477"/>
      <c r="H37" s="477"/>
      <c r="I37" s="477"/>
      <c r="J37" s="477"/>
      <c r="K37" s="477"/>
      <c r="L37" s="480"/>
      <c r="M37" s="468"/>
      <c r="N37" s="1710">
        <f>SUM(N36:N36)</f>
        <v>1513341</v>
      </c>
    </row>
    <row r="38" spans="1:14" s="329" customFormat="1" ht="13.5" customHeight="1" thickTop="1" x14ac:dyDescent="0.2">
      <c r="A38" s="496" t="s">
        <v>440</v>
      </c>
      <c r="B38" s="483">
        <v>714</v>
      </c>
      <c r="C38" s="466">
        <v>8786</v>
      </c>
      <c r="D38" s="466"/>
      <c r="E38" s="466"/>
      <c r="F38" s="466"/>
      <c r="G38" s="466">
        <v>24925</v>
      </c>
      <c r="H38" s="466"/>
      <c r="I38" s="466"/>
      <c r="J38" s="467"/>
      <c r="K38" s="466"/>
      <c r="L38" s="481"/>
      <c r="M38" s="497"/>
      <c r="N38" s="497"/>
    </row>
    <row r="39" spans="1:14" s="329" customFormat="1" ht="13.5" customHeight="1" x14ac:dyDescent="0.2">
      <c r="A39" s="496" t="s">
        <v>360</v>
      </c>
      <c r="B39" s="483">
        <v>730</v>
      </c>
      <c r="C39" s="466">
        <f>1054603-8786</f>
        <v>1045817</v>
      </c>
      <c r="D39" s="466">
        <v>172156</v>
      </c>
      <c r="E39" s="466">
        <v>22080</v>
      </c>
      <c r="F39" s="466">
        <v>217288</v>
      </c>
      <c r="G39" s="466">
        <v>37336</v>
      </c>
      <c r="H39" s="466"/>
      <c r="I39" s="466">
        <v>85946</v>
      </c>
      <c r="J39" s="467">
        <v>105262</v>
      </c>
      <c r="K39" s="466">
        <v>46133</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4235479</v>
      </c>
      <c r="N40" s="497"/>
    </row>
    <row r="41" spans="1:14" ht="13.5" customHeight="1" thickBot="1" x14ac:dyDescent="0.25">
      <c r="A41" s="1758" t="s">
        <v>676</v>
      </c>
      <c r="B41" s="1728"/>
      <c r="C41" s="1710">
        <f>(SUM(C34,C37,C38,C39))</f>
        <v>1054603</v>
      </c>
      <c r="D41" s="1710">
        <f t="shared" ref="D41:L41" si="2">SUM(D34,D37,D38:D39)</f>
        <v>172156</v>
      </c>
      <c r="E41" s="1710">
        <f t="shared" si="2"/>
        <v>22080</v>
      </c>
      <c r="F41" s="1710">
        <f t="shared" si="2"/>
        <v>217288</v>
      </c>
      <c r="G41" s="1710">
        <f t="shared" si="2"/>
        <v>62261</v>
      </c>
      <c r="H41" s="1710">
        <f t="shared" si="2"/>
        <v>0</v>
      </c>
      <c r="I41" s="1710">
        <f t="shared" si="2"/>
        <v>85946</v>
      </c>
      <c r="J41" s="1710">
        <f t="shared" si="2"/>
        <v>105262</v>
      </c>
      <c r="K41" s="1710">
        <f t="shared" si="2"/>
        <v>46133</v>
      </c>
      <c r="L41" s="1710">
        <f t="shared" si="2"/>
        <v>15143</v>
      </c>
      <c r="M41" s="1710">
        <f>SUM(M40)</f>
        <v>4235479</v>
      </c>
      <c r="N41" s="1710">
        <f>SUM(N37)</f>
        <v>1513341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A47" sqref="A47"/>
      <selection pane="bottomLeft" activeCell="C17" sqref="C17:K1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8" t="s">
        <v>1237</v>
      </c>
      <c r="B3" s="2149"/>
      <c r="C3" s="1595"/>
      <c r="D3" s="1596"/>
      <c r="E3" s="1596"/>
      <c r="F3" s="1596"/>
      <c r="G3" s="1596"/>
      <c r="H3" s="1596"/>
      <c r="I3" s="1596"/>
      <c r="J3" s="1596"/>
      <c r="K3" s="1597"/>
      <c r="L3" s="506"/>
    </row>
    <row r="4" spans="1:13" ht="15.75" customHeight="1" x14ac:dyDescent="0.2">
      <c r="A4" s="2150" t="s">
        <v>1579</v>
      </c>
      <c r="B4" s="2151"/>
      <c r="C4" s="1764">
        <f>'Revenues 9-14'!C109</f>
        <v>1174883</v>
      </c>
      <c r="D4" s="1764">
        <f>'Revenues 9-14'!D109</f>
        <v>132121</v>
      </c>
      <c r="E4" s="1764">
        <f>'Revenues 9-14'!E109</f>
        <v>132364</v>
      </c>
      <c r="F4" s="1764">
        <f>'Revenues 9-14'!F109</f>
        <v>63103</v>
      </c>
      <c r="G4" s="1764">
        <f>'Revenues 9-14'!G109</f>
        <v>27118</v>
      </c>
      <c r="H4" s="1764">
        <f>'Revenues 9-14'!H109</f>
        <v>0</v>
      </c>
      <c r="I4" s="1764">
        <f>'Revenues 9-14'!I109</f>
        <v>13121</v>
      </c>
      <c r="J4" s="1764">
        <f>'Revenues 9-14'!J109</f>
        <v>173171</v>
      </c>
      <c r="K4" s="1764">
        <f>'Revenues 9-14'!K109</f>
        <v>13994</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237764</v>
      </c>
      <c r="D6" s="1765">
        <f>'Revenues 9-14'!D173</f>
        <v>0</v>
      </c>
      <c r="E6" s="1765">
        <f>'Revenues 9-14'!E173</f>
        <v>0</v>
      </c>
      <c r="F6" s="1765">
        <f>'Revenues 9-14'!F173</f>
        <v>111537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97471</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1510118</v>
      </c>
      <c r="D8" s="1710">
        <f t="shared" ref="D8:K8" si="0">SUM(D4:D7)</f>
        <v>132121</v>
      </c>
      <c r="E8" s="1710">
        <f t="shared" si="0"/>
        <v>132364</v>
      </c>
      <c r="F8" s="1710">
        <f t="shared" si="0"/>
        <v>174640</v>
      </c>
      <c r="G8" s="1710">
        <f t="shared" si="0"/>
        <v>27118</v>
      </c>
      <c r="H8" s="1710">
        <f t="shared" si="0"/>
        <v>0</v>
      </c>
      <c r="I8" s="1710">
        <f t="shared" si="0"/>
        <v>13121</v>
      </c>
      <c r="J8" s="1710">
        <f t="shared" si="0"/>
        <v>173171</v>
      </c>
      <c r="K8" s="1710">
        <f t="shared" si="0"/>
        <v>13994</v>
      </c>
      <c r="L8" s="347"/>
    </row>
    <row r="9" spans="1:13" ht="15.75" thickTop="1" x14ac:dyDescent="0.2">
      <c r="A9" s="514" t="s">
        <v>1752</v>
      </c>
      <c r="B9" s="515">
        <v>3998</v>
      </c>
      <c r="C9" s="481">
        <v>369487</v>
      </c>
      <c r="D9" s="516"/>
      <c r="E9" s="481"/>
      <c r="F9" s="481"/>
      <c r="G9" s="517"/>
      <c r="H9" s="481"/>
      <c r="I9" s="509" t="s">
        <v>1231</v>
      </c>
      <c r="J9" s="478"/>
      <c r="K9" s="481"/>
      <c r="L9" s="347"/>
    </row>
    <row r="10" spans="1:13" s="519" customFormat="1" ht="13.5" thickBot="1" x14ac:dyDescent="0.25">
      <c r="A10" s="1758" t="s">
        <v>1235</v>
      </c>
      <c r="B10" s="1731"/>
      <c r="C10" s="1710">
        <f>SUM(C8:C9)</f>
        <v>1879605</v>
      </c>
      <c r="D10" s="1710">
        <f t="shared" ref="D10:K10" si="1">SUM(D8:D9)</f>
        <v>132121</v>
      </c>
      <c r="E10" s="1710">
        <f t="shared" si="1"/>
        <v>132364</v>
      </c>
      <c r="F10" s="1710">
        <f t="shared" si="1"/>
        <v>174640</v>
      </c>
      <c r="G10" s="1710">
        <f t="shared" si="1"/>
        <v>27118</v>
      </c>
      <c r="H10" s="1710">
        <f t="shared" si="1"/>
        <v>0</v>
      </c>
      <c r="I10" s="1710">
        <f t="shared" si="1"/>
        <v>13121</v>
      </c>
      <c r="J10" s="1710">
        <f t="shared" si="1"/>
        <v>173171</v>
      </c>
      <c r="K10" s="1710">
        <f t="shared" si="1"/>
        <v>13994</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508747</v>
      </c>
      <c r="D12" s="520" t="s">
        <v>1231</v>
      </c>
      <c r="E12" s="468" t="s">
        <v>1231</v>
      </c>
      <c r="F12" s="468" t="s">
        <v>1231</v>
      </c>
      <c r="G12" s="1764">
        <f>'Expenditures 15-22'!K229</f>
        <v>9435</v>
      </c>
      <c r="H12" s="521"/>
      <c r="I12" s="468" t="s">
        <v>1231</v>
      </c>
      <c r="J12" s="468" t="s">
        <v>1231</v>
      </c>
      <c r="K12" s="521" t="s">
        <v>1231</v>
      </c>
      <c r="L12" s="347"/>
    </row>
    <row r="13" spans="1:13" ht="15.75" customHeight="1" x14ac:dyDescent="0.2">
      <c r="A13" s="1598" t="s">
        <v>477</v>
      </c>
      <c r="B13" s="1600">
        <v>2000</v>
      </c>
      <c r="C13" s="1765">
        <f>'Expenditures 15-22'!K74</f>
        <v>287458</v>
      </c>
      <c r="D13" s="1765">
        <f>'Expenditures 15-22'!K129</f>
        <v>147040</v>
      </c>
      <c r="E13" s="469" t="s">
        <v>1231</v>
      </c>
      <c r="F13" s="1765">
        <f>'Expenditures 15-22'!K184</f>
        <v>69513</v>
      </c>
      <c r="G13" s="1765">
        <f>'Expenditures 15-22'!K279</f>
        <v>14199</v>
      </c>
      <c r="H13" s="1765">
        <f>'Expenditures 15-22'!K303</f>
        <v>0</v>
      </c>
      <c r="I13" s="468" t="s">
        <v>1231</v>
      </c>
      <c r="J13" s="1765">
        <f>'Expenditures 15-22'!K330</f>
        <v>98806</v>
      </c>
      <c r="K13" s="1769">
        <f>'Expenditures 15-22'!K352</f>
        <v>1338427</v>
      </c>
      <c r="L13" s="347"/>
    </row>
    <row r="14" spans="1:13" ht="15.75" customHeight="1" x14ac:dyDescent="0.2">
      <c r="A14" s="1598" t="s">
        <v>469</v>
      </c>
      <c r="B14" s="1600">
        <v>3000</v>
      </c>
      <c r="C14" s="1765">
        <f>'Expenditures 15-22'!K75</f>
        <v>334</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441708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138819</v>
      </c>
      <c r="F16" s="1765">
        <f>'Expenditures 15-22'!K208</f>
        <v>30457</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1238247</v>
      </c>
      <c r="D17" s="1710">
        <f t="shared" si="2"/>
        <v>147040</v>
      </c>
      <c r="E17" s="1710">
        <f t="shared" si="2"/>
        <v>138819</v>
      </c>
      <c r="F17" s="1710">
        <f t="shared" si="2"/>
        <v>99970</v>
      </c>
      <c r="G17" s="1710">
        <f t="shared" si="2"/>
        <v>23634</v>
      </c>
      <c r="H17" s="1710">
        <f t="shared" si="2"/>
        <v>0</v>
      </c>
      <c r="I17" s="468"/>
      <c r="J17" s="1710">
        <f>SUM(J12:J16)</f>
        <v>98806</v>
      </c>
      <c r="K17" s="1710">
        <f>SUM(K12:K16)</f>
        <v>1338427</v>
      </c>
      <c r="L17" s="347"/>
    </row>
    <row r="18" spans="1:12" ht="15" customHeight="1" thickTop="1" x14ac:dyDescent="0.2">
      <c r="A18" s="1766" t="s">
        <v>1753</v>
      </c>
      <c r="B18" s="1767">
        <v>4180</v>
      </c>
      <c r="C18" s="1764">
        <f t="shared" ref="C18:H18" si="3">C9</f>
        <v>369487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1607734</v>
      </c>
      <c r="D19" s="1710">
        <f t="shared" si="4"/>
        <v>147040</v>
      </c>
      <c r="E19" s="1710">
        <f t="shared" si="4"/>
        <v>138819</v>
      </c>
      <c r="F19" s="1710">
        <f t="shared" si="4"/>
        <v>99970</v>
      </c>
      <c r="G19" s="1710">
        <f t="shared" si="4"/>
        <v>23634</v>
      </c>
      <c r="H19" s="1710">
        <f t="shared" si="4"/>
        <v>0</v>
      </c>
      <c r="I19" s="468"/>
      <c r="J19" s="1710">
        <f>SUM(J17:J18)</f>
        <v>98806</v>
      </c>
      <c r="K19" s="1710">
        <f>SUM(K17:K18)</f>
        <v>1338427</v>
      </c>
      <c r="L19" s="347"/>
    </row>
    <row r="20" spans="1:12" ht="16.5" thickTop="1" thickBot="1" x14ac:dyDescent="0.25">
      <c r="A20" s="2138" t="s">
        <v>1754</v>
      </c>
      <c r="B20" s="2139"/>
      <c r="C20" s="1768">
        <f>C8-C17</f>
        <v>271871</v>
      </c>
      <c r="D20" s="1768">
        <f t="shared" ref="D20:K20" si="5">D8-D17</f>
        <v>-14919</v>
      </c>
      <c r="E20" s="1768">
        <f t="shared" si="5"/>
        <v>-6455</v>
      </c>
      <c r="F20" s="1768">
        <f t="shared" si="5"/>
        <v>74670</v>
      </c>
      <c r="G20" s="1768">
        <f t="shared" si="5"/>
        <v>3484</v>
      </c>
      <c r="H20" s="1768">
        <f t="shared" si="5"/>
        <v>0</v>
      </c>
      <c r="I20" s="1768">
        <f t="shared" si="5"/>
        <v>13121</v>
      </c>
      <c r="J20" s="1768">
        <f t="shared" si="5"/>
        <v>74365</v>
      </c>
      <c r="K20" s="1768">
        <f t="shared" si="5"/>
        <v>-1324433</v>
      </c>
      <c r="L20" s="347"/>
    </row>
    <row r="21" spans="1:12" ht="16.7" customHeight="1" thickTop="1" x14ac:dyDescent="0.2">
      <c r="A21" s="2152" t="s">
        <v>616</v>
      </c>
      <c r="B21" s="2153"/>
      <c r="C21" s="1592"/>
      <c r="D21" s="1593"/>
      <c r="E21" s="1593"/>
      <c r="F21" s="1593"/>
      <c r="G21" s="1593"/>
      <c r="H21" s="1593"/>
      <c r="I21" s="1593"/>
      <c r="J21" s="1593"/>
      <c r="K21" s="1594"/>
      <c r="L21" s="524"/>
    </row>
    <row r="22" spans="1:12" ht="15.75" customHeight="1" collapsed="1" x14ac:dyDescent="0.2">
      <c r="A22" s="2146" t="s">
        <v>617</v>
      </c>
      <c r="B22" s="2147"/>
      <c r="C22" s="477"/>
      <c r="D22" s="477"/>
      <c r="E22" s="477"/>
      <c r="F22" s="477"/>
      <c r="G22" s="477"/>
      <c r="H22" s="477"/>
      <c r="I22" s="477"/>
      <c r="J22" s="477"/>
      <c r="K22" s="477"/>
      <c r="L22" s="347"/>
    </row>
    <row r="23" spans="1:12" s="485" customFormat="1" ht="15.75" customHeight="1" x14ac:dyDescent="0.2">
      <c r="A23" s="2142" t="s">
        <v>311</v>
      </c>
      <c r="B23" s="2143"/>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v>13000</v>
      </c>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4" t="s">
        <v>1038</v>
      </c>
      <c r="B32" s="2145"/>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v>1260000</v>
      </c>
      <c r="L33" s="524"/>
    </row>
    <row r="34" spans="1:12" s="485" customFormat="1" x14ac:dyDescent="0.2">
      <c r="A34" s="1511" t="s">
        <v>1058</v>
      </c>
      <c r="B34" s="525">
        <v>7220</v>
      </c>
      <c r="C34" s="467"/>
      <c r="D34" s="467"/>
      <c r="E34" s="467"/>
      <c r="F34" s="467"/>
      <c r="G34" s="477"/>
      <c r="H34" s="478"/>
      <c r="I34" s="478"/>
      <c r="J34" s="478"/>
      <c r="K34" s="478">
        <v>57350</v>
      </c>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v>6748</v>
      </c>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4" t="s">
        <v>392</v>
      </c>
      <c r="B44" s="2155"/>
      <c r="C44" s="1725">
        <f>SUM(C24:C43)</f>
        <v>0</v>
      </c>
      <c r="D44" s="1725">
        <f t="shared" ref="D44:K44" si="6">SUM(D24:D43)</f>
        <v>13000</v>
      </c>
      <c r="E44" s="1725">
        <f t="shared" si="6"/>
        <v>6748</v>
      </c>
      <c r="F44" s="1725">
        <f t="shared" si="6"/>
        <v>0</v>
      </c>
      <c r="G44" s="1725">
        <f t="shared" si="6"/>
        <v>0</v>
      </c>
      <c r="H44" s="1725">
        <f t="shared" si="6"/>
        <v>0</v>
      </c>
      <c r="I44" s="1725">
        <f t="shared" si="6"/>
        <v>0</v>
      </c>
      <c r="J44" s="1725">
        <f t="shared" si="6"/>
        <v>0</v>
      </c>
      <c r="K44" s="1725">
        <f t="shared" si="6"/>
        <v>1317350</v>
      </c>
      <c r="L44" s="524"/>
    </row>
    <row r="45" spans="1:12" ht="15.75" customHeight="1" thickTop="1" x14ac:dyDescent="0.2">
      <c r="A45" s="2146" t="s">
        <v>110</v>
      </c>
      <c r="B45" s="2147"/>
      <c r="C45" s="528"/>
      <c r="D45" s="528"/>
      <c r="E45" s="528"/>
      <c r="F45" s="528"/>
      <c r="G45" s="528"/>
      <c r="H45" s="528"/>
      <c r="I45" s="528"/>
      <c r="J45" s="528"/>
      <c r="K45" s="528"/>
      <c r="L45" s="347"/>
    </row>
    <row r="46" spans="1:12" s="485" customFormat="1" ht="15.75" customHeight="1" x14ac:dyDescent="0.2">
      <c r="A46" s="2156" t="s">
        <v>111</v>
      </c>
      <c r="B46" s="2157"/>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13000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v>6748</v>
      </c>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58" t="s">
        <v>460</v>
      </c>
      <c r="B76" s="2159"/>
      <c r="C76" s="1725">
        <f t="shared" ref="C76:K76" si="7">SUM(C47:C75)</f>
        <v>6748</v>
      </c>
      <c r="D76" s="1725">
        <f t="shared" si="7"/>
        <v>0</v>
      </c>
      <c r="E76" s="1725">
        <f t="shared" si="7"/>
        <v>0</v>
      </c>
      <c r="F76" s="1725">
        <f t="shared" si="7"/>
        <v>0</v>
      </c>
      <c r="G76" s="1725">
        <f t="shared" si="7"/>
        <v>0</v>
      </c>
      <c r="H76" s="1725">
        <f t="shared" si="7"/>
        <v>0</v>
      </c>
      <c r="I76" s="1725">
        <f t="shared" si="7"/>
        <v>13000</v>
      </c>
      <c r="J76" s="1725">
        <f t="shared" si="7"/>
        <v>0</v>
      </c>
      <c r="K76" s="1725">
        <f t="shared" si="7"/>
        <v>0</v>
      </c>
      <c r="L76" s="524"/>
    </row>
    <row r="77" spans="1:12" ht="14.25" thickTop="1" thickBot="1" x14ac:dyDescent="0.25">
      <c r="A77" s="2160" t="s">
        <v>1239</v>
      </c>
      <c r="B77" s="2161"/>
      <c r="C77" s="1725">
        <f t="shared" ref="C77:K77" si="8">C44-C76</f>
        <v>-6748</v>
      </c>
      <c r="D77" s="1725">
        <f t="shared" si="8"/>
        <v>13000</v>
      </c>
      <c r="E77" s="1725">
        <f t="shared" si="8"/>
        <v>6748</v>
      </c>
      <c r="F77" s="1725">
        <f t="shared" si="8"/>
        <v>0</v>
      </c>
      <c r="G77" s="1725">
        <f t="shared" si="8"/>
        <v>0</v>
      </c>
      <c r="H77" s="1725">
        <f t="shared" si="8"/>
        <v>0</v>
      </c>
      <c r="I77" s="1725">
        <f t="shared" si="8"/>
        <v>-13000</v>
      </c>
      <c r="J77" s="1725">
        <f t="shared" si="8"/>
        <v>0</v>
      </c>
      <c r="K77" s="1725">
        <f t="shared" si="8"/>
        <v>1317350</v>
      </c>
      <c r="L77" s="347"/>
    </row>
    <row r="78" spans="1:12" ht="21.75" customHeight="1" thickTop="1" thickBot="1" x14ac:dyDescent="0.25">
      <c r="A78" s="2134" t="s">
        <v>618</v>
      </c>
      <c r="B78" s="2135"/>
      <c r="C78" s="1724">
        <f t="shared" ref="C78:K78" si="9">C20+C77</f>
        <v>265123</v>
      </c>
      <c r="D78" s="1724">
        <f t="shared" si="9"/>
        <v>-1919</v>
      </c>
      <c r="E78" s="1724">
        <f t="shared" si="9"/>
        <v>293</v>
      </c>
      <c r="F78" s="1724">
        <f t="shared" si="9"/>
        <v>74670</v>
      </c>
      <c r="G78" s="1724">
        <f t="shared" si="9"/>
        <v>3484</v>
      </c>
      <c r="H78" s="1724">
        <f t="shared" si="9"/>
        <v>0</v>
      </c>
      <c r="I78" s="1724">
        <f t="shared" si="9"/>
        <v>121</v>
      </c>
      <c r="J78" s="1724">
        <f t="shared" si="9"/>
        <v>74365</v>
      </c>
      <c r="K78" s="1724">
        <f t="shared" si="9"/>
        <v>-7083</v>
      </c>
      <c r="L78" s="533"/>
    </row>
    <row r="79" spans="1:12" ht="13.5" thickTop="1" x14ac:dyDescent="0.2">
      <c r="A79" s="1516" t="s">
        <v>2073</v>
      </c>
      <c r="B79" s="534"/>
      <c r="C79" s="478">
        <v>789480</v>
      </c>
      <c r="D79" s="535">
        <v>174075</v>
      </c>
      <c r="E79" s="535">
        <v>21787</v>
      </c>
      <c r="F79" s="535">
        <v>142618</v>
      </c>
      <c r="G79" s="535">
        <v>58777</v>
      </c>
      <c r="H79" s="535"/>
      <c r="I79" s="535">
        <v>85825</v>
      </c>
      <c r="J79" s="535">
        <v>30897</v>
      </c>
      <c r="K79" s="535">
        <v>53216</v>
      </c>
      <c r="L79" s="347"/>
    </row>
    <row r="80" spans="1:12" x14ac:dyDescent="0.2">
      <c r="A80" s="2140" t="s">
        <v>1898</v>
      </c>
      <c r="B80" s="2141"/>
      <c r="C80" s="467"/>
      <c r="D80" s="467"/>
      <c r="E80" s="467"/>
      <c r="F80" s="467"/>
      <c r="G80" s="467"/>
      <c r="H80" s="467"/>
      <c r="I80" s="467"/>
      <c r="J80" s="467"/>
      <c r="K80" s="467"/>
      <c r="L80" s="347"/>
    </row>
    <row r="81" spans="1:12" ht="13.5" thickBot="1" x14ac:dyDescent="0.25">
      <c r="A81" s="2132" t="s">
        <v>2074</v>
      </c>
      <c r="B81" s="2133"/>
      <c r="C81" s="1710">
        <f>(SUM(C78:C80))</f>
        <v>1054603</v>
      </c>
      <c r="D81" s="1710">
        <f>SUM(D78:D80)</f>
        <v>172156</v>
      </c>
      <c r="E81" s="1710">
        <f t="shared" ref="E81:K81" si="10">SUM(E78:E80)</f>
        <v>22080</v>
      </c>
      <c r="F81" s="1710">
        <f t="shared" si="10"/>
        <v>217288</v>
      </c>
      <c r="G81" s="1710">
        <f t="shared" si="10"/>
        <v>62261</v>
      </c>
      <c r="H81" s="1710">
        <f t="shared" si="10"/>
        <v>0</v>
      </c>
      <c r="I81" s="1710">
        <f t="shared" si="10"/>
        <v>85946</v>
      </c>
      <c r="J81" s="1710">
        <f t="shared" si="10"/>
        <v>105262</v>
      </c>
      <c r="K81" s="1710">
        <f t="shared" si="10"/>
        <v>46133</v>
      </c>
      <c r="L81" s="347"/>
    </row>
    <row r="82" spans="1:12" ht="0.75" customHeight="1" thickTop="1" thickBot="1" x14ac:dyDescent="0.25">
      <c r="A82" s="536" t="s">
        <v>361</v>
      </c>
      <c r="B82" s="537"/>
      <c r="C82" s="538">
        <f>(C81-C79)</f>
        <v>265123</v>
      </c>
      <c r="D82" s="538">
        <f t="shared" ref="D82:K82" si="11">(D81-D79)</f>
        <v>-1919</v>
      </c>
      <c r="E82" s="538">
        <f t="shared" si="11"/>
        <v>293</v>
      </c>
      <c r="F82" s="538">
        <f t="shared" si="11"/>
        <v>74670</v>
      </c>
      <c r="G82" s="538">
        <f t="shared" si="11"/>
        <v>3484</v>
      </c>
      <c r="H82" s="538">
        <f t="shared" si="11"/>
        <v>0</v>
      </c>
      <c r="I82" s="538">
        <f t="shared" si="11"/>
        <v>121</v>
      </c>
      <c r="J82" s="538">
        <f t="shared" si="11"/>
        <v>74365</v>
      </c>
      <c r="K82" s="538">
        <f t="shared" si="11"/>
        <v>-7083</v>
      </c>
    </row>
    <row r="83" spans="1:12" ht="14.25" hidden="1" thickTop="1" thickBot="1" x14ac:dyDescent="0.25">
      <c r="A83" s="539" t="s">
        <v>362</v>
      </c>
      <c r="B83" s="464"/>
      <c r="C83" s="540">
        <f>C82/C81</f>
        <v>0.25139602295840235</v>
      </c>
      <c r="D83" s="540">
        <f t="shared" ref="D83:K83" si="12">D82/D81</f>
        <v>-1.1146866795232231E-2</v>
      </c>
      <c r="E83" s="540">
        <f t="shared" si="12"/>
        <v>1.3269927536231884E-2</v>
      </c>
      <c r="F83" s="540">
        <f t="shared" si="12"/>
        <v>0.34364530024667722</v>
      </c>
      <c r="G83" s="540">
        <f t="shared" si="12"/>
        <v>5.5957983328247217E-2</v>
      </c>
      <c r="H83" s="540" t="e">
        <f t="shared" si="12"/>
        <v>#DIV/0!</v>
      </c>
      <c r="I83" s="540">
        <f t="shared" si="12"/>
        <v>1.4078607497731133E-3</v>
      </c>
      <c r="J83" s="540">
        <f t="shared" si="12"/>
        <v>0.70647527122798348</v>
      </c>
      <c r="K83" s="540">
        <f t="shared" si="12"/>
        <v>-0.15353434634643315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240" activePane="bottomLeft" state="frozen"/>
      <selection activeCell="A47" sqref="A47"/>
      <selection pane="bottomLeft" activeCell="C271" sqref="C271"/>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6" t="s">
        <v>1905</v>
      </c>
      <c r="B1" s="452"/>
      <c r="C1" s="453" t="s">
        <v>445</v>
      </c>
      <c r="D1" s="453" t="s">
        <v>446</v>
      </c>
      <c r="E1" s="453" t="s">
        <v>447</v>
      </c>
      <c r="F1" s="453" t="s">
        <v>448</v>
      </c>
      <c r="G1" s="453" t="s">
        <v>449</v>
      </c>
      <c r="H1" s="453" t="s">
        <v>450</v>
      </c>
      <c r="I1" s="453" t="s">
        <v>451</v>
      </c>
      <c r="J1" s="453" t="s">
        <v>452</v>
      </c>
      <c r="K1" s="453" t="s">
        <v>780</v>
      </c>
    </row>
    <row r="2" spans="1:12" ht="36" x14ac:dyDescent="0.2">
      <c r="A2" s="213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997229</v>
      </c>
      <c r="D5" s="481">
        <v>131214</v>
      </c>
      <c r="E5" s="466">
        <v>132298</v>
      </c>
      <c r="F5" s="548">
        <v>62983</v>
      </c>
      <c r="G5" s="466">
        <v>14132</v>
      </c>
      <c r="H5" s="466"/>
      <c r="I5" s="466">
        <v>13121</v>
      </c>
      <c r="J5" s="467">
        <v>172927</v>
      </c>
      <c r="K5" s="466">
        <v>13452</v>
      </c>
    </row>
    <row r="6" spans="1:12" ht="15" x14ac:dyDescent="0.2">
      <c r="A6" s="463" t="s">
        <v>1761</v>
      </c>
      <c r="B6" s="470">
        <v>1130</v>
      </c>
      <c r="C6" s="466">
        <v>13121</v>
      </c>
      <c r="D6" s="466"/>
      <c r="E6" s="475"/>
      <c r="F6" s="475"/>
      <c r="G6" s="468"/>
      <c r="H6" s="468"/>
      <c r="I6" s="468"/>
      <c r="J6" s="468"/>
      <c r="K6" s="468"/>
    </row>
    <row r="7" spans="1:12" x14ac:dyDescent="0.2">
      <c r="A7" s="463" t="s">
        <v>112</v>
      </c>
      <c r="B7" s="549">
        <v>1140</v>
      </c>
      <c r="C7" s="466">
        <v>10497</v>
      </c>
      <c r="D7" s="466"/>
      <c r="E7" s="468"/>
      <c r="F7" s="467"/>
      <c r="G7" s="467"/>
      <c r="H7" s="467"/>
      <c r="I7" s="468"/>
      <c r="J7" s="468"/>
      <c r="K7" s="468"/>
    </row>
    <row r="8" spans="1:12" x14ac:dyDescent="0.2">
      <c r="A8" s="463" t="s">
        <v>433</v>
      </c>
      <c r="B8" s="470">
        <v>1150</v>
      </c>
      <c r="C8" s="475"/>
      <c r="D8" s="475"/>
      <c r="E8" s="477"/>
      <c r="F8" s="477"/>
      <c r="G8" s="481">
        <v>12114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1020847</v>
      </c>
      <c r="D12" s="1729">
        <f t="shared" si="0"/>
        <v>131214</v>
      </c>
      <c r="E12" s="1729">
        <f t="shared" si="0"/>
        <v>132298</v>
      </c>
      <c r="F12" s="1729">
        <f t="shared" si="0"/>
        <v>62983</v>
      </c>
      <c r="G12" s="1729">
        <f t="shared" si="0"/>
        <v>26246</v>
      </c>
      <c r="H12" s="1729">
        <f t="shared" si="0"/>
        <v>0</v>
      </c>
      <c r="I12" s="1729">
        <f t="shared" si="0"/>
        <v>13121</v>
      </c>
      <c r="J12" s="1729">
        <f t="shared" si="0"/>
        <v>172927</v>
      </c>
      <c r="K12" s="1710">
        <f t="shared" si="0"/>
        <v>13452</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45250</v>
      </c>
      <c r="D16" s="466"/>
      <c r="E16" s="466"/>
      <c r="F16" s="466"/>
      <c r="G16" s="466">
        <v>736</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45250</v>
      </c>
      <c r="D18" s="1732">
        <f t="shared" ref="D18:K18" si="1">SUM(D14:D17)</f>
        <v>0</v>
      </c>
      <c r="E18" s="1732">
        <f t="shared" si="1"/>
        <v>0</v>
      </c>
      <c r="F18" s="1732">
        <f t="shared" si="1"/>
        <v>0</v>
      </c>
      <c r="G18" s="1732">
        <f t="shared" si="1"/>
        <v>736</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1830</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1830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6517</v>
      </c>
      <c r="D65" s="466"/>
      <c r="E65" s="466">
        <v>66</v>
      </c>
      <c r="F65" s="467"/>
      <c r="G65" s="466">
        <v>136</v>
      </c>
      <c r="H65" s="466"/>
      <c r="I65" s="466"/>
      <c r="J65" s="467">
        <v>244</v>
      </c>
      <c r="K65" s="466">
        <v>542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6517</v>
      </c>
      <c r="D67" s="1710">
        <f t="shared" ref="D67:K67" si="2">SUM(D65:D66)</f>
        <v>0</v>
      </c>
      <c r="E67" s="1710">
        <f t="shared" si="2"/>
        <v>66</v>
      </c>
      <c r="F67" s="1710">
        <f t="shared" si="2"/>
        <v>0</v>
      </c>
      <c r="G67" s="1710">
        <f t="shared" si="2"/>
        <v>136</v>
      </c>
      <c r="H67" s="1710">
        <f t="shared" si="2"/>
        <v>0</v>
      </c>
      <c r="I67" s="1710">
        <f t="shared" si="2"/>
        <v>0</v>
      </c>
      <c r="J67" s="1710">
        <f t="shared" si="2"/>
        <v>244</v>
      </c>
      <c r="K67" s="1710">
        <f t="shared" si="2"/>
        <v>542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11828</v>
      </c>
      <c r="D69" s="468"/>
      <c r="E69" s="468"/>
      <c r="F69" s="468"/>
      <c r="G69" s="468"/>
      <c r="H69" s="468"/>
      <c r="I69" s="468"/>
      <c r="J69" s="468"/>
      <c r="K69" s="468"/>
    </row>
    <row r="70" spans="1:11" ht="12.75" customHeight="1" x14ac:dyDescent="0.2">
      <c r="A70" s="463" t="s">
        <v>1054</v>
      </c>
      <c r="B70" s="470">
        <v>1612</v>
      </c>
      <c r="C70" s="551">
        <v>943</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1400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14171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1644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1644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5518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5518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62</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148</v>
      </c>
      <c r="D99" s="466"/>
      <c r="E99" s="466"/>
      <c r="F99" s="466"/>
      <c r="G99" s="466"/>
      <c r="H99" s="466"/>
      <c r="I99" s="468"/>
      <c r="J99" s="467"/>
      <c r="K99" s="466"/>
    </row>
    <row r="100" spans="1:12" ht="12.75" customHeight="1" x14ac:dyDescent="0.2">
      <c r="A100" s="463" t="s">
        <v>263</v>
      </c>
      <c r="B100" s="470">
        <v>1960</v>
      </c>
      <c r="C100" s="489">
        <v>8074</v>
      </c>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54816</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16006</v>
      </c>
      <c r="D107" s="466">
        <v>907</v>
      </c>
      <c r="E107" s="466"/>
      <c r="F107" s="466">
        <v>120</v>
      </c>
      <c r="G107" s="466"/>
      <c r="H107" s="466"/>
      <c r="I107" s="466"/>
      <c r="J107" s="467"/>
      <c r="K107" s="466"/>
    </row>
    <row r="108" spans="1:12" ht="12.75" customHeight="1" thickBot="1" x14ac:dyDescent="0.25">
      <c r="A108" s="1730" t="s">
        <v>508</v>
      </c>
      <c r="B108" s="1734"/>
      <c r="C108" s="1729">
        <f>SUM(C95:C107)</f>
        <v>79106</v>
      </c>
      <c r="D108" s="1729">
        <f t="shared" ref="D108:K108" si="3">SUM(D95:D107)</f>
        <v>907</v>
      </c>
      <c r="E108" s="1729">
        <f t="shared" si="3"/>
        <v>0</v>
      </c>
      <c r="F108" s="1729">
        <f t="shared" si="3"/>
        <v>120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1174883</v>
      </c>
      <c r="D109" s="1737">
        <f t="shared" si="4"/>
        <v>132121</v>
      </c>
      <c r="E109" s="1737">
        <f t="shared" si="4"/>
        <v>132364</v>
      </c>
      <c r="F109" s="1737">
        <f t="shared" si="4"/>
        <v>63103</v>
      </c>
      <c r="G109" s="1737">
        <f t="shared" si="4"/>
        <v>27118</v>
      </c>
      <c r="H109" s="1737">
        <f t="shared" si="4"/>
        <v>0</v>
      </c>
      <c r="I109" s="1737">
        <f t="shared" si="4"/>
        <v>13121</v>
      </c>
      <c r="J109" s="1737">
        <f t="shared" si="4"/>
        <v>173171</v>
      </c>
      <c r="K109" s="1724">
        <f t="shared" si="4"/>
        <v>13994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178268</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178268</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34359</v>
      </c>
      <c r="D124" s="561"/>
      <c r="E124" s="468"/>
      <c r="F124" s="548"/>
      <c r="G124" s="468"/>
      <c r="H124" s="468"/>
      <c r="I124" s="468"/>
      <c r="J124" s="468"/>
      <c r="K124" s="468"/>
    </row>
    <row r="125" spans="1:11" ht="12.75" customHeight="1" x14ac:dyDescent="0.2">
      <c r="A125" s="463" t="s">
        <v>1521</v>
      </c>
      <c r="B125" s="562">
        <v>3105</v>
      </c>
      <c r="C125" s="466">
        <v>8827</v>
      </c>
      <c r="D125" s="561"/>
      <c r="E125" s="468"/>
      <c r="F125" s="466"/>
      <c r="G125" s="468"/>
      <c r="H125" s="468"/>
      <c r="I125" s="468"/>
      <c r="J125" s="468"/>
      <c r="K125" s="468"/>
    </row>
    <row r="126" spans="1:11" ht="12.75" customHeight="1" x14ac:dyDescent="0.2">
      <c r="A126" s="463" t="s">
        <v>922</v>
      </c>
      <c r="B126" s="562">
        <v>3110</v>
      </c>
      <c r="C126" s="551">
        <v>15755</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238</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59179</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317</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51999</v>
      </c>
      <c r="G151" s="467"/>
      <c r="H151" s="468"/>
      <c r="I151" s="468"/>
      <c r="J151" s="468"/>
      <c r="K151" s="468"/>
    </row>
    <row r="152" spans="1:11" ht="12.75" customHeight="1" x14ac:dyDescent="0.2">
      <c r="A152" s="463" t="s">
        <v>1117</v>
      </c>
      <c r="B152" s="562">
        <v>3510</v>
      </c>
      <c r="C152" s="551"/>
      <c r="D152" s="466"/>
      <c r="E152" s="561"/>
      <c r="F152" s="466">
        <v>59538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111537</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59496</v>
      </c>
      <c r="D172" s="1744">
        <f t="shared" si="6"/>
        <v>0</v>
      </c>
      <c r="E172" s="1744">
        <f t="shared" si="6"/>
        <v>0</v>
      </c>
      <c r="F172" s="1744">
        <f t="shared" si="6"/>
        <v>111537</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237764</v>
      </c>
      <c r="D173" s="1737">
        <f>SUM(D121,D172)</f>
        <v>0</v>
      </c>
      <c r="E173" s="1737">
        <f>SUM(E121,E172)</f>
        <v>0</v>
      </c>
      <c r="F173" s="1737">
        <f t="shared" ref="F173:K173" si="7">SUM(F121,F172)</f>
        <v>111537</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15038</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15038</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13325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6121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19446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40229</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40229</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959</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959</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8840</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8840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4401</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8558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97471</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97471</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1510118</v>
      </c>
      <c r="D275" s="1737">
        <f t="shared" si="12"/>
        <v>132121</v>
      </c>
      <c r="E275" s="1737">
        <f t="shared" si="12"/>
        <v>132364</v>
      </c>
      <c r="F275" s="1737">
        <f t="shared" si="12"/>
        <v>174640</v>
      </c>
      <c r="G275" s="1737">
        <f t="shared" si="12"/>
        <v>27118</v>
      </c>
      <c r="H275" s="1737">
        <f t="shared" si="12"/>
        <v>0</v>
      </c>
      <c r="I275" s="1737">
        <f t="shared" si="12"/>
        <v>13121</v>
      </c>
      <c r="J275" s="1737">
        <f t="shared" si="12"/>
        <v>173171</v>
      </c>
      <c r="K275" s="1724">
        <f t="shared" si="12"/>
        <v>13994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fitToHeight="6"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60" zoomScaleNormal="100" workbookViewId="0">
      <pane ySplit="2" topLeftCell="A314" activePane="bottomLeft" state="frozen"/>
      <selection activeCell="A47" sqref="A47"/>
      <selection pane="bottomLeft" activeCell="F364" sqref="F36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6"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311811</v>
      </c>
      <c r="D5" s="466">
        <v>48045</v>
      </c>
      <c r="E5" s="466">
        <v>5515</v>
      </c>
      <c r="F5" s="466">
        <v>31258</v>
      </c>
      <c r="G5" s="466"/>
      <c r="H5" s="466">
        <v>1272</v>
      </c>
      <c r="I5" s="467"/>
      <c r="J5" s="467"/>
      <c r="K5" s="1693">
        <f>SUM(C5:J5)</f>
        <v>397901</v>
      </c>
      <c r="L5" s="466">
        <v>398050</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c r="D7" s="467"/>
      <c r="E7" s="467"/>
      <c r="F7" s="467"/>
      <c r="G7" s="467"/>
      <c r="H7" s="467"/>
      <c r="I7" s="467"/>
      <c r="J7" s="467"/>
      <c r="K7" s="1693">
        <f t="shared" ref="K7:K32" si="0">SUM(C7:J7)</f>
        <v>0</v>
      </c>
      <c r="L7" s="466">
        <v>0</v>
      </c>
    </row>
    <row r="8" spans="1:14" x14ac:dyDescent="0.2">
      <c r="A8" s="1526" t="s">
        <v>166</v>
      </c>
      <c r="B8" s="615">
        <v>1200</v>
      </c>
      <c r="C8" s="466">
        <v>57711</v>
      </c>
      <c r="D8" s="466">
        <v>8706</v>
      </c>
      <c r="E8" s="466"/>
      <c r="F8" s="466">
        <v>13</v>
      </c>
      <c r="G8" s="466"/>
      <c r="H8" s="466"/>
      <c r="I8" s="467"/>
      <c r="J8" s="467"/>
      <c r="K8" s="1693">
        <f t="shared" si="0"/>
        <v>66430</v>
      </c>
      <c r="L8" s="466">
        <v>66598</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c r="D10" s="466"/>
      <c r="E10" s="466"/>
      <c r="F10" s="466"/>
      <c r="G10" s="466"/>
      <c r="H10" s="466"/>
      <c r="I10" s="467"/>
      <c r="J10" s="467"/>
      <c r="K10" s="1693">
        <f t="shared" si="0"/>
        <v>0</v>
      </c>
      <c r="L10" s="466">
        <v>0</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c r="D13" s="466"/>
      <c r="E13" s="466"/>
      <c r="F13" s="466"/>
      <c r="G13" s="466"/>
      <c r="H13" s="466"/>
      <c r="I13" s="467"/>
      <c r="J13" s="467"/>
      <c r="K13" s="1693">
        <f t="shared" si="0"/>
        <v>0</v>
      </c>
      <c r="L13" s="466">
        <v>0</v>
      </c>
    </row>
    <row r="14" spans="1:14" x14ac:dyDescent="0.2">
      <c r="A14" s="1526" t="s">
        <v>1020</v>
      </c>
      <c r="B14" s="615">
        <v>1500</v>
      </c>
      <c r="C14" s="466">
        <v>14720</v>
      </c>
      <c r="D14" s="466"/>
      <c r="E14" s="466">
        <v>2506</v>
      </c>
      <c r="F14" s="466"/>
      <c r="G14" s="466"/>
      <c r="H14" s="466"/>
      <c r="I14" s="467"/>
      <c r="J14" s="467"/>
      <c r="K14" s="1693">
        <f t="shared" si="0"/>
        <v>17226</v>
      </c>
      <c r="L14" s="466">
        <v>18263</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c r="D17" s="467"/>
      <c r="E17" s="467"/>
      <c r="F17" s="467"/>
      <c r="G17" s="467"/>
      <c r="H17" s="467"/>
      <c r="I17" s="467"/>
      <c r="J17" s="467"/>
      <c r="K17" s="1693">
        <f t="shared" si="0"/>
        <v>0</v>
      </c>
      <c r="L17" s="466">
        <v>0</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v>27190</v>
      </c>
      <c r="I22" s="617"/>
      <c r="J22" s="477"/>
      <c r="K22" s="1693">
        <f t="shared" si="0"/>
        <v>27190</v>
      </c>
      <c r="L22" s="471">
        <v>27189</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384242</v>
      </c>
      <c r="D33" s="1692">
        <f t="shared" ref="D33:L33" si="1">SUM(D5:D32)</f>
        <v>56751</v>
      </c>
      <c r="E33" s="1692">
        <f t="shared" si="1"/>
        <v>8021</v>
      </c>
      <c r="F33" s="1692">
        <f t="shared" si="1"/>
        <v>31271</v>
      </c>
      <c r="G33" s="1692">
        <f t="shared" si="1"/>
        <v>0</v>
      </c>
      <c r="H33" s="1692">
        <f t="shared" si="1"/>
        <v>28462</v>
      </c>
      <c r="I33" s="1692">
        <f t="shared" si="1"/>
        <v>0</v>
      </c>
      <c r="J33" s="1692">
        <f t="shared" si="1"/>
        <v>0</v>
      </c>
      <c r="K33" s="1692">
        <f t="shared" si="1"/>
        <v>508747</v>
      </c>
      <c r="L33" s="1692">
        <f t="shared" si="1"/>
        <v>510100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57797</v>
      </c>
      <c r="D36" s="481">
        <v>9120</v>
      </c>
      <c r="E36" s="481">
        <v>80</v>
      </c>
      <c r="F36" s="481"/>
      <c r="G36" s="481"/>
      <c r="H36" s="481"/>
      <c r="I36" s="467"/>
      <c r="J36" s="467"/>
      <c r="K36" s="1693">
        <f t="shared" ref="K36:K41" si="2">SUM(C36:J36)</f>
        <v>66997</v>
      </c>
      <c r="L36" s="466">
        <v>64609</v>
      </c>
    </row>
    <row r="37" spans="1:14" x14ac:dyDescent="0.2">
      <c r="A37" s="1526" t="s">
        <v>1151</v>
      </c>
      <c r="B37" s="615">
        <v>2120</v>
      </c>
      <c r="C37" s="466"/>
      <c r="D37" s="466"/>
      <c r="E37" s="466"/>
      <c r="F37" s="466"/>
      <c r="G37" s="466"/>
      <c r="H37" s="466"/>
      <c r="I37" s="467"/>
      <c r="J37" s="467"/>
      <c r="K37" s="1693">
        <f t="shared" si="2"/>
        <v>0</v>
      </c>
      <c r="L37" s="466">
        <v>0</v>
      </c>
    </row>
    <row r="38" spans="1:14" x14ac:dyDescent="0.2">
      <c r="A38" s="1526" t="s">
        <v>207</v>
      </c>
      <c r="B38" s="615">
        <v>2130</v>
      </c>
      <c r="C38" s="466"/>
      <c r="D38" s="466"/>
      <c r="E38" s="466"/>
      <c r="F38" s="466"/>
      <c r="G38" s="466"/>
      <c r="H38" s="466"/>
      <c r="I38" s="467"/>
      <c r="J38" s="467"/>
      <c r="K38" s="1693">
        <f t="shared" si="2"/>
        <v>0</v>
      </c>
      <c r="L38" s="466">
        <v>0</v>
      </c>
    </row>
    <row r="39" spans="1:14" x14ac:dyDescent="0.2">
      <c r="A39" s="1526" t="s">
        <v>208</v>
      </c>
      <c r="B39" s="615">
        <v>2140</v>
      </c>
      <c r="C39" s="466"/>
      <c r="D39" s="466"/>
      <c r="E39" s="466"/>
      <c r="F39" s="466"/>
      <c r="G39" s="466"/>
      <c r="H39" s="466"/>
      <c r="I39" s="467"/>
      <c r="J39" s="467"/>
      <c r="K39" s="1693">
        <f t="shared" si="2"/>
        <v>0</v>
      </c>
      <c r="L39" s="466">
        <v>2250</v>
      </c>
    </row>
    <row r="40" spans="1:14" x14ac:dyDescent="0.2">
      <c r="A40" s="1526" t="s">
        <v>209</v>
      </c>
      <c r="B40" s="615">
        <v>2150</v>
      </c>
      <c r="C40" s="466"/>
      <c r="D40" s="466"/>
      <c r="E40" s="466"/>
      <c r="F40" s="466"/>
      <c r="G40" s="466"/>
      <c r="H40" s="466"/>
      <c r="I40" s="467"/>
      <c r="J40" s="467"/>
      <c r="K40" s="1693">
        <f t="shared" si="2"/>
        <v>0</v>
      </c>
      <c r="L40" s="466">
        <v>5521</v>
      </c>
    </row>
    <row r="41" spans="1:14" x14ac:dyDescent="0.2">
      <c r="A41" s="1526" t="s">
        <v>1768</v>
      </c>
      <c r="B41" s="615">
        <v>2190</v>
      </c>
      <c r="C41" s="466"/>
      <c r="D41" s="466"/>
      <c r="E41" s="466">
        <v>6063</v>
      </c>
      <c r="F41" s="466"/>
      <c r="G41" s="466"/>
      <c r="H41" s="466"/>
      <c r="I41" s="467"/>
      <c r="J41" s="467"/>
      <c r="K41" s="1693">
        <f t="shared" si="2"/>
        <v>6063</v>
      </c>
      <c r="L41" s="466">
        <v>6600</v>
      </c>
    </row>
    <row r="42" spans="1:14" ht="12.75" customHeight="1" thickBot="1" x14ac:dyDescent="0.25">
      <c r="A42" s="1690" t="s">
        <v>581</v>
      </c>
      <c r="B42" s="1691" t="s">
        <v>740</v>
      </c>
      <c r="C42" s="1692">
        <f>SUM(C36:C41)</f>
        <v>57797</v>
      </c>
      <c r="D42" s="1692">
        <f t="shared" ref="D42:L42" si="3">SUM(D36:D41)</f>
        <v>9120</v>
      </c>
      <c r="E42" s="1692">
        <f t="shared" si="3"/>
        <v>6143</v>
      </c>
      <c r="F42" s="1692">
        <f t="shared" si="3"/>
        <v>0</v>
      </c>
      <c r="G42" s="1692">
        <f t="shared" si="3"/>
        <v>0</v>
      </c>
      <c r="H42" s="1692">
        <f t="shared" si="3"/>
        <v>0</v>
      </c>
      <c r="I42" s="1692">
        <f t="shared" si="3"/>
        <v>0</v>
      </c>
      <c r="J42" s="1692">
        <f t="shared" si="3"/>
        <v>0</v>
      </c>
      <c r="K42" s="1692">
        <f t="shared" si="3"/>
        <v>73060</v>
      </c>
      <c r="L42" s="1692">
        <f t="shared" si="3"/>
        <v>78980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2535</v>
      </c>
      <c r="D44" s="481"/>
      <c r="E44" s="481">
        <v>3629</v>
      </c>
      <c r="F44" s="481">
        <v>7920</v>
      </c>
      <c r="G44" s="481"/>
      <c r="H44" s="481"/>
      <c r="I44" s="467"/>
      <c r="J44" s="467"/>
      <c r="K44" s="1694">
        <f>SUM(C44:J44)</f>
        <v>14084</v>
      </c>
      <c r="L44" s="481">
        <v>13851</v>
      </c>
    </row>
    <row r="45" spans="1:14" x14ac:dyDescent="0.2">
      <c r="A45" s="1526" t="s">
        <v>869</v>
      </c>
      <c r="B45" s="615">
        <v>2220</v>
      </c>
      <c r="C45" s="466"/>
      <c r="D45" s="466"/>
      <c r="E45" s="466"/>
      <c r="F45" s="466">
        <v>189</v>
      </c>
      <c r="G45" s="466"/>
      <c r="H45" s="466"/>
      <c r="I45" s="467"/>
      <c r="J45" s="467"/>
      <c r="K45" s="1694">
        <f>SUM(C45:J45)</f>
        <v>189</v>
      </c>
      <c r="L45" s="466">
        <v>0</v>
      </c>
    </row>
    <row r="46" spans="1:14" x14ac:dyDescent="0.2">
      <c r="A46" s="1526" t="s">
        <v>870</v>
      </c>
      <c r="B46" s="615">
        <v>2230</v>
      </c>
      <c r="C46" s="466"/>
      <c r="D46" s="466"/>
      <c r="E46" s="466">
        <v>1209</v>
      </c>
      <c r="F46" s="466"/>
      <c r="G46" s="466"/>
      <c r="H46" s="466"/>
      <c r="I46" s="467"/>
      <c r="J46" s="467"/>
      <c r="K46" s="1694">
        <f>SUM(C46:J46)</f>
        <v>1209</v>
      </c>
      <c r="L46" s="466">
        <v>1209</v>
      </c>
    </row>
    <row r="47" spans="1:14" ht="12.75" customHeight="1" thickBot="1" x14ac:dyDescent="0.25">
      <c r="A47" s="1690" t="s">
        <v>582</v>
      </c>
      <c r="B47" s="1691" t="s">
        <v>32</v>
      </c>
      <c r="C47" s="1692">
        <f>SUM(C44:C46)</f>
        <v>2535</v>
      </c>
      <c r="D47" s="1692">
        <f t="shared" ref="D47:K47" si="4">SUM(D44:D46)</f>
        <v>0</v>
      </c>
      <c r="E47" s="1692">
        <f t="shared" si="4"/>
        <v>4838</v>
      </c>
      <c r="F47" s="1692">
        <f t="shared" si="4"/>
        <v>8109</v>
      </c>
      <c r="G47" s="1692">
        <f t="shared" si="4"/>
        <v>0</v>
      </c>
      <c r="H47" s="1692">
        <f t="shared" si="4"/>
        <v>0</v>
      </c>
      <c r="I47" s="1692">
        <f t="shared" si="4"/>
        <v>0</v>
      </c>
      <c r="J47" s="1692">
        <f t="shared" si="4"/>
        <v>0</v>
      </c>
      <c r="K47" s="1692">
        <f t="shared" si="4"/>
        <v>15482</v>
      </c>
      <c r="L47" s="1692">
        <f>SUM(L44:L46)</f>
        <v>15060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750</v>
      </c>
      <c r="D49" s="481"/>
      <c r="E49" s="481">
        <v>19784</v>
      </c>
      <c r="F49" s="481"/>
      <c r="G49" s="481"/>
      <c r="H49" s="481">
        <v>123</v>
      </c>
      <c r="I49" s="467"/>
      <c r="J49" s="467"/>
      <c r="K49" s="1694">
        <f>SUM(C49:J49)</f>
        <v>20657</v>
      </c>
      <c r="L49" s="481">
        <v>21642</v>
      </c>
    </row>
    <row r="50" spans="1:14" x14ac:dyDescent="0.2">
      <c r="A50" s="1526" t="s">
        <v>872</v>
      </c>
      <c r="B50" s="615">
        <v>2320</v>
      </c>
      <c r="C50" s="466">
        <v>39133</v>
      </c>
      <c r="D50" s="466">
        <v>3198</v>
      </c>
      <c r="E50" s="466">
        <v>960</v>
      </c>
      <c r="F50" s="466">
        <v>219</v>
      </c>
      <c r="G50" s="466"/>
      <c r="H50" s="466">
        <v>979</v>
      </c>
      <c r="I50" s="467"/>
      <c r="J50" s="467"/>
      <c r="K50" s="1694">
        <f>SUM(C50:J50)</f>
        <v>44489</v>
      </c>
      <c r="L50" s="466">
        <v>46401</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39883</v>
      </c>
      <c r="D53" s="1692">
        <f t="shared" ref="D53:L53" si="5">SUM(D49:D52)</f>
        <v>3198</v>
      </c>
      <c r="E53" s="1692">
        <f t="shared" si="5"/>
        <v>20744</v>
      </c>
      <c r="F53" s="1692">
        <f t="shared" si="5"/>
        <v>219</v>
      </c>
      <c r="G53" s="1692">
        <f t="shared" si="5"/>
        <v>0</v>
      </c>
      <c r="H53" s="1692">
        <f t="shared" si="5"/>
        <v>1102</v>
      </c>
      <c r="I53" s="1692">
        <f t="shared" si="5"/>
        <v>0</v>
      </c>
      <c r="J53" s="1692">
        <f t="shared" si="5"/>
        <v>0</v>
      </c>
      <c r="K53" s="1692">
        <f t="shared" si="5"/>
        <v>65146</v>
      </c>
      <c r="L53" s="1692">
        <f t="shared" si="5"/>
        <v>68043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51706</v>
      </c>
      <c r="D55" s="481">
        <v>3841</v>
      </c>
      <c r="E55" s="481">
        <v>1777</v>
      </c>
      <c r="F55" s="481"/>
      <c r="G55" s="481"/>
      <c r="H55" s="481"/>
      <c r="I55" s="467"/>
      <c r="J55" s="467"/>
      <c r="K55" s="1694">
        <f>SUM(C55:J55)</f>
        <v>57324</v>
      </c>
      <c r="L55" s="481">
        <v>59433</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51706</v>
      </c>
      <c r="D57" s="1696">
        <f t="shared" ref="D57:K57" si="6">SUM(D55:D56)</f>
        <v>3841</v>
      </c>
      <c r="E57" s="1696">
        <f t="shared" si="6"/>
        <v>1777</v>
      </c>
      <c r="F57" s="1696">
        <f t="shared" si="6"/>
        <v>0</v>
      </c>
      <c r="G57" s="1696">
        <f t="shared" si="6"/>
        <v>0</v>
      </c>
      <c r="H57" s="1696">
        <f t="shared" si="6"/>
        <v>0</v>
      </c>
      <c r="I57" s="1696">
        <f t="shared" si="6"/>
        <v>0</v>
      </c>
      <c r="J57" s="1696">
        <f t="shared" si="6"/>
        <v>0</v>
      </c>
      <c r="K57" s="1696">
        <f t="shared" si="6"/>
        <v>57324</v>
      </c>
      <c r="L57" s="1692">
        <f>SUM(L55:L56)</f>
        <v>59433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v>34140</v>
      </c>
      <c r="D60" s="466"/>
      <c r="E60" s="466">
        <v>567</v>
      </c>
      <c r="F60" s="466">
        <v>946</v>
      </c>
      <c r="G60" s="466"/>
      <c r="H60" s="466"/>
      <c r="I60" s="467"/>
      <c r="J60" s="467"/>
      <c r="K60" s="1694">
        <f t="shared" si="7"/>
        <v>35653</v>
      </c>
      <c r="L60" s="466">
        <v>35693</v>
      </c>
      <c r="M60" s="610"/>
      <c r="N60" s="610"/>
    </row>
    <row r="61" spans="1:14" s="343" customFormat="1" x14ac:dyDescent="0.2">
      <c r="A61" s="1526" t="s">
        <v>206</v>
      </c>
      <c r="B61" s="615">
        <v>2540</v>
      </c>
      <c r="C61" s="466"/>
      <c r="D61" s="466"/>
      <c r="E61" s="466"/>
      <c r="F61" s="466"/>
      <c r="G61" s="466"/>
      <c r="H61" s="466"/>
      <c r="I61" s="467"/>
      <c r="J61" s="467"/>
      <c r="K61" s="1694">
        <f t="shared" si="7"/>
        <v>0</v>
      </c>
      <c r="L61" s="466">
        <v>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v>13788</v>
      </c>
      <c r="D63" s="466">
        <v>574</v>
      </c>
      <c r="E63" s="466"/>
      <c r="F63" s="466">
        <v>21536</v>
      </c>
      <c r="G63" s="466"/>
      <c r="H63" s="466">
        <v>51</v>
      </c>
      <c r="I63" s="467"/>
      <c r="J63" s="467"/>
      <c r="K63" s="1694">
        <f t="shared" si="7"/>
        <v>35949</v>
      </c>
      <c r="L63" s="466">
        <v>36214</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47928</v>
      </c>
      <c r="D65" s="1692">
        <f t="shared" ref="D65:L65" si="8">SUM(D59:D64)</f>
        <v>574</v>
      </c>
      <c r="E65" s="1692">
        <f t="shared" si="8"/>
        <v>567</v>
      </c>
      <c r="F65" s="1692">
        <f t="shared" si="8"/>
        <v>22482</v>
      </c>
      <c r="G65" s="1692">
        <f t="shared" si="8"/>
        <v>0</v>
      </c>
      <c r="H65" s="1692">
        <f t="shared" si="8"/>
        <v>51</v>
      </c>
      <c r="I65" s="1692">
        <f t="shared" si="8"/>
        <v>0</v>
      </c>
      <c r="J65" s="1692">
        <f t="shared" si="8"/>
        <v>0</v>
      </c>
      <c r="K65" s="1692">
        <f t="shared" si="8"/>
        <v>71602</v>
      </c>
      <c r="L65" s="1692">
        <f t="shared" si="8"/>
        <v>71907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v>4844</v>
      </c>
      <c r="F73" s="573"/>
      <c r="G73" s="573"/>
      <c r="H73" s="573"/>
      <c r="I73" s="531"/>
      <c r="J73" s="531"/>
      <c r="K73" s="1692">
        <f>SUM(C73:J73)</f>
        <v>4844</v>
      </c>
      <c r="L73" s="576">
        <v>4844</v>
      </c>
      <c r="M73" s="610"/>
      <c r="N73" s="610"/>
    </row>
    <row r="74" spans="1:14" ht="12.75" customHeight="1" thickTop="1" thickBot="1" x14ac:dyDescent="0.25">
      <c r="A74" s="1690" t="s">
        <v>865</v>
      </c>
      <c r="B74" s="1698">
        <v>2000</v>
      </c>
      <c r="C74" s="1699">
        <f>SUM(C42,C47,C53,C57,C65,C72,C73)</f>
        <v>199849</v>
      </c>
      <c r="D74" s="1699">
        <f t="shared" ref="D74:K74" si="10">SUM(D42,D47,D53,D57,D65,D72,D73)</f>
        <v>16733</v>
      </c>
      <c r="E74" s="1699">
        <f t="shared" si="10"/>
        <v>38913</v>
      </c>
      <c r="F74" s="1699">
        <f t="shared" si="10"/>
        <v>30810</v>
      </c>
      <c r="G74" s="1699">
        <f t="shared" si="10"/>
        <v>0</v>
      </c>
      <c r="H74" s="1699">
        <f t="shared" si="10"/>
        <v>1153</v>
      </c>
      <c r="I74" s="1699">
        <f t="shared" si="10"/>
        <v>0</v>
      </c>
      <c r="J74" s="1699">
        <f t="shared" si="10"/>
        <v>0</v>
      </c>
      <c r="K74" s="1699">
        <f t="shared" si="10"/>
        <v>287458</v>
      </c>
      <c r="L74" s="1699">
        <f>SUM(L42,L47,L53,L57,L65,L72,L73)</f>
        <v>298267</v>
      </c>
    </row>
    <row r="75" spans="1:14" s="259" customFormat="1" ht="15.75" customHeight="1" thickTop="1" thickBot="1" x14ac:dyDescent="0.25">
      <c r="A75" s="1632" t="s">
        <v>49</v>
      </c>
      <c r="B75" s="1633" t="s">
        <v>596</v>
      </c>
      <c r="C75" s="573"/>
      <c r="D75" s="573"/>
      <c r="E75" s="573"/>
      <c r="F75" s="573">
        <v>334</v>
      </c>
      <c r="G75" s="573"/>
      <c r="H75" s="573"/>
      <c r="I75" s="531"/>
      <c r="J75" s="531"/>
      <c r="K75" s="1692">
        <f>SUM(C75:J75)</f>
        <v>334</v>
      </c>
      <c r="L75" s="576">
        <v>334</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8787</v>
      </c>
      <c r="F78" s="617"/>
      <c r="G78" s="617"/>
      <c r="H78" s="635">
        <v>9755</v>
      </c>
      <c r="I78" s="477"/>
      <c r="J78" s="477"/>
      <c r="K78" s="1693">
        <f t="shared" ref="K78:K83" si="11">SUM(C78:J78)</f>
        <v>18542</v>
      </c>
      <c r="L78" s="481">
        <v>13130</v>
      </c>
    </row>
    <row r="79" spans="1:14" x14ac:dyDescent="0.2">
      <c r="A79" s="1526" t="s">
        <v>322</v>
      </c>
      <c r="B79" s="615">
        <v>4120</v>
      </c>
      <c r="C79" s="617"/>
      <c r="D79" s="617"/>
      <c r="E79" s="466">
        <v>15401</v>
      </c>
      <c r="F79" s="617"/>
      <c r="G79" s="617"/>
      <c r="H79" s="466">
        <v>7750</v>
      </c>
      <c r="I79" s="477"/>
      <c r="J79" s="477"/>
      <c r="K79" s="1693">
        <f t="shared" si="11"/>
        <v>23151</v>
      </c>
      <c r="L79" s="466">
        <v>15381</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24188</v>
      </c>
      <c r="F84" s="617"/>
      <c r="G84" s="617"/>
      <c r="H84" s="1692">
        <f>SUM(H78:H83)</f>
        <v>17505</v>
      </c>
      <c r="I84" s="477"/>
      <c r="J84" s="477"/>
      <c r="K84" s="1692">
        <f>SUM(K78:K83)</f>
        <v>41693</v>
      </c>
      <c r="L84" s="1692">
        <f>SUM(L78:L83)</f>
        <v>28511</v>
      </c>
    </row>
    <row r="85" spans="1:12" ht="12.75" customHeight="1" thickTop="1" thickBot="1" x14ac:dyDescent="0.25">
      <c r="A85" s="1533" t="s">
        <v>273</v>
      </c>
      <c r="B85" s="636">
        <v>4210</v>
      </c>
      <c r="C85" s="617"/>
      <c r="D85" s="617"/>
      <c r="E85" s="637"/>
      <c r="F85" s="617"/>
      <c r="G85" s="617"/>
      <c r="H85" s="535">
        <v>341089</v>
      </c>
      <c r="I85" s="477"/>
      <c r="J85" s="477"/>
      <c r="K85" s="1699">
        <f>H85</f>
        <v>341089</v>
      </c>
      <c r="L85" s="530">
        <v>432225</v>
      </c>
    </row>
    <row r="86" spans="1:12" ht="12.75" customHeight="1" thickTop="1" thickBot="1" x14ac:dyDescent="0.25">
      <c r="A86" s="1534" t="s">
        <v>723</v>
      </c>
      <c r="B86" s="638">
        <v>4220</v>
      </c>
      <c r="C86" s="617"/>
      <c r="D86" s="617"/>
      <c r="E86" s="639"/>
      <c r="F86" s="617"/>
      <c r="G86" s="617"/>
      <c r="H86" s="467">
        <v>58926</v>
      </c>
      <c r="I86" s="477"/>
      <c r="J86" s="477"/>
      <c r="K86" s="1699">
        <f t="shared" ref="K86:K98" si="12">H86</f>
        <v>58926</v>
      </c>
      <c r="L86" s="530">
        <v>58926</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5412</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400015</v>
      </c>
      <c r="I92" s="477"/>
      <c r="J92" s="477"/>
      <c r="K92" s="1699">
        <f t="shared" si="12"/>
        <v>400015</v>
      </c>
      <c r="L92" s="1692">
        <f>SUM(L85:L91)</f>
        <v>496563</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24188</v>
      </c>
      <c r="F102" s="617"/>
      <c r="G102" s="617"/>
      <c r="H102" s="1699">
        <f>SUM(H84,H92,H100,H101)</f>
        <v>417520</v>
      </c>
      <c r="I102" s="477"/>
      <c r="J102" s="477"/>
      <c r="K102" s="1699">
        <f>SUM(K84,K92,K100,K101)</f>
        <v>441708</v>
      </c>
      <c r="L102" s="1699">
        <f>SUM(L84,L92,L100,L101)</f>
        <v>525074</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584091</v>
      </c>
      <c r="D114" s="1692">
        <f t="shared" ref="D114:K114" si="13">SUM(D33,D74,D75,D102,D112,D113)</f>
        <v>73484</v>
      </c>
      <c r="E114" s="1692">
        <f t="shared" si="13"/>
        <v>71122</v>
      </c>
      <c r="F114" s="1692">
        <f t="shared" si="13"/>
        <v>62415</v>
      </c>
      <c r="G114" s="1692">
        <f t="shared" si="13"/>
        <v>0</v>
      </c>
      <c r="H114" s="1692">
        <f>SUM(H33,H74,H75,H102,H112,H113)</f>
        <v>447135</v>
      </c>
      <c r="I114" s="1692">
        <f t="shared" si="13"/>
        <v>0</v>
      </c>
      <c r="J114" s="1692">
        <f t="shared" si="13"/>
        <v>0</v>
      </c>
      <c r="K114" s="1692">
        <f t="shared" si="13"/>
        <v>1238247</v>
      </c>
      <c r="L114" s="1692">
        <f>SUM(L33,L74,L75,L102,L112,L113)</f>
        <v>1333775</v>
      </c>
    </row>
    <row r="115" spans="1:14" ht="13.5" thickTop="1" x14ac:dyDescent="0.2">
      <c r="A115" s="2199" t="s">
        <v>1053</v>
      </c>
      <c r="B115" s="2200"/>
      <c r="C115" s="619"/>
      <c r="D115" s="619"/>
      <c r="E115" s="619"/>
      <c r="F115" s="619"/>
      <c r="G115" s="619"/>
      <c r="H115" s="619"/>
      <c r="I115" s="619"/>
      <c r="J115" s="619"/>
      <c r="K115" s="1706">
        <f>'Revenues 9-14'!C275-'Expenditures 15-22'!K114</f>
        <v>271871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v>33877</v>
      </c>
      <c r="D124" s="466"/>
      <c r="E124" s="466">
        <f>26210+26838+2290+1470+1315+703+2773+1211+1500+2296</f>
        <v>66606</v>
      </c>
      <c r="F124" s="466">
        <f>10200+20220+9856</f>
        <v>40276</v>
      </c>
      <c r="G124" s="466">
        <v>6281</v>
      </c>
      <c r="H124" s="466"/>
      <c r="I124" s="467"/>
      <c r="J124" s="467"/>
      <c r="K124" s="1692">
        <f>SUM(C124:J124)</f>
        <v>147040</v>
      </c>
      <c r="L124" s="466">
        <v>142287</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33877</v>
      </c>
      <c r="D127" s="1692">
        <f t="shared" ref="D127:L127" si="14">SUM(D122:D126)</f>
        <v>0</v>
      </c>
      <c r="E127" s="1692">
        <f t="shared" si="14"/>
        <v>66606</v>
      </c>
      <c r="F127" s="1692">
        <f t="shared" si="14"/>
        <v>40276</v>
      </c>
      <c r="G127" s="1692">
        <f t="shared" si="14"/>
        <v>6281</v>
      </c>
      <c r="H127" s="1692">
        <f t="shared" si="14"/>
        <v>0</v>
      </c>
      <c r="I127" s="1692">
        <f t="shared" si="14"/>
        <v>0</v>
      </c>
      <c r="J127" s="1692">
        <f t="shared" si="14"/>
        <v>0</v>
      </c>
      <c r="K127" s="1692">
        <f t="shared" si="14"/>
        <v>147040</v>
      </c>
      <c r="L127" s="1692">
        <f t="shared" si="14"/>
        <v>142287</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33877</v>
      </c>
      <c r="D129" s="1699">
        <f t="shared" ref="D129:L129" si="15">SUM(D120,D127,D128)</f>
        <v>0</v>
      </c>
      <c r="E129" s="1699">
        <f t="shared" si="15"/>
        <v>66606</v>
      </c>
      <c r="F129" s="1699">
        <f t="shared" si="15"/>
        <v>40276</v>
      </c>
      <c r="G129" s="1699">
        <f t="shared" si="15"/>
        <v>6281</v>
      </c>
      <c r="H129" s="1699">
        <f t="shared" si="15"/>
        <v>0</v>
      </c>
      <c r="I129" s="1699">
        <f t="shared" si="15"/>
        <v>0</v>
      </c>
      <c r="J129" s="1699">
        <f t="shared" si="15"/>
        <v>0</v>
      </c>
      <c r="K129" s="1699">
        <f t="shared" si="15"/>
        <v>147040</v>
      </c>
      <c r="L129" s="1699">
        <f t="shared" si="15"/>
        <v>142287</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89" t="s">
        <v>641</v>
      </c>
      <c r="B151" s="2171"/>
      <c r="C151" s="1692">
        <f>SUM(C129,C130,C139,C149,C150)</f>
        <v>33877</v>
      </c>
      <c r="D151" s="1692">
        <f t="shared" ref="D151:K151" si="16">SUM(D129,D130,D139,D149,D150)</f>
        <v>0</v>
      </c>
      <c r="E151" s="1692">
        <f t="shared" si="16"/>
        <v>66606</v>
      </c>
      <c r="F151" s="1692">
        <f t="shared" si="16"/>
        <v>40276</v>
      </c>
      <c r="G151" s="1692">
        <f t="shared" si="16"/>
        <v>6281</v>
      </c>
      <c r="H151" s="1692">
        <f t="shared" si="16"/>
        <v>0</v>
      </c>
      <c r="I151" s="1692">
        <f t="shared" si="16"/>
        <v>0</v>
      </c>
      <c r="J151" s="1692">
        <f t="shared" si="16"/>
        <v>0</v>
      </c>
      <c r="K151" s="1692">
        <f t="shared" si="16"/>
        <v>147040</v>
      </c>
      <c r="L151" s="1692">
        <f>SUM(L129,L130,L139,L149,L150)</f>
        <v>142287</v>
      </c>
    </row>
    <row r="152" spans="1:14" ht="12.75" customHeight="1" thickTop="1" x14ac:dyDescent="0.2">
      <c r="A152" s="2192" t="s">
        <v>1240</v>
      </c>
      <c r="B152" s="2193"/>
      <c r="C152" s="619"/>
      <c r="D152" s="619"/>
      <c r="E152" s="619"/>
      <c r="F152" s="619"/>
      <c r="G152" s="619"/>
      <c r="H152" s="619"/>
      <c r="I152" s="619"/>
      <c r="J152" s="617"/>
      <c r="K152" s="1706">
        <f>'Revenues 9-14'!D275-'Expenditures 15-22'!K151</f>
        <v>-14919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26237</v>
      </c>
      <c r="I169" s="617"/>
      <c r="J169" s="617"/>
      <c r="K169" s="1693">
        <f>SUM(C169:H169)</f>
        <v>26237</v>
      </c>
      <c r="L169" s="657">
        <v>27237</v>
      </c>
    </row>
    <row r="170" spans="1:14" ht="33.75" customHeight="1" x14ac:dyDescent="0.2">
      <c r="A170" s="670" t="s">
        <v>1769</v>
      </c>
      <c r="B170" s="672" t="s">
        <v>31</v>
      </c>
      <c r="C170" s="617"/>
      <c r="D170" s="617"/>
      <c r="E170" s="617"/>
      <c r="F170" s="617"/>
      <c r="G170" s="617"/>
      <c r="H170" s="569">
        <f>105000+6582</f>
        <v>111582</v>
      </c>
      <c r="I170" s="617"/>
      <c r="J170" s="617"/>
      <c r="K170" s="1693">
        <f>SUM(C170:J170)</f>
        <v>111582</v>
      </c>
      <c r="L170" s="569">
        <v>111583</v>
      </c>
    </row>
    <row r="171" spans="1:14" ht="15.75" customHeight="1" x14ac:dyDescent="0.2">
      <c r="A171" s="622" t="s">
        <v>790</v>
      </c>
      <c r="B171" s="673" t="s">
        <v>86</v>
      </c>
      <c r="C171" s="617"/>
      <c r="D171" s="617"/>
      <c r="E171" s="466"/>
      <c r="F171" s="617"/>
      <c r="G171" s="617"/>
      <c r="H171" s="569">
        <v>1000</v>
      </c>
      <c r="I171" s="477"/>
      <c r="J171" s="617"/>
      <c r="K171" s="1693">
        <f>SUM(C171:J171)</f>
        <v>1000</v>
      </c>
      <c r="L171" s="569">
        <v>0</v>
      </c>
    </row>
    <row r="172" spans="1:14" ht="12.75" customHeight="1" thickBot="1" x14ac:dyDescent="0.25">
      <c r="A172" s="1690" t="s">
        <v>659</v>
      </c>
      <c r="B172" s="1691" t="s">
        <v>513</v>
      </c>
      <c r="C172" s="617"/>
      <c r="D172" s="617"/>
      <c r="E172" s="1699">
        <f>SUM(E168,E169,E170,E171)</f>
        <v>0</v>
      </c>
      <c r="F172" s="617"/>
      <c r="G172" s="617"/>
      <c r="H172" s="1699">
        <f>SUM(H168,H169,H170,H171)</f>
        <v>138819</v>
      </c>
      <c r="I172" s="639"/>
      <c r="J172" s="617"/>
      <c r="K172" s="1699">
        <f>SUM(K168,K169,K170,K171)</f>
        <v>138819</v>
      </c>
      <c r="L172" s="1699">
        <f>SUM(L168,L169,L170,L171)</f>
        <v>138820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138819</v>
      </c>
      <c r="I174" s="639"/>
      <c r="J174" s="617"/>
      <c r="K174" s="1699">
        <f>SUM(K160,K172,K173)</f>
        <v>138819</v>
      </c>
      <c r="L174" s="1699">
        <f>SUM(L160,L172,L173)</f>
        <v>138820</v>
      </c>
    </row>
    <row r="175" spans="1:14" ht="13.5" thickTop="1" x14ac:dyDescent="0.2">
      <c r="A175" s="2199" t="s">
        <v>1053</v>
      </c>
      <c r="B175" s="2200"/>
      <c r="C175" s="617"/>
      <c r="D175" s="617"/>
      <c r="E175" s="617"/>
      <c r="F175" s="617"/>
      <c r="G175" s="617"/>
      <c r="H175" s="619"/>
      <c r="I175" s="617"/>
      <c r="J175" s="617"/>
      <c r="K175" s="1706">
        <f>'Revenues 9-14'!E275-'Expenditures 15-22'!K174</f>
        <v>-6455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42432</v>
      </c>
      <c r="D182" s="466">
        <v>315</v>
      </c>
      <c r="E182" s="466">
        <v>14817</v>
      </c>
      <c r="F182" s="466">
        <v>11949</v>
      </c>
      <c r="G182" s="466"/>
      <c r="H182" s="466"/>
      <c r="I182" s="467"/>
      <c r="J182" s="467"/>
      <c r="K182" s="1693">
        <f>SUM(C182:J182)</f>
        <v>69513</v>
      </c>
      <c r="L182" s="466">
        <v>70506</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42432</v>
      </c>
      <c r="D184" s="1699">
        <f t="shared" ref="D184:J184" si="17">SUM(D180,D182,D183)</f>
        <v>315</v>
      </c>
      <c r="E184" s="1699">
        <f t="shared" si="17"/>
        <v>14817</v>
      </c>
      <c r="F184" s="1699">
        <f t="shared" si="17"/>
        <v>11949</v>
      </c>
      <c r="G184" s="1699">
        <f t="shared" si="17"/>
        <v>0</v>
      </c>
      <c r="H184" s="1699">
        <f t="shared" si="17"/>
        <v>0</v>
      </c>
      <c r="I184" s="1699">
        <f t="shared" si="17"/>
        <v>0</v>
      </c>
      <c r="J184" s="1699">
        <f t="shared" si="17"/>
        <v>0</v>
      </c>
      <c r="K184" s="1699">
        <f>SUM(K180,K182,K183)</f>
        <v>69513</v>
      </c>
      <c r="L184" s="1699">
        <f>SUM(L180, L182:L183)</f>
        <v>70506</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5442</v>
      </c>
    </row>
    <row r="206" spans="1:14" ht="30" customHeight="1" x14ac:dyDescent="0.2">
      <c r="A206" s="682" t="s">
        <v>1770</v>
      </c>
      <c r="B206" s="673" t="s">
        <v>31</v>
      </c>
      <c r="C206" s="617"/>
      <c r="D206" s="617"/>
      <c r="E206" s="617"/>
      <c r="F206" s="617"/>
      <c r="G206" s="617"/>
      <c r="H206" s="466">
        <v>30457</v>
      </c>
      <c r="I206" s="617"/>
      <c r="J206" s="617"/>
      <c r="K206" s="1693">
        <f>SUM(H206)</f>
        <v>30457</v>
      </c>
      <c r="L206" s="466">
        <v>30457</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30457</v>
      </c>
      <c r="I208" s="617"/>
      <c r="J208" s="617"/>
      <c r="K208" s="1699">
        <f>SUM(K204,K205,K206,K207)</f>
        <v>30457</v>
      </c>
      <c r="L208" s="1699">
        <f>SUM(L204,L205,L206,L207)</f>
        <v>35899</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42432</v>
      </c>
      <c r="D210" s="1692">
        <f>SUM(D184,D185)</f>
        <v>315</v>
      </c>
      <c r="E210" s="1692">
        <f>SUM(E184,E185,E196)</f>
        <v>14817</v>
      </c>
      <c r="F210" s="1692">
        <f>SUM(F184,F185)</f>
        <v>11949</v>
      </c>
      <c r="G210" s="1692">
        <f>SUM(G184,G185)</f>
        <v>0</v>
      </c>
      <c r="H210" s="1692">
        <f>SUM(H184,H185,H196,H208,H209)</f>
        <v>30457</v>
      </c>
      <c r="I210" s="1692">
        <f>SUM(I184,I185)</f>
        <v>0</v>
      </c>
      <c r="J210" s="1692">
        <f>SUM(J184,J185)</f>
        <v>0</v>
      </c>
      <c r="K210" s="1693">
        <f>SUM(K184,K185,K196,K208,K209)</f>
        <v>99970</v>
      </c>
      <c r="L210" s="1692">
        <f>SUM(L184,L185,L196,L208,L209)</f>
        <v>106405</v>
      </c>
    </row>
    <row r="211" spans="1:14" ht="13.5" thickTop="1" x14ac:dyDescent="0.2">
      <c r="A211" s="2199" t="s">
        <v>1053</v>
      </c>
      <c r="B211" s="2200"/>
      <c r="C211" s="619"/>
      <c r="D211" s="619"/>
      <c r="E211" s="619"/>
      <c r="F211" s="619"/>
      <c r="G211" s="619"/>
      <c r="H211" s="619"/>
      <c r="I211" s="617"/>
      <c r="J211" s="617"/>
      <c r="K211" s="1706">
        <f>'Revenues 9-14'!F275-'Expenditures 15-22'!K210</f>
        <v>74670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38+248+4553</f>
        <v>4839</v>
      </c>
      <c r="E215" s="617"/>
      <c r="F215" s="617"/>
      <c r="G215" s="617"/>
      <c r="H215" s="617"/>
      <c r="I215" s="617"/>
      <c r="J215" s="617"/>
      <c r="K215" s="1693">
        <f>D215</f>
        <v>4839</v>
      </c>
      <c r="L215" s="466">
        <v>4842</v>
      </c>
    </row>
    <row r="216" spans="1:14" x14ac:dyDescent="0.2">
      <c r="A216" s="1526" t="s">
        <v>165</v>
      </c>
      <c r="B216" s="615" t="s">
        <v>1024</v>
      </c>
      <c r="C216" s="617"/>
      <c r="D216" s="467"/>
      <c r="E216" s="617"/>
      <c r="F216" s="617"/>
      <c r="G216" s="617"/>
      <c r="H216" s="617"/>
      <c r="I216" s="617"/>
      <c r="J216" s="617"/>
      <c r="K216" s="1693">
        <f t="shared" ref="K216:K228" si="19">D216</f>
        <v>0</v>
      </c>
      <c r="L216" s="466">
        <v>0</v>
      </c>
    </row>
    <row r="217" spans="1:14" x14ac:dyDescent="0.2">
      <c r="A217" s="1526" t="s">
        <v>166</v>
      </c>
      <c r="B217" s="615">
        <v>1200</v>
      </c>
      <c r="C217" s="617"/>
      <c r="D217" s="466">
        <f>303+2027+1173</f>
        <v>3503</v>
      </c>
      <c r="E217" s="617"/>
      <c r="F217" s="617"/>
      <c r="G217" s="617"/>
      <c r="H217" s="617"/>
      <c r="I217" s="617"/>
      <c r="J217" s="617"/>
      <c r="K217" s="1693">
        <f t="shared" si="19"/>
        <v>3503</v>
      </c>
      <c r="L217" s="466">
        <v>3636</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c r="E219" s="617"/>
      <c r="F219" s="617"/>
      <c r="G219" s="617"/>
      <c r="H219" s="617"/>
      <c r="I219" s="617"/>
      <c r="J219" s="617"/>
      <c r="K219" s="1693">
        <f t="shared" si="19"/>
        <v>0</v>
      </c>
      <c r="L219" s="466">
        <v>0</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c r="E222" s="617"/>
      <c r="F222" s="617"/>
      <c r="G222" s="617"/>
      <c r="H222" s="617"/>
      <c r="I222" s="617"/>
      <c r="J222" s="617"/>
      <c r="K222" s="1693">
        <f t="shared" si="19"/>
        <v>0</v>
      </c>
      <c r="L222" s="466">
        <v>0</v>
      </c>
    </row>
    <row r="223" spans="1:14" x14ac:dyDescent="0.2">
      <c r="A223" s="1526" t="s">
        <v>1020</v>
      </c>
      <c r="B223" s="615">
        <v>1500</v>
      </c>
      <c r="C223" s="617"/>
      <c r="D223" s="466">
        <f>37+837+219</f>
        <v>1093</v>
      </c>
      <c r="E223" s="617"/>
      <c r="F223" s="617"/>
      <c r="G223" s="617"/>
      <c r="H223" s="617"/>
      <c r="I223" s="617"/>
      <c r="J223" s="617"/>
      <c r="K223" s="1693">
        <f t="shared" si="19"/>
        <v>1093</v>
      </c>
      <c r="L223" s="466">
        <v>987</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c r="E226" s="617"/>
      <c r="F226" s="617"/>
      <c r="G226" s="617"/>
      <c r="H226" s="617"/>
      <c r="I226" s="617"/>
      <c r="J226" s="617"/>
      <c r="K226" s="1693">
        <f t="shared" si="19"/>
        <v>0</v>
      </c>
      <c r="L226" s="466">
        <v>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9435</v>
      </c>
      <c r="E229" s="617"/>
      <c r="F229" s="617"/>
      <c r="G229" s="617"/>
      <c r="H229" s="617"/>
      <c r="I229" s="617"/>
      <c r="J229" s="617"/>
      <c r="K229" s="1692">
        <f>SUM(K215:K228)</f>
        <v>9435</v>
      </c>
      <c r="L229" s="1692">
        <f>SUM(L215:L228)</f>
        <v>9465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838</v>
      </c>
      <c r="E232" s="617"/>
      <c r="F232" s="617"/>
      <c r="G232" s="617"/>
      <c r="H232" s="617"/>
      <c r="I232" s="617"/>
      <c r="J232" s="617"/>
      <c r="K232" s="1693">
        <f t="shared" ref="K232:K237" si="20">D232</f>
        <v>838</v>
      </c>
      <c r="L232" s="466">
        <v>838</v>
      </c>
    </row>
    <row r="233" spans="1:12" x14ac:dyDescent="0.2">
      <c r="A233" s="1526" t="s">
        <v>1151</v>
      </c>
      <c r="B233" s="615">
        <v>2120</v>
      </c>
      <c r="C233" s="617"/>
      <c r="D233" s="466"/>
      <c r="E233" s="617"/>
      <c r="F233" s="617"/>
      <c r="G233" s="617"/>
      <c r="H233" s="617"/>
      <c r="I233" s="617"/>
      <c r="J233" s="617"/>
      <c r="K233" s="1693">
        <f t="shared" si="20"/>
        <v>0</v>
      </c>
      <c r="L233" s="466">
        <v>0</v>
      </c>
    </row>
    <row r="234" spans="1:12" x14ac:dyDescent="0.2">
      <c r="A234" s="1526" t="s">
        <v>207</v>
      </c>
      <c r="B234" s="615">
        <v>2130</v>
      </c>
      <c r="C234" s="617"/>
      <c r="D234" s="466"/>
      <c r="E234" s="617"/>
      <c r="F234" s="617"/>
      <c r="G234" s="617"/>
      <c r="H234" s="617"/>
      <c r="I234" s="617"/>
      <c r="J234" s="617"/>
      <c r="K234" s="1693">
        <f t="shared" si="20"/>
        <v>0</v>
      </c>
      <c r="L234" s="466">
        <v>0</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c r="E236" s="617"/>
      <c r="F236" s="617"/>
      <c r="G236" s="617"/>
      <c r="H236" s="617"/>
      <c r="I236" s="617"/>
      <c r="J236" s="617"/>
      <c r="K236" s="1693">
        <f t="shared" si="20"/>
        <v>0</v>
      </c>
      <c r="L236" s="466">
        <v>0</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838</v>
      </c>
      <c r="E238" s="617"/>
      <c r="F238" s="617"/>
      <c r="G238" s="617"/>
      <c r="H238" s="617"/>
      <c r="I238" s="617"/>
      <c r="J238" s="617"/>
      <c r="K238" s="1692">
        <f>SUM(K232:K237)</f>
        <v>838</v>
      </c>
      <c r="L238" s="1692">
        <f>SUM(L232:L237)</f>
        <v>838</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v>0</v>
      </c>
    </row>
    <row r="241" spans="1:12" x14ac:dyDescent="0.2">
      <c r="A241" s="1526" t="s">
        <v>869</v>
      </c>
      <c r="B241" s="615">
        <v>2220</v>
      </c>
      <c r="C241" s="617"/>
      <c r="D241" s="466"/>
      <c r="E241" s="617"/>
      <c r="F241" s="617"/>
      <c r="G241" s="617"/>
      <c r="H241" s="617"/>
      <c r="I241" s="617"/>
      <c r="J241" s="617"/>
      <c r="K241" s="1694">
        <f>D241</f>
        <v>0</v>
      </c>
      <c r="L241" s="466">
        <v>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f>46+11</f>
        <v>57</v>
      </c>
      <c r="E245" s="617"/>
      <c r="F245" s="617"/>
      <c r="G245" s="617"/>
      <c r="H245" s="617"/>
      <c r="I245" s="617"/>
      <c r="J245" s="617"/>
      <c r="K245" s="1694">
        <f>D245</f>
        <v>57</v>
      </c>
      <c r="L245" s="481">
        <v>62</v>
      </c>
    </row>
    <row r="246" spans="1:12" x14ac:dyDescent="0.2">
      <c r="A246" s="1526" t="s">
        <v>872</v>
      </c>
      <c r="B246" s="615">
        <v>2320</v>
      </c>
      <c r="C246" s="617"/>
      <c r="D246" s="466">
        <v>721</v>
      </c>
      <c r="E246" s="617"/>
      <c r="F246" s="617"/>
      <c r="G246" s="617"/>
      <c r="H246" s="617"/>
      <c r="I246" s="617"/>
      <c r="J246" s="617"/>
      <c r="K246" s="1694">
        <f t="shared" ref="K246:K256" si="21">D246</f>
        <v>721</v>
      </c>
      <c r="L246" s="466">
        <v>721</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778</v>
      </c>
      <c r="E257" s="617"/>
      <c r="F257" s="617"/>
      <c r="G257" s="617"/>
      <c r="H257" s="617"/>
      <c r="I257" s="617"/>
      <c r="J257" s="617"/>
      <c r="K257" s="1692">
        <f>SUM(K245:K256)</f>
        <v>778</v>
      </c>
      <c r="L257" s="1692">
        <f>SUM(L245:L256)</f>
        <v>783</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937</v>
      </c>
      <c r="E259" s="617"/>
      <c r="F259" s="617"/>
      <c r="G259" s="617"/>
      <c r="H259" s="617"/>
      <c r="I259" s="617"/>
      <c r="J259" s="617"/>
      <c r="K259" s="1694">
        <f>D259</f>
        <v>937</v>
      </c>
      <c r="L259" s="481">
        <v>937</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937</v>
      </c>
      <c r="E261" s="617"/>
      <c r="F261" s="617"/>
      <c r="G261" s="617"/>
      <c r="H261" s="617"/>
      <c r="I261" s="617"/>
      <c r="J261" s="617"/>
      <c r="K261" s="1692">
        <f>SUM(K259:K260)</f>
        <v>937</v>
      </c>
      <c r="L261" s="1692">
        <f>SUM(L259:L260)</f>
        <v>937</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f>285+2329+545</f>
        <v>3159</v>
      </c>
      <c r="E264" s="617"/>
      <c r="F264" s="617"/>
      <c r="G264" s="617"/>
      <c r="H264" s="617"/>
      <c r="I264" s="617"/>
      <c r="J264" s="617"/>
      <c r="K264" s="1694">
        <f t="shared" ref="K264:K269" si="22">D264</f>
        <v>3159</v>
      </c>
      <c r="L264" s="466">
        <v>3122</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f>398+2811+657</f>
        <v>3866</v>
      </c>
      <c r="E266" s="617"/>
      <c r="F266" s="617"/>
      <c r="G266" s="617"/>
      <c r="H266" s="617"/>
      <c r="I266" s="617"/>
      <c r="J266" s="617"/>
      <c r="K266" s="1694">
        <f t="shared" si="22"/>
        <v>3866</v>
      </c>
      <c r="L266" s="466">
        <v>4532</v>
      </c>
    </row>
    <row r="267" spans="1:14" x14ac:dyDescent="0.2">
      <c r="A267" s="1526" t="s">
        <v>1010</v>
      </c>
      <c r="B267" s="615">
        <v>2550</v>
      </c>
      <c r="C267" s="617"/>
      <c r="D267" s="466">
        <f>355+2434+615</f>
        <v>3404</v>
      </c>
      <c r="E267" s="617"/>
      <c r="F267" s="617"/>
      <c r="G267" s="617"/>
      <c r="H267" s="617"/>
      <c r="I267" s="617"/>
      <c r="J267" s="617"/>
      <c r="K267" s="1694">
        <f t="shared" si="22"/>
        <v>3404</v>
      </c>
      <c r="L267" s="466">
        <v>3423</v>
      </c>
    </row>
    <row r="268" spans="1:14" x14ac:dyDescent="0.2">
      <c r="A268" s="1526" t="s">
        <v>102</v>
      </c>
      <c r="B268" s="615">
        <v>2560</v>
      </c>
      <c r="C268" s="617"/>
      <c r="D268" s="466">
        <f>132+879+206</f>
        <v>1217</v>
      </c>
      <c r="E268" s="617"/>
      <c r="F268" s="617"/>
      <c r="G268" s="617"/>
      <c r="H268" s="617"/>
      <c r="I268" s="617"/>
      <c r="J268" s="617"/>
      <c r="K268" s="1694">
        <f t="shared" si="22"/>
        <v>1217</v>
      </c>
      <c r="L268" s="466">
        <v>1262</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11646</v>
      </c>
      <c r="E270" s="617"/>
      <c r="F270" s="617"/>
      <c r="G270" s="617"/>
      <c r="H270" s="617"/>
      <c r="I270" s="617"/>
      <c r="J270" s="617"/>
      <c r="K270" s="1692">
        <f>SUM(K263:K269)</f>
        <v>11646</v>
      </c>
      <c r="L270" s="1692">
        <f>SUM(L263:L269)</f>
        <v>12339</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14199</v>
      </c>
      <c r="E279" s="617"/>
      <c r="F279" s="617"/>
      <c r="G279" s="617"/>
      <c r="H279" s="617"/>
      <c r="I279" s="617"/>
      <c r="J279" s="617"/>
      <c r="K279" s="1699">
        <f>SUM(K238,K243,K257,K261,K270,K277,K278)</f>
        <v>14199</v>
      </c>
      <c r="L279" s="1699">
        <f>SUM(L238,L243,L257,L261,L270,L277,L278)</f>
        <v>14897</v>
      </c>
    </row>
    <row r="280" spans="1:12" ht="15.75" customHeight="1" thickTop="1" thickBot="1" x14ac:dyDescent="0.25">
      <c r="A280" s="1646" t="s">
        <v>930</v>
      </c>
      <c r="B280" s="1635">
        <v>3000</v>
      </c>
      <c r="C280" s="617"/>
      <c r="D280" s="576"/>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0" t="s">
        <v>526</v>
      </c>
      <c r="B295" s="2191"/>
      <c r="C295" s="617"/>
      <c r="D295" s="1692">
        <f>SUM(D229,D279,D280,D285)</f>
        <v>23634</v>
      </c>
      <c r="E295" s="617"/>
      <c r="F295" s="617"/>
      <c r="G295" s="617"/>
      <c r="H295" s="1692">
        <f>H293</f>
        <v>0</v>
      </c>
      <c r="I295" s="617"/>
      <c r="J295" s="617"/>
      <c r="K295" s="1692">
        <f>SUM(K229,K279,K280,K285,K293,K294)</f>
        <v>23634</v>
      </c>
      <c r="L295" s="1692">
        <f>SUM(L229,L279,L280,L285,L293,L294)</f>
        <v>24362</v>
      </c>
    </row>
    <row r="296" spans="1:14" ht="13.5" thickTop="1" x14ac:dyDescent="0.2">
      <c r="A296" s="2199" t="s">
        <v>1053</v>
      </c>
      <c r="B296" s="2200"/>
      <c r="C296" s="617"/>
      <c r="D296" s="619"/>
      <c r="E296" s="617"/>
      <c r="F296" s="617"/>
      <c r="G296" s="617"/>
      <c r="H296" s="688"/>
      <c r="I296" s="617"/>
      <c r="J296" s="617"/>
      <c r="K296" s="1706">
        <f>'Revenues 9-14'!G275-'Expenditures 15-22'!K295</f>
        <v>3484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v>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v>11983</v>
      </c>
      <c r="F320" s="467"/>
      <c r="G320" s="467"/>
      <c r="H320" s="467"/>
      <c r="I320" s="467"/>
      <c r="J320" s="467"/>
      <c r="K320" s="1693">
        <f t="shared" ref="K320:K327" si="24">SUM(C320:J320)</f>
        <v>11983</v>
      </c>
      <c r="L320" s="467">
        <v>12792</v>
      </c>
      <c r="M320" s="666"/>
      <c r="N320" s="666"/>
    </row>
    <row r="321" spans="1:14" s="675" customFormat="1" x14ac:dyDescent="0.2">
      <c r="A321" s="1541" t="s">
        <v>318</v>
      </c>
      <c r="B321" s="698" t="s">
        <v>301</v>
      </c>
      <c r="C321" s="467"/>
      <c r="D321" s="467"/>
      <c r="E321" s="467">
        <v>1204</v>
      </c>
      <c r="F321" s="467"/>
      <c r="G321" s="467"/>
      <c r="H321" s="467"/>
      <c r="I321" s="467"/>
      <c r="J321" s="467"/>
      <c r="K321" s="1693">
        <f t="shared" si="24"/>
        <v>1204</v>
      </c>
      <c r="L321" s="467">
        <v>2000</v>
      </c>
      <c r="M321" s="666"/>
      <c r="N321" s="666"/>
    </row>
    <row r="322" spans="1:14" s="675" customFormat="1" x14ac:dyDescent="0.2">
      <c r="A322" s="1541" t="s">
        <v>256</v>
      </c>
      <c r="B322" s="698" t="s">
        <v>302</v>
      </c>
      <c r="C322" s="467"/>
      <c r="D322" s="467"/>
      <c r="E322" s="467">
        <v>1739</v>
      </c>
      <c r="F322" s="467"/>
      <c r="G322" s="467"/>
      <c r="H322" s="467"/>
      <c r="I322" s="467"/>
      <c r="J322" s="467"/>
      <c r="K322" s="1693">
        <f t="shared" si="24"/>
        <v>1739</v>
      </c>
      <c r="L322" s="467">
        <v>1739</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v>62053</v>
      </c>
      <c r="D325" s="467">
        <v>3543</v>
      </c>
      <c r="E325" s="467">
        <v>200</v>
      </c>
      <c r="F325" s="467"/>
      <c r="G325" s="467"/>
      <c r="H325" s="467"/>
      <c r="I325" s="467"/>
      <c r="J325" s="467"/>
      <c r="K325" s="1693">
        <f t="shared" si="24"/>
        <v>65796</v>
      </c>
      <c r="L325" s="467">
        <v>65596</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v>600</v>
      </c>
      <c r="F327" s="467"/>
      <c r="G327" s="467"/>
      <c r="H327" s="467"/>
      <c r="I327" s="467"/>
      <c r="J327" s="467"/>
      <c r="K327" s="1693">
        <f t="shared" si="24"/>
        <v>600</v>
      </c>
      <c r="L327" s="467">
        <v>600</v>
      </c>
      <c r="M327" s="666"/>
      <c r="N327" s="666"/>
    </row>
    <row r="328" spans="1:14" s="675" customFormat="1" x14ac:dyDescent="0.2">
      <c r="A328" s="1542" t="s">
        <v>492</v>
      </c>
      <c r="B328" s="691" t="s">
        <v>1194</v>
      </c>
      <c r="C328" s="474"/>
      <c r="D328" s="474"/>
      <c r="E328" s="474">
        <v>16588</v>
      </c>
      <c r="F328" s="474"/>
      <c r="G328" s="474"/>
      <c r="H328" s="474"/>
      <c r="I328" s="474"/>
      <c r="J328" s="474"/>
      <c r="K328" s="1721">
        <f>SUM(C328:J328)</f>
        <v>16588</v>
      </c>
      <c r="L328" s="474">
        <v>16588</v>
      </c>
      <c r="M328" s="666"/>
      <c r="N328" s="666"/>
    </row>
    <row r="329" spans="1:14" s="675" customFormat="1" x14ac:dyDescent="0.2">
      <c r="A329" s="1542" t="s">
        <v>1195</v>
      </c>
      <c r="B329" s="691" t="s">
        <v>1196</v>
      </c>
      <c r="C329" s="474"/>
      <c r="D329" s="474"/>
      <c r="E329" s="474">
        <v>896</v>
      </c>
      <c r="F329" s="474"/>
      <c r="G329" s="474"/>
      <c r="H329" s="474"/>
      <c r="I329" s="474"/>
      <c r="J329" s="474"/>
      <c r="K329" s="1721">
        <f>SUM(C329:J329)</f>
        <v>896</v>
      </c>
      <c r="L329" s="474">
        <v>896</v>
      </c>
      <c r="M329" s="666"/>
      <c r="N329" s="666"/>
    </row>
    <row r="330" spans="1:14" s="675" customFormat="1" ht="12.75" customHeight="1" thickBot="1" x14ac:dyDescent="0.25">
      <c r="A330" s="1722" t="s">
        <v>741</v>
      </c>
      <c r="B330" s="1691" t="s">
        <v>590</v>
      </c>
      <c r="C330" s="1692">
        <f>SUM(C319:C329)</f>
        <v>62053</v>
      </c>
      <c r="D330" s="1692">
        <f t="shared" ref="D330:J330" si="25">SUM(D319:D329)</f>
        <v>3543</v>
      </c>
      <c r="E330" s="1692">
        <f t="shared" si="25"/>
        <v>33210</v>
      </c>
      <c r="F330" s="1692">
        <f t="shared" si="25"/>
        <v>0</v>
      </c>
      <c r="G330" s="1692">
        <f t="shared" si="25"/>
        <v>0</v>
      </c>
      <c r="H330" s="1692">
        <f t="shared" si="25"/>
        <v>0</v>
      </c>
      <c r="I330" s="1692">
        <f t="shared" si="25"/>
        <v>0</v>
      </c>
      <c r="J330" s="1692">
        <f t="shared" si="25"/>
        <v>0</v>
      </c>
      <c r="K330" s="1692">
        <f>SUM(K319:K329)</f>
        <v>98806</v>
      </c>
      <c r="L330" s="1692">
        <f>SUM(L319:L329)</f>
        <v>100211</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62053</v>
      </c>
      <c r="D342" s="1692">
        <f>SUM(D330)</f>
        <v>3543</v>
      </c>
      <c r="E342" s="1692">
        <f>SUM(E330)</f>
        <v>33210</v>
      </c>
      <c r="F342" s="1692">
        <f>SUM(F330)</f>
        <v>0</v>
      </c>
      <c r="G342" s="1692">
        <f>SUM(G330)</f>
        <v>0</v>
      </c>
      <c r="H342" s="1692">
        <f>SUM(H330,H334,H340)</f>
        <v>0</v>
      </c>
      <c r="I342" s="1692">
        <f>SUM(I330)</f>
        <v>0</v>
      </c>
      <c r="J342" s="1692">
        <f>SUM(J330)</f>
        <v>0</v>
      </c>
      <c r="K342" s="1692">
        <f>SUM(K330,K334,K340)</f>
        <v>98806</v>
      </c>
      <c r="L342" s="1699">
        <f>SUM(L330,L340,L341)</f>
        <v>100211</v>
      </c>
    </row>
    <row r="343" spans="1:14" ht="12.75" customHeight="1" thickTop="1" x14ac:dyDescent="0.2">
      <c r="A343" s="2185" t="s">
        <v>1053</v>
      </c>
      <c r="B343" s="2186"/>
      <c r="C343" s="617"/>
      <c r="D343" s="617"/>
      <c r="E343" s="617"/>
      <c r="F343" s="617"/>
      <c r="G343" s="617"/>
      <c r="H343" s="617"/>
      <c r="I343" s="617"/>
      <c r="J343" s="617"/>
      <c r="K343" s="1706">
        <f>'Revenues 9-14'!J275-'Expenditures 15-22'!K342</f>
        <v>74365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0</v>
      </c>
    </row>
    <row r="349" spans="1:14" x14ac:dyDescent="0.2">
      <c r="A349" s="1526" t="s">
        <v>206</v>
      </c>
      <c r="B349" s="615">
        <v>2540</v>
      </c>
      <c r="C349" s="466"/>
      <c r="D349" s="466"/>
      <c r="E349" s="466"/>
      <c r="F349" s="466">
        <v>201</v>
      </c>
      <c r="G349" s="466">
        <v>1338226</v>
      </c>
      <c r="H349" s="466"/>
      <c r="I349" s="467"/>
      <c r="J349" s="467"/>
      <c r="K349" s="1693">
        <f>SUM(C349:J349)</f>
        <v>1338427</v>
      </c>
      <c r="L349" s="466">
        <v>1298045</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201</v>
      </c>
      <c r="G350" s="1692">
        <f t="shared" si="26"/>
        <v>1338226</v>
      </c>
      <c r="H350" s="1692">
        <f t="shared" si="26"/>
        <v>0</v>
      </c>
      <c r="I350" s="1692">
        <f t="shared" si="26"/>
        <v>0</v>
      </c>
      <c r="J350" s="1692">
        <f t="shared" si="26"/>
        <v>0</v>
      </c>
      <c r="K350" s="1692">
        <f t="shared" si="26"/>
        <v>1338427</v>
      </c>
      <c r="L350" s="1692">
        <f t="shared" si="26"/>
        <v>1298045</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201</v>
      </c>
      <c r="G352" s="1692">
        <f t="shared" si="27"/>
        <v>1338226</v>
      </c>
      <c r="H352" s="1692">
        <f t="shared" si="27"/>
        <v>0</v>
      </c>
      <c r="I352" s="1692">
        <f t="shared" si="27"/>
        <v>0</v>
      </c>
      <c r="J352" s="1692">
        <f t="shared" si="27"/>
        <v>0</v>
      </c>
      <c r="K352" s="1692">
        <f t="shared" si="27"/>
        <v>1338427</v>
      </c>
      <c r="L352" s="1692">
        <f t="shared" si="27"/>
        <v>1298045</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v>0</v>
      </c>
    </row>
    <row r="355" spans="1:14" ht="12.75" customHeight="1" x14ac:dyDescent="0.2">
      <c r="A355" s="1535" t="s">
        <v>1966</v>
      </c>
      <c r="B355" s="691" t="s">
        <v>1959</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201</v>
      </c>
      <c r="G367" s="1692">
        <f t="shared" si="28"/>
        <v>1338226</v>
      </c>
      <c r="H367" s="1692">
        <f t="shared" si="28"/>
        <v>0</v>
      </c>
      <c r="I367" s="1692">
        <f t="shared" si="28"/>
        <v>0</v>
      </c>
      <c r="J367" s="1692">
        <f t="shared" si="28"/>
        <v>0</v>
      </c>
      <c r="K367" s="1692">
        <f t="shared" si="28"/>
        <v>1338427</v>
      </c>
      <c r="L367" s="1692">
        <f t="shared" si="28"/>
        <v>1298045</v>
      </c>
    </row>
    <row r="368" spans="1:14" ht="13.5" thickTop="1" x14ac:dyDescent="0.2">
      <c r="A368" s="2199" t="s">
        <v>1053</v>
      </c>
      <c r="B368" s="2200"/>
      <c r="C368" s="655"/>
      <c r="D368" s="655"/>
      <c r="E368" s="627"/>
      <c r="F368" s="627"/>
      <c r="G368" s="627"/>
      <c r="H368" s="627"/>
      <c r="I368" s="627"/>
      <c r="J368" s="624"/>
      <c r="K368" s="1693">
        <f>'Revenues 9-14'!K275-'Expenditures 15-22'!K367</f>
        <v>-1324433</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2018-09-06T19:05:22Z</cp:lastPrinted>
  <dcterms:created xsi:type="dcterms:W3CDTF">2003-10-29T19:06:34Z</dcterms:created>
  <dcterms:modified xsi:type="dcterms:W3CDTF">2018-10-02T14:39:31Z</dcterms:modified>
</cp:coreProperties>
</file>