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E10" i="108" l="1"/>
  <c r="D20" i="181"/>
  <c r="D19" i="18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6" i="170"/>
  <c r="C39" i="170" s="1"/>
  <c r="C15" i="170"/>
  <c r="C18" i="170" s="1"/>
  <c r="C21" i="170" s="1"/>
  <c r="C24" i="170" s="1"/>
  <c r="C28" i="170" s="1"/>
  <c r="C13" i="170"/>
  <c r="A2" i="170"/>
  <c r="A2" i="173" l="1"/>
  <c r="B2" i="177"/>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s="1"/>
  <c r="B7729" i="106"/>
  <c r="B7734" i="106"/>
  <c r="B7726" i="106"/>
  <c r="D76" i="36"/>
  <c r="F162" i="34"/>
  <c r="B30" i="36"/>
  <c r="B33" i="36" s="1"/>
  <c r="B43" i="36" s="1"/>
  <c r="B56" i="36" s="1"/>
  <c r="B66" i="36" s="1"/>
  <c r="B70" i="36" s="1"/>
  <c r="B74" i="36" s="1"/>
  <c r="D73" i="36"/>
  <c r="C191" i="5"/>
  <c r="C201" i="5"/>
  <c r="B5246" i="106" s="1"/>
  <c r="D5246" i="106" s="1"/>
  <c r="C211" i="5"/>
  <c r="C216" i="5"/>
  <c r="C224" i="5"/>
  <c r="B5286" i="106" s="1"/>
  <c r="D5286" i="106" s="1"/>
  <c r="C228" i="5"/>
  <c r="C259" i="5"/>
  <c r="B7761" i="106"/>
  <c r="L127" i="29"/>
  <c r="L129" i="29" s="1"/>
  <c r="L139" i="29"/>
  <c r="L149" i="29"/>
  <c r="I7" i="145"/>
  <c r="I6" i="145"/>
  <c r="D78" i="36"/>
  <c r="K75" i="29"/>
  <c r="K130" i="29"/>
  <c r="K185" i="29"/>
  <c r="K122" i="29"/>
  <c r="F15" i="145" s="1"/>
  <c r="F19" i="145" s="1"/>
  <c r="K67" i="29"/>
  <c r="K64" i="29"/>
  <c r="K59" i="29"/>
  <c r="E15" i="145"/>
  <c r="G15" i="145" s="1"/>
  <c r="K56" i="29"/>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B2978" i="106" s="1"/>
  <c r="D2978" i="106" s="1"/>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3" i="106"/>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c r="F13" i="4" s="1"/>
  <c r="B2596" i="106" s="1"/>
  <c r="D2596" i="106" s="1"/>
  <c r="K188" i="29"/>
  <c r="B3007" i="106" s="1"/>
  <c r="D3007" i="106" s="1"/>
  <c r="K189" i="29"/>
  <c r="K190" i="29"/>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c r="F10" i="7"/>
  <c r="B1797" i="106"/>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s="1"/>
  <c r="B1836" i="106"/>
  <c r="D1836" i="106"/>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c r="B1850" i="106"/>
  <c r="D1850" i="106" s="1"/>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s="1"/>
  <c r="B1864" i="106"/>
  <c r="D1864" i="106"/>
  <c r="E21" i="8"/>
  <c r="B1865" i="106" s="1"/>
  <c r="D1865" i="106" s="1"/>
  <c r="B1866" i="106"/>
  <c r="D1866" i="106" s="1"/>
  <c r="F6" i="8"/>
  <c r="F7" i="8"/>
  <c r="B1868" i="106" s="1"/>
  <c r="D1868" i="106" s="1"/>
  <c r="F12" i="8"/>
  <c r="B1869" i="106"/>
  <c r="D1869" i="106" s="1"/>
  <c r="F11" i="8"/>
  <c r="B1870" i="106" s="1"/>
  <c r="D1870" i="106" s="1"/>
  <c r="F8" i="8"/>
  <c r="B1871" i="106"/>
  <c r="D1871" i="106" s="1"/>
  <c r="F9" i="8"/>
  <c r="B1872" i="106" s="1"/>
  <c r="D1872" i="106" s="1"/>
  <c r="F10" i="8"/>
  <c r="B1873" i="106" s="1"/>
  <c r="D1873" i="106" s="1"/>
  <c r="F14" i="8"/>
  <c r="B1874" i="106" s="1"/>
  <c r="D1874" i="106" s="1"/>
  <c r="F13" i="8"/>
  <c r="B3688" i="106" s="1"/>
  <c r="D3688" i="106" s="1"/>
  <c r="F17" i="8"/>
  <c r="B1876" i="106" s="1"/>
  <c r="D1876" i="106" s="1"/>
  <c r="F18" i="8"/>
  <c r="B1877" i="106"/>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s="1"/>
  <c r="B5115" i="106"/>
  <c r="D5115" i="106" s="1"/>
  <c r="B5116" i="106"/>
  <c r="D5116" i="106" s="1"/>
  <c r="B5117" i="106"/>
  <c r="D5117" i="106" s="1"/>
  <c r="B5118" i="106"/>
  <c r="D5118" i="106" s="1"/>
  <c r="B5119" i="106"/>
  <c r="D5119" i="106" s="1"/>
  <c r="B5122" i="106"/>
  <c r="D5122" i="106"/>
  <c r="B5123" i="106"/>
  <c r="D5123" i="106"/>
  <c r="B5124" i="106"/>
  <c r="D5124" i="106"/>
  <c r="B5126" i="106"/>
  <c r="D5126" i="106"/>
  <c r="B5127" i="106"/>
  <c r="D5127" i="106"/>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6" i="108"/>
  <c r="E26" i="108"/>
  <c r="F26" i="108"/>
  <c r="G26" i="108"/>
  <c r="D27" i="108"/>
  <c r="E27" i="108"/>
  <c r="F27" i="108"/>
  <c r="G27" i="108"/>
  <c r="F31" i="108"/>
  <c r="F36" i="108"/>
  <c r="F37" i="108"/>
  <c r="G28"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c r="D5348" i="106" s="1"/>
  <c r="C93" i="5"/>
  <c r="B5112" i="106" s="1"/>
  <c r="D5112" i="106" s="1"/>
  <c r="C108" i="5"/>
  <c r="B5120" i="106" s="1"/>
  <c r="D5120" i="106" s="1"/>
  <c r="D108" i="5"/>
  <c r="B5355" i="106"/>
  <c r="D5355" i="106" s="1"/>
  <c r="E108" i="5"/>
  <c r="B5526" i="106"/>
  <c r="D5526" i="106" s="1"/>
  <c r="F108" i="5"/>
  <c r="B5587" i="106" s="1"/>
  <c r="D5587" i="106" s="1"/>
  <c r="G108" i="5"/>
  <c r="B5737" i="106" s="1"/>
  <c r="D5737" i="106" s="1"/>
  <c r="H108" i="5"/>
  <c r="B5886" i="106"/>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B5752" i="106" s="1"/>
  <c r="D5752" i="106" s="1"/>
  <c r="G144" i="5"/>
  <c r="B5756" i="106" s="1"/>
  <c r="D5756" i="106" s="1"/>
  <c r="G154" i="5"/>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s="1"/>
  <c r="D5232" i="106" s="1"/>
  <c r="D184" i="5"/>
  <c r="B5425" i="106" s="1"/>
  <c r="D5425" i="106" s="1"/>
  <c r="F184" i="5"/>
  <c r="B5658" i="106"/>
  <c r="D5658" i="106" s="1"/>
  <c r="G184" i="5"/>
  <c r="B5784" i="106" s="1"/>
  <c r="D5784" i="106" s="1"/>
  <c r="H184" i="5"/>
  <c r="B5908" i="106"/>
  <c r="D5908" i="106" s="1"/>
  <c r="K184" i="5"/>
  <c r="B6016" i="106" s="1"/>
  <c r="D6016" i="106" s="1"/>
  <c r="B4395" i="106"/>
  <c r="D4395" i="106" s="1"/>
  <c r="D191" i="5"/>
  <c r="B4396" i="106"/>
  <c r="D4396" i="106" s="1"/>
  <c r="F191" i="5"/>
  <c r="F128" i="34" s="1"/>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I274" i="5"/>
  <c r="D5" i="4"/>
  <c r="B3406" i="106" s="1"/>
  <c r="D3406"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D7" i="118"/>
  <c r="D8" i="118"/>
  <c r="D9" i="118"/>
  <c r="H14" i="118"/>
  <c r="H19" i="118"/>
  <c r="H24" i="118"/>
  <c r="H28" i="118"/>
  <c r="H29" i="118"/>
  <c r="K28" i="118" s="1"/>
  <c r="O27" i="118" s="1"/>
  <c r="O29" i="118" s="1"/>
  <c r="H33" i="118"/>
  <c r="D22" i="37"/>
  <c r="J22" i="37"/>
  <c r="L22" i="37"/>
  <c r="D24" i="37"/>
  <c r="B4270" i="106" s="1"/>
  <c r="D4270" i="106" s="1"/>
  <c r="L5" i="11"/>
  <c r="B2056" i="106" s="1"/>
  <c r="D2056" i="106" s="1"/>
  <c r="D4" i="7"/>
  <c r="B1760" i="106" s="1"/>
  <c r="D1760" i="106" s="1"/>
  <c r="D5" i="7"/>
  <c r="B1761" i="106" s="1"/>
  <c r="D1761" i="106" s="1"/>
  <c r="D13" i="7"/>
  <c r="B3726" i="106" s="1"/>
  <c r="D3726" i="106" s="1"/>
  <c r="F136" i="34"/>
  <c r="F131" i="34"/>
  <c r="F111" i="34"/>
  <c r="B5847" i="106"/>
  <c r="D5847" i="106" s="1"/>
  <c r="H173" i="5"/>
  <c r="B5906" i="106" s="1"/>
  <c r="D5906" i="106" s="1"/>
  <c r="F106" i="34"/>
  <c r="D7" i="7"/>
  <c r="B1763" i="106" s="1"/>
  <c r="D1763" i="106" s="1"/>
  <c r="D17" i="7"/>
  <c r="B4104" i="106" s="1"/>
  <c r="D4104" i="106" s="1"/>
  <c r="D12" i="7"/>
  <c r="B1769" i="106" s="1"/>
  <c r="D1769" i="106" s="1"/>
  <c r="D11" i="7"/>
  <c r="B1768" i="106" s="1"/>
  <c r="D1768" i="106" s="1"/>
  <c r="G109" i="5" l="1"/>
  <c r="B6024" i="106" s="1"/>
  <c r="D6024" i="106" s="1"/>
  <c r="E109" i="5"/>
  <c r="E4" i="4" s="1"/>
  <c r="B2630" i="106" s="1"/>
  <c r="D2630" i="106" s="1"/>
  <c r="L367" i="29"/>
  <c r="H109" i="5"/>
  <c r="B6191" i="106"/>
  <c r="D6191" i="106" s="1"/>
  <c r="J41" i="3"/>
  <c r="E14" i="145"/>
  <c r="G14" i="145" s="1"/>
  <c r="B1124" i="106"/>
  <c r="D1124" i="106" s="1"/>
  <c r="J274" i="5"/>
  <c r="B7054" i="106" s="1"/>
  <c r="D7054" i="106" s="1"/>
  <c r="K173" i="5"/>
  <c r="K6" i="4" s="1"/>
  <c r="B3570" i="106" s="1"/>
  <c r="D3570" i="106" s="1"/>
  <c r="G172" i="5"/>
  <c r="D15" i="7"/>
  <c r="B1772" i="106" s="1"/>
  <c r="D1772" i="106" s="1"/>
  <c r="B1746" i="106"/>
  <c r="D1746" i="106" s="1"/>
  <c r="C172" i="5"/>
  <c r="F130" i="34"/>
  <c r="D9" i="7"/>
  <c r="B1767" i="106" s="1"/>
  <c r="D1767" i="106" s="1"/>
  <c r="I173" i="5"/>
  <c r="B4216" i="106" s="1"/>
  <c r="D4216" i="106" s="1"/>
  <c r="B3565" i="106"/>
  <c r="D3565" i="106" s="1"/>
  <c r="K41" i="3"/>
  <c r="H6" i="4"/>
  <c r="B2656" i="106" s="1"/>
  <c r="D2656" i="106" s="1"/>
  <c r="K274" i="5"/>
  <c r="B7235" i="106"/>
  <c r="D7235" i="106" s="1"/>
  <c r="C352" i="29"/>
  <c r="B3619" i="106"/>
  <c r="D3619" i="106" s="1"/>
  <c r="B3170" i="106"/>
  <c r="D3170" i="106" s="1"/>
  <c r="H76" i="4"/>
  <c r="B3298" i="106" s="1"/>
  <c r="D3298" i="106" s="1"/>
  <c r="F21" i="8"/>
  <c r="K24" i="12"/>
  <c r="L15" i="11"/>
  <c r="B3459" i="106" s="1"/>
  <c r="D3459" i="106" s="1"/>
  <c r="L13" i="11"/>
  <c r="B2060" i="106" s="1"/>
  <c r="D2060" i="106" s="1"/>
  <c r="N22" i="3"/>
  <c r="B283" i="106" s="1"/>
  <c r="D283" i="106" s="1"/>
  <c r="F19" i="7"/>
  <c r="B1807" i="106" s="1"/>
  <c r="D1807" i="106" s="1"/>
  <c r="K350" i="29"/>
  <c r="G352" i="29"/>
  <c r="C342" i="29"/>
  <c r="B7216" i="106" s="1"/>
  <c r="D7216" i="106" s="1"/>
  <c r="L342" i="29"/>
  <c r="B1410" i="106"/>
  <c r="D1410" i="106" s="1"/>
  <c r="G29" i="108"/>
  <c r="E29" i="108"/>
  <c r="B1329" i="106"/>
  <c r="D1329" i="106" s="1"/>
  <c r="F61" i="34"/>
  <c r="F28" i="108"/>
  <c r="F41" i="108" s="1"/>
  <c r="G43" i="108" s="1"/>
  <c r="E28" i="108"/>
  <c r="B6995" i="106"/>
  <c r="D6995" i="106" s="1"/>
  <c r="G30" i="108"/>
  <c r="E30" i="108"/>
  <c r="F127" i="34"/>
  <c r="C109" i="5"/>
  <c r="B5121" i="106" s="1"/>
  <c r="D5121" i="106" s="1"/>
  <c r="G4" i="4"/>
  <c r="B2603" i="106" s="1"/>
  <c r="D2603" i="106" s="1"/>
  <c r="D109" i="5"/>
  <c r="D54" i="36"/>
  <c r="B4268" i="106"/>
  <c r="D4268" i="106" s="1"/>
  <c r="D31" i="36"/>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B6022" i="106"/>
  <c r="D6022" i="106" s="1"/>
  <c r="D44" i="36"/>
  <c r="F274" i="5"/>
  <c r="E273" i="5"/>
  <c r="B6835" i="106"/>
  <c r="D6835" i="106" s="1"/>
  <c r="G273" i="5"/>
  <c r="B4398" i="106"/>
  <c r="D4398" i="106" s="1"/>
  <c r="B5537" i="106"/>
  <c r="D5537" i="106" s="1"/>
  <c r="E173" i="5"/>
  <c r="I109" i="5"/>
  <c r="B5527" i="106"/>
  <c r="D5527" i="106" s="1"/>
  <c r="L279" i="29"/>
  <c r="L295" i="29" s="1"/>
  <c r="L74" i="29"/>
  <c r="L114" i="29" s="1"/>
  <c r="K33" i="29"/>
  <c r="B720" i="106"/>
  <c r="D720" i="106" s="1"/>
  <c r="C114" i="29"/>
  <c r="B757" i="106" s="1"/>
  <c r="D757"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3447" i="106"/>
  <c r="D3447" i="106" s="1"/>
  <c r="B7270" i="106"/>
  <c r="B7733" i="106" l="1"/>
  <c r="D7733" i="106" s="1"/>
  <c r="K26" i="12"/>
  <c r="B7743" i="106" s="1"/>
  <c r="D7743" i="106" s="1"/>
  <c r="B1879" i="106"/>
  <c r="D1879" i="106" s="1"/>
  <c r="H22" i="37"/>
  <c r="B3621" i="106"/>
  <c r="D3621" i="106" s="1"/>
  <c r="C367" i="29"/>
  <c r="B3622" i="106" s="1"/>
  <c r="D3622" i="106" s="1"/>
  <c r="B3568" i="106"/>
  <c r="D3568" i="106" s="1"/>
  <c r="D52" i="36"/>
  <c r="B6025" i="106"/>
  <c r="D6025" i="106" s="1"/>
  <c r="H4" i="4"/>
  <c r="G173" i="5"/>
  <c r="B5770" i="106"/>
  <c r="D5770" i="106" s="1"/>
  <c r="H367" i="29"/>
  <c r="B3660" i="106" s="1"/>
  <c r="D3660" i="106" s="1"/>
  <c r="B5214" i="106"/>
  <c r="D5214" i="106" s="1"/>
  <c r="C173" i="5"/>
  <c r="L16" i="11"/>
  <c r="B2061" i="106" s="1"/>
  <c r="D2061" i="106" s="1"/>
  <c r="B3670" i="106"/>
  <c r="D3670" i="106" s="1"/>
  <c r="K352" i="29"/>
  <c r="K367" i="29" s="1"/>
  <c r="B3649" i="106"/>
  <c r="D3649" i="106" s="1"/>
  <c r="G367" i="29"/>
  <c r="B3650" i="106" s="1"/>
  <c r="D3650" i="106" s="1"/>
  <c r="K342" i="29"/>
  <c r="F13" i="34" s="1"/>
  <c r="B1317" i="106"/>
  <c r="D1317" i="106" s="1"/>
  <c r="F275" i="5"/>
  <c r="C4" i="4"/>
  <c r="B2551" i="106" s="1"/>
  <c r="D2551" i="106" s="1"/>
  <c r="D19" i="7"/>
  <c r="B1775" i="106" s="1"/>
  <c r="D1775" i="106" s="1"/>
  <c r="B5356" i="106"/>
  <c r="D5356" i="106" s="1"/>
  <c r="D4" i="4"/>
  <c r="B2564" i="106" s="1"/>
  <c r="D2564"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D7" i="4"/>
  <c r="D275" i="5"/>
  <c r="B5507" i="106"/>
  <c r="D5507" i="106" s="1"/>
  <c r="B7298" i="106"/>
  <c r="B7299" i="106"/>
  <c r="F8" i="4" l="1"/>
  <c r="B5223" i="106"/>
  <c r="D5223" i="106" s="1"/>
  <c r="C6" i="4"/>
  <c r="B2553" i="106" s="1"/>
  <c r="D2553" i="106" s="1"/>
  <c r="B5778" i="106"/>
  <c r="D5778" i="106" s="1"/>
  <c r="G6" i="4"/>
  <c r="B2604" i="106" s="1"/>
  <c r="D2604" i="106" s="1"/>
  <c r="B2655" i="106"/>
  <c r="D2655" i="106" s="1"/>
  <c r="H8" i="4"/>
  <c r="K13" i="4"/>
  <c r="B3572" i="106" s="1"/>
  <c r="D3572" i="106" s="1"/>
  <c r="B3672" i="106"/>
  <c r="D3672" i="106" s="1"/>
  <c r="B7224" i="106"/>
  <c r="D7224" i="106" s="1"/>
  <c r="G41" i="108"/>
  <c r="G44" i="108" s="1"/>
  <c r="G45" i="108"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H10" i="4" l="1"/>
  <c r="B4127" i="106" s="1"/>
  <c r="D4127" i="106" s="1"/>
  <c r="B2658" i="106"/>
  <c r="D2658" i="106" s="1"/>
  <c r="F76" i="34"/>
  <c r="K17" i="4"/>
  <c r="K19" i="4" s="1"/>
  <c r="B4144" i="106" s="1"/>
  <c r="D4144"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K20" i="4" l="1"/>
  <c r="K78" i="4" s="1"/>
  <c r="F14" i="34"/>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D78" i="4"/>
  <c r="B2574" i="106"/>
  <c r="D2574" i="106" s="1"/>
  <c r="F8" i="146"/>
  <c r="B3576" i="106" l="1"/>
  <c r="D3576" i="106" s="1"/>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<sst xmlns="http://schemas.openxmlformats.org/spreadsheetml/2006/main" count="5058" uniqueCount="2119">
  <si>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</si>
  <si>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</si>
  <si>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</si>
  <si>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</si>
  <si>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</si>
  <si>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</si>
  <si>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</si>
  <si>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</si>
  <si>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</si>
  <si>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</si>
  <si>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</si>
  <si>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</si>
  <si>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</si>
  <si>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</si>
  <si>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</si>
  <si>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</si>
  <si>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</si>
  <si>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</si>
  <si>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</si>
  <si>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</si>
  <si>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</si>
  <si>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</si>
  <si>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</si>
  <si>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</si>
  <si>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</si>
  <si>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</si>
  <si>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</si>
  <si>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</si>
  <si>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</si>
  <si>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</si>
  <si>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</si>
  <si>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</si>
  <si>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</si>
  <si>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</si>
  <si>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</si>
  <si>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</si>
  <si>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</si>
  <si>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</si>
  <si>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</si>
  <si>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</si>
  <si>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</si>
  <si>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</si>
  <si>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</si>
  <si>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</si>
  <si>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</si>
  <si>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</si>
  <si>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</si>
  <si>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</si>
  <si>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</si>
  <si>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</si>
  <si>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</si>
  <si>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</si>
  <si>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</si>
  <si>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</si>
  <si>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</si>
  <si>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</si>
  <si>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</si>
  <si>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</si>
  <si>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</si>
  <si>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</si>
  <si>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</si>
  <si>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</si>
  <si>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</si>
  <si>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</si>
  <si>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</si>
  <si>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</si>
  <si>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</si>
  <si>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</si>
  <si>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</si>
  <si>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</si>
  <si>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</si>
  <si>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</si>
  <si>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</si>
  <si>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</si>
  <si>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</si>
  <si>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</si>
  <si>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</si>
  <si>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</si>
  <si>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</si>
  <si>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</si>
  <si>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</si>
  <si>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</si>
  <si>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</si>
  <si>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</si>
  <si>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</si>
  <si>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</si>
  <si>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</si>
  <si>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</si>
  <si>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</si>
  <si>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</si>
  <si>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</si>
  <si>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</si>
  <si>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</si>
  <si>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</si>
  <si>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</si>
  <si>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</si>
  <si>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</si>
  <si>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</si>
  <si>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</si>
  <si>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</si>
  <si>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</si>
  <si>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</si>
  <si>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</si>
  <si>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</si>
  <si>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</si>
  <si>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</si>
  <si>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</si>
  <si>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</si>
  <si>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</si>
  <si>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</si>
  <si>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</si>
  <si>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</si>
  <si>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</si>
  <si>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</si>
  <si>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</si>
  <si>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</si>
  <si>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</si>
  <si>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</si>
  <si>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</si>
  <si>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</si>
  <si>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</si>
  <si>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</si>
  <si>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</si>
  <si>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</si>
  <si>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</si>
  <si>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</si>
  <si>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</si>
  <si>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</si>
  <si>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</si>
  <si>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</si>
  <si>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</si>
  <si>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</si>
  <si>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</si>
  <si>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</si>
  <si>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</si>
  <si>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</si>
  <si>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</si>
  <si>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</si>
  <si>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</si>
  <si>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</si>
  <si>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</si>
  <si>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</si>
  <si>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</si>
  <si>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</si>
  <si>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</si>
  <si>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</si>
  <si>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</si>
  <si>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</si>
  <si>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</si>
  <si>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</si>
  <si>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</si>
  <si>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</si>
  <si>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</si>
  <si>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</si>
  <si>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</si>
  <si>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</si>
  <si>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</si>
  <si>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</si>
  <si>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</si>
  <si>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</si>
  <si>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</si>
  <si>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</si>
  <si>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</si>
  <si>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</si>
  <si>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</si>
  <si>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</si>
  <si>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</si>
  <si>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</si>
  <si>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</si>
  <si>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</si>
  <si>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</si>
  <si>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</si>
  <si>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</si>
  <si>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</si>
  <si>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</si>
  <si>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</si>
  <si>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</si>
  <si>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</si>
  <si>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</si>
  <si>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</si>
  <si>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</si>
  <si>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</si>
  <si>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</si>
  <si>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</si>
  <si>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</si>
  <si>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</si>
  <si>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</si>
  <si>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</si>
  <si>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</si>
  <si>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</si>
  <si>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</si>
  <si>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</si>
  <si>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</si>
  <si>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</si>
  <si>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</si>
  <si>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</si>
  <si>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</si>
  <si>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</si>
  <si>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</si>
  <si>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</si>
  <si>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</si>
  <si>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</si>
  <si>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</si>
  <si>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</si>
  <si>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</si>
  <si>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</si>
  <si>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</si>
  <si>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</si>
  <si>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</si>
  <si>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</si>
  <si>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</si>
  <si>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</si>
  <si>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</si>
  <si>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</si>
  <si>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</si>
  <si>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</si>
  <si>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</si>
  <si>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</si>
  <si>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</si>
  <si>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</si>
  <si>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</si>
  <si>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</si>
  <si>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</si>
  <si>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</si>
  <si>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</si>
  <si>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</si>
  <si>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</si>
  <si>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</si>
  <si>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</si>
  <si>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</si>
  <si>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</si>
  <si>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</si>
  <si>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</si>
  <si>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</si>
  <si>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</si>
  <si>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</si>
  <si>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</si>
  <si>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</si>
  <si>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</si>
  <si>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</si>
  <si>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</si>
  <si>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</si>
  <si>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</si>
  <si>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</si>
  <si>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</si>
  <si>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</si>
  <si>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</si>
  <si>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</si>
  <si>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</si>
  <si>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</si>
  <si>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</si>
  <si>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</si>
  <si>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</si>
  <si>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</si>
  <si>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</si>
  <si>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</si>
  <si>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</si>
  <si>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</si>
  <si>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</si>
  <si>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</si>
  <si>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</si>
  <si>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</si>
  <si>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</si>
  <si>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</si>
  <si>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</si>
  <si>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</si>
  <si>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</si>
  <si>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</si>
  <si>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</si>
  <si>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</si>
  <si>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</si>
  <si>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</si>
  <si>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</si>
  <si>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</si>
  <si>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</si>
  <si>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</si>
  <si>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</si>
  <si>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</si>
  <si>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</si>
  <si>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</si>
  <si>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</si>
  <si>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</si>
  <si>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</si>
  <si>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</si>
  <si>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</si>
  <si>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</si>
  <si>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</si>
  <si>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</si>
  <si>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</si>
  <si>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</si>
  <si>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</si>
  <si>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</si>
  <si>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</si>
  <si>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</si>
  <si>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</si>
  <si>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</si>
  <si>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</si>
  <si>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</si>
  <si>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</si>
  <si>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</si>
  <si>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</si>
  <si>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</si>
  <si>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</si>
  <si>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</si>
  <si>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</si>
  <si>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</si>
  <si>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</si>
  <si>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</si>
  <si>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</si>
  <si>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</si>
  <si>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</si>
  <si>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</si>
  <si>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</si>
  <si>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</si>
  <si>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</si>
  <si>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</si>
  <si>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</si>
  <si>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</si>
  <si>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</si>
  <si>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</si>
  <si>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</si>
  <si>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</si>
  <si>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</si>
  <si>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</si>
  <si>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</si>
  <si>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</si>
  <si>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</si>
  <si>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</si>
  <si>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</si>
  <si>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</si>
  <si>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</si>
  <si>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</si>
  <si>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</si>
  <si>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</si>
  <si>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</si>
  <si>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</si>
  <si>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</si>
  <si>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</si>
  <si>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</si>
  <si>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</si>
  <si>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</si>
  <si>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</si>
  <si>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</si>
  <si>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</si>
  <si>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</si>
  <si>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</si>
  <si>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</si>
  <si>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</si>
  <si>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</si>
  <si>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</si>
  <si>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</si>
  <si>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</si>
  <si>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</si>
  <si>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</si>
  <si>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</si>
  <si>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</si>
  <si>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</si>
  <si>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</si>
  <si>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</si>
  <si>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</si>
  <si>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</si>
  <si>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</si>
  <si>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</si>
  <si>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</si>
  <si>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</si>
  <si>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</si>
  <si>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</si>
  <si>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</si>
  <si>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</si>
  <si>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</si>
  <si>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</si>
  <si>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</si>
  <si>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</si>
  <si>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</si>
  <si>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</si>
  <si>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</si>
  <si>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</si>
  <si>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</si>
  <si>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</si>
  <si>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</si>
  <si>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</si>
  <si>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</si>
  <si>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</si>
  <si>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</si>
  <si>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</si>
  <si>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</si>
  <si>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</si>
  <si>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</si>
  <si>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</si>
  <si>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</si>
  <si>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</si>
  <si>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</si>
  <si>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</si>
  <si>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</si>
  <si>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</si>
  <si>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</si>
  <si>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</si>
  <si>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</si>
  <si>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</si>
  <si>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</si>
  <si>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</si>
  <si>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</si>
  <si>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</si>
  <si>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</si>
  <si>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</si>
  <si>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</si>
  <si>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</si>
  <si>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</si>
  <si>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</si>
  <si>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</si>
  <si>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</si>
  <si>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</si>
  <si>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</si>
  <si>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</si>
  <si>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</si>
  <si>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</si>
  <si>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</si>
  <si>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</si>
  <si>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</si>
  <si>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</si>
  <si>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</si>
  <si>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</si>
  <si>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</si>
  <si>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</si>
  <si>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</si>
  <si>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</si>
  <si>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</si>
  <si>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</si>
  <si>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</si>
  <si>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</si>
  <si>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</si>
  <si>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</si>
  <si>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</si>
  <si>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</si>
  <si>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</si>
  <si>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</si>
  <si>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</si>
  <si>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</si>
  <si>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</si>
  <si>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</si>
  <si>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</si>
  <si>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</si>
  <si>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</si>
  <si>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</si>
  <si>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</si>
  <si>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</si>
  <si>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</si>
  <si>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</si>
  <si>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</si>
  <si>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</si>
  <si>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</si>
  <si>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</si>
  <si>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</si>
  <si>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</si>
  <si>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</si>
  <si>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</si>
  <si>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</si>
  <si>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</si>
  <si>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</si>
  <si>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</si>
  <si>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</si>
  <si>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</si>
  <si>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</si>
  <si>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</si>
  <si>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</si>
  <si>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</si>
  <si>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</si>
  <si>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</si>
  <si>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</si>
  <si>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</si>
  <si>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</si>
  <si>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</si>
  <si>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</si>
  <si>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</si>
  <si>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</si>
  <si>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</si>
  <si>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</si>
  <si>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</si>
  <si>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</si>
  <si>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</si>
  <si>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</si>
  <si>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</si>
  <si>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</si>
  <si>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</si>
  <si>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</si>
  <si>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</si>
  <si>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</si>
  <si>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</si>
  <si>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</si>
  <si>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</si>
  <si>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</si>
  <si>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</si>
  <si>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</si>
  <si>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</si>
  <si>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</si>
  <si>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</si>
  <si>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</si>
  <si>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</si>
  <si>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</si>
  <si>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</si>
  <si>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</si>
  <si>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</si>
  <si>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</si>
  <si>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</si>
  <si>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</si>
  <si>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</si>
  <si>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</si>
  <si>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</si>
  <si>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</si>
  <si>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</si>
  <si>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</si>
  <si>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</si>
  <si>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</si>
  <si>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</si>
  <si>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</si>
  <si>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</si>
  <si>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</si>
  <si>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</si>
  <si>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</si>
  <si>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</si>
  <si>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</si>
  <si>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</si>
  <si>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</si>
  <si>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</si>
  <si>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</si>
  <si>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</si>
  <si>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</si>
  <si>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</si>
  <si>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</si>
  <si>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</si>
  <si>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</si>
  <si>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</si>
  <si>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</si>
  <si>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</si>
  <si>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</si>
  <si>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</si>
  <si>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</si>
  <si>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</si>
  <si>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</si>
  <si>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</si>
  <si>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</si>
  <si>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</si>
  <si>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</si>
  <si>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</si>
  <si>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</si>
  <si>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</si>
  <si>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</si>
  <si>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</si>
  <si>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</si>
  <si>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</si>
  <si>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</si>
  <si>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</si>
  <si>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</si>
  <si>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</si>
  <si>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</si>
  <si>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</si>
  <si>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</si>
  <si>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</si>
  <si>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</si>
  <si>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</si>
  <si>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</si>
  <si>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</si>
  <si>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</si>
  <si>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</si>
  <si>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</si>
  <si>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</si>
  <si>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</si>
  <si>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</si>
  <si>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</si>
  <si>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</si>
  <si>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</si>
  <si>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</si>
  <si>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</si>
  <si>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</si>
  <si>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</si>
  <si>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</si>
  <si>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</si>
  <si>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</si>
  <si>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</si>
  <si>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</si>
  <si>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</si>
  <si>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</si>
  <si>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</si>
  <si>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</si>
  <si>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</si>
  <si>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</si>
  <si>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</si>
  <si>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</si>
  <si>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</si>
  <si>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</si>
  <si>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</si>
  <si>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</si>
  <si>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</si>
  <si>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</si>
  <si>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</si>
  <si>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</si>
  <si>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</si>
  <si>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</si>
  <si>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</si>
  <si>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</si>
  <si>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</si>
  <si>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</si>
  <si>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</si>
  <si>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</si>
  <si>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</si>
  <si>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</si>
  <si>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</si>
  <si>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</si>
  <si>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</si>
  <si>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</si>
  <si>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</si>
  <si>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</si>
  <si>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</si>
  <si>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</si>
  <si>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</si>
  <si>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</si>
  <si>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</si>
  <si>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</si>
  <si>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</si>
  <si>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</si>
  <si>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</si>
  <si>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</si>
  <si>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</si>
  <si>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</si>
  <si>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</si>
  <si>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</si>
  <si>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</si>
  <si>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</si>
  <si>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</si>
  <si>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</si>
  <si>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</si>
  <si>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</si>
  <si>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</si>
  <si>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</si>
  <si>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</si>
  <si>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</si>
  <si>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</si>
  <si>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</si>
  <si>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</si>
  <si>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</si>
  <si>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</si>
  <si>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</si>
  <si>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</si>
  <si>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</si>
  <si>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</si>
  <si>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</si>
  <si>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</si>
  <si>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</si>
  <si>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</si>
  <si>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</si>
  <si>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</si>
  <si>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</si>
  <si>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</si>
  <si>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</si>
  <si>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</si>
  <si>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</si>
  <si>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</si>
  <si>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</si>
  <si>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</si>
  <si>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</si>
  <si>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</si>
  <si>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</si>
  <si>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</si>
  <si>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</si>
  <si>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</si>
  <si>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</si>
  <si>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</si>
  <si>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</si>
  <si>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</si>
  <si>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</si>
  <si>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</si>
  <si>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</si>
  <si>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</si>
  <si>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</si>
  <si>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</si>
  <si>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</si>
  <si>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</si>
  <si>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</si>
  <si>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</si>
  <si>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</si>
  <si>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</si>
  <si>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</si>
  <si>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</si>
  <si>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</si>
  <si>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</si>
  <si>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</si>
  <si>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</si>
  <si>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</si>
  <si>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</si>
  <si>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</si>
  <si>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</si>
  <si>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</si>
  <si>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</si>
  <si>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</si>
  <si>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</si>
  <si>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</si>
  <si>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</si>
  <si>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</si>
  <si>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</si>
  <si>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</si>
  <si>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</si>
  <si>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</si>
  <si>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</si>
  <si>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</si>
  <si>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</si>
  <si>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</si>
  <si>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</si>
  <si>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</si>
  <si>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</si>
  <si>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</si>
  <si>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</si>
  <si>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</si>
  <si>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</si>
  <si>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</si>
  <si>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</si>
  <si>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</si>
  <si>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</si>
  <si>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</si>
  <si>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</si>
  <si>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</si>
  <si>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</si>
  <si>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</si>
  <si>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</si>
  <si>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</si>
  <si>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</si>
  <si>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</si>
  <si>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</si>
  <si>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</si>
  <si>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</si>
  <si>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</si>
  <si>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</si>
  <si>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</si>
  <si>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</si>
  <si>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</si>
  <si>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</si>
  <si>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</si>
  <si>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</si>
  <si>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</si>
  <si>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</si>
  <si>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</si>
  <si>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</si>
  <si>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</si>
  <si>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</si>
  <si>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</si>
  <si>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</si>
  <si>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</si>
  <si>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</si>
  <si>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</si>
  <si>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</si>
  <si>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</si>
  <si>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</si>
  <si>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</si>
  <si>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</si>
  <si>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</si>
  <si>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</si>
  <si>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</si>
  <si>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</si>
  <si>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</si>
  <si>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</si>
  <si>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</si>
  <si>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</si>
  <si>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</si>
  <si>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</si>
  <si>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</si>
  <si>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</si>
  <si>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</si>
  <si>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</si>
  <si>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</si>
  <si>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</si>
  <si>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</si>
  <si>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</si>
  <si>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</si>
  <si>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</si>
  <si>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</si>
  <si>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</si>
  <si>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</si>
  <si>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</si>
  <si>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</si>
  <si>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</si>
  <si>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</si>
  <si>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</si>
  <si>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</si>
  <si>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</si>
  <si>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</si>
  <si>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</si>
  <si>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</si>
  <si>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</si>
  <si>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</si>
  <si>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</si>
  <si>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</si>
  <si>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</si>
  <si>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</si>
  <si>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</si>
  <si>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</si>
  <si>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</si>
  <si>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</si>
  <si>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</si>
  <si>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</si>
  <si>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</si>
  <si>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</si>
  <si>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</si>
  <si>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</si>
  <si>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</si>
  <si>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</si>
  <si>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</si>
  <si>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</si>
  <si>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</si>
  <si>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</si>
  <si>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</si>
  <si>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</si>
  <si>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</si>
  <si>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</si>
  <si>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</si>
  <si>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</si>
  <si>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</si>
  <si>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</si>
  <si>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</si>
  <si>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</si>
  <si>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</si>
  <si>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</si>
  <si>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</si>
  <si>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</si>
  <si>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</si>
  <si>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</si>
  <si>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</si>
  <si>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</si>
  <si>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</si>
  <si>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</si>
  <si>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</si>
  <si>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</si>
  <si>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</si>
  <si>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</si>
  <si>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</si>
  <si>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</si>
  <si>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</si>
  <si>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</si>
  <si>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</si>
  <si>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</si>
  <si>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</si>
  <si>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</si>
  <si>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</si>
  <si>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</si>
  <si>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</si>
  <si>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</si>
  <si>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</si>
  <si>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</si>
  <si>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</si>
  <si>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</si>
  <si>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</si>
  <si>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</si>
  <si>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</si>
  <si>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</si>
  <si>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</si>
  <si>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</si>
  <si>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</si>
  <si>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</si>
  <si>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</si>
  <si>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</si>
  <si>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</si>
  <si>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</si>
  <si>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</si>
  <si>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</si>
  <si>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</si>
  <si>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</si>
  <si>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</si>
  <si>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</si>
  <si>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</si>
  <si>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</si>
  <si>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</si>
  <si>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</si>
  <si>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</si>
  <si>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</si>
  <si>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</si>
  <si>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</si>
  <si>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</si>
  <si>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</si>
  <si>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</si>
  <si>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</si>
  <si>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</si>
  <si>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</si>
  <si>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</si>
  <si>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</si>
  <si>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</si>
  <si>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</si>
  <si>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</si>
  <si>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</si>
  <si>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</si>
  <si>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</si>
  <si>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</si>
  <si>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</si>
  <si>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</si>
  <si>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</si>
  <si>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</si>
  <si>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</si>
  <si>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</si>
  <si>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</si>
  <si>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</si>
  <si>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</si>
  <si>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</si>
  <si>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</si>
  <si>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</si>
  <si>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</si>
  <si>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</si>
  <si>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</si>
  <si>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</si>
  <si>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</si>
  <si>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</si>
  <si>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</si>
  <si>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</si>
  <si>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</si>
  <si>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</si>
  <si>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</si>
  <si>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</si>
  <si>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</si>
  <si>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</si>
  <si>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</si>
  <si>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</si>
  <si>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</si>
  <si>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</si>
  <si>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</si>
  <si>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</si>
  <si>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</si>
  <si>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</si>
  <si>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</si>
  <si>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</si>
  <si>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</si>
  <si>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</si>
  <si>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</si>
  <si>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</si>
  <si>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</si>
  <si>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</si>
  <si>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</si>
  <si>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</si>
  <si>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</si>
  <si>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</si>
  <si>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</si>
  <si>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</si>
  <si>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</si>
  <si>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</si>
  <si>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</si>
  <si>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</si>
  <si>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</si>
  <si>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</si>
  <si>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</si>
  <si>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</si>
  <si>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</si>
  <si>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</si>
  <si>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</si>
  <si>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</si>
  <si>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</si>
  <si>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</si>
  <si>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</si>
  <si>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</si>
  <si>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</si>
  <si>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</si>
  <si>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</si>
  <si>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</si>
  <si>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</si>
  <si>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</si>
  <si>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</si>
  <si>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</si>
  <si>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</si>
  <si>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</si>
  <si>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</si>
  <si>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</si>
  <si>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</si>
  <si>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</si>
  <si>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</si>
  <si>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</si>
  <si>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</si>
  <si>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</si>
  <si>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</si>
  <si>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</si>
  <si>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</si>
  <si>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</si>
  <si>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</si>
  <si>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</si>
  <si>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</si>
  <si>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</si>
  <si>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</si>
  <si>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</si>
  <si>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</si>
  <si>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</si>
  <si>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</si>
  <si>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</si>
  <si>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</si>
  <si>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</si>
  <si>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</si>
  <si>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</si>
  <si>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</si>
  <si>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</si>
  <si>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</si>
  <si>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</si>
  <si>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</si>
  <si>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</si>
  <si>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</si>
  <si>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</si>
  <si>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</si>
  <si>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</si>
  <si>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</si>
  <si>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</si>
  <si>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</si>
  <si>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</si>
  <si>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</si>
  <si>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</si>
  <si>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</si>
  <si>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</si>
  <si>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</si>
  <si>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</si>
  <si>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</si>
  <si>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</si>
  <si>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</si>
  <si>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</si>
  <si>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</si>
  <si>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</si>
  <si>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</si>
  <si>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</si>
  <si>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</si>
  <si>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</si>
  <si>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</si>
  <si>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</si>
  <si>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</si>
  <si>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</si>
  <si>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</si>
  <si>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</si>
  <si>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</si>
  <si>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</si>
  <si>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</si>
  <si>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</si>
  <si>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</si>
  <si>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</si>
  <si>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</si>
  <si>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</si>
  <si>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</si>
  <si>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</si>
  <si>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</si>
  <si>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</si>
  <si>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</si>
  <si>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</si>
  <si>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</si>
  <si>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</si>
  <si>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</si>
  <si>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</si>
  <si>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</si>
  <si>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</si>
  <si>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</si>
  <si>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</si>
  <si>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</si>
  <si>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</si>
  <si>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</si>
  <si>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</si>
  <si>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</si>
  <si>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</si>
  <si>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</si>
  <si>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</si>
  <si>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</si>
  <si>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</si>
  <si>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</si>
  <si>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</si>
  <si>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</si>
  <si>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</si>
  <si>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</si>
  <si>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</si>
  <si>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</si>
  <si>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</si>
  <si>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</si>
  <si>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</si>
  <si>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</si>
  <si>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</si>
  <si>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</si>
  <si>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</si>
  <si>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</si>
  <si>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</si>
  <si>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</si>
  <si>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</si>
  <si>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</si>
  <si>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</si>
  <si>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</si>
  <si>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</si>
  <si>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</si>
  <si>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</si>
  <si>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</si>
  <si>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</si>
  <si>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</si>
  <si>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</si>
  <si>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</si>
  <si>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</si>
  <si>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</si>
  <si>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</si>
  <si>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</si>
  <si>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</si>
  <si>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</si>
  <si>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</si>
  <si>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</si>
  <si>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</si>
  <si>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</si>
  <si>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</si>
  <si>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</si>
  <si>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</si>
  <si>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</si>
  <si>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</si>
  <si>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</si>
  <si>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</si>
  <si>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</si>
  <si>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</si>
  <si>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</si>
  <si>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</si>
  <si>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</si>
  <si>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</si>
  <si>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</si>
  <si>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</si>
  <si>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</si>
  <si>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</si>
  <si>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</si>
  <si>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</si>
  <si>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</si>
  <si>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</si>
  <si>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</si>
  <si>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</si>
  <si>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</si>
  <si>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</si>
  <si>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</si>
  <si>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</si>
  <si>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</si>
  <si>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</si>
  <si>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</si>
  <si>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</si>
  <si>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</si>
  <si>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</si>
  <si>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</si>
  <si>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</si>
  <si>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</si>
  <si>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</si>
  <si>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</si>
  <si>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</si>
  <si>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</si>
  <si>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</si>
  <si>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</si>
  <si>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</si>
  <si>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</si>
  <si>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</si>
  <si>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</si>
  <si>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</si>
  <si>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</si>
  <si>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</si>
  <si>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</si>
  <si>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</si>
  <si>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</si>
  <si>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</si>
  <si>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</si>
  <si>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</si>
  <si>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</si>
  <si>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</si>
  <si>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</si>
  <si>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</si>
  <si>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</si>
  <si>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</si>
  <si>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</si>
  <si>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</si>
  <si>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</si>
  <si>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</si>
  <si>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</si>
  <si>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</si>
  <si>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</si>
  <si>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</si>
  <si>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</si>
  <si>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</si>
  <si>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</si>
  <si>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</si>
  <si>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</si>
  <si>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</si>
  <si>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</si>
  <si>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</si>
  <si>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</si>
  <si>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</si>
  <si>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</si>
  <si>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</si>
  <si>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</si>
  <si>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</si>
  <si>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</si>
  <si>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</si>
  <si>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</si>
  <si>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</si>
  <si>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</si>
  <si>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</si>
  <si>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</si>
  <si>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</si>
  <si>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</si>
  <si>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</si>
  <si>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</si>
  <si>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</si>
  <si>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</si>
  <si>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</si>
  <si>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</si>
  <si>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</si>
  <si>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</si>
  <si>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</si>
  <si>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</si>
  <si>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</si>
  <si>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</si>
  <si>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</si>
  <si>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</si>
  <si>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</si>
  <si>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</si>
  <si>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</si>
  <si>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</si>
  <si>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</si>
  <si>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</si>
  <si>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</si>
  <si>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</si>
  <si>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</si>
  <si>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</si>
  <si>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</si>
  <si>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</si>
  <si>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</si>
  <si>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</si>
  <si>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</si>
  <si>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</si>
  <si>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</si>
  <si>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</si>
  <si>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</si>
  <si>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</si>
  <si>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</si>
  <si>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</si>
  <si>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</si>
  <si>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</si>
  <si>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</si>
  <si>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</si>
  <si>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</si>
  <si>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</si>
  <si>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</si>
  <si>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</si>
  <si>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</si>
  <si>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</si>
  <si>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</si>
  <si>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</si>
  <si>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</si>
  <si>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</si>
  <si>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</si>
  <si>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</si>
  <si>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</si>
  <si>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</si>
  <si>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</si>
  <si>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</si>
  <si>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</si>
  <si>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</si>
  <si>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</si>
  <si>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</si>
  <si>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</si>
  <si>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</si>
  <si>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</si>
  <si>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</si>
  <si>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</si>
  <si>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</si>
  <si>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</si>
  <si>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</si>
  <si>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</si>
  <si>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</si>
  <si>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</si>
  <si>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</si>
  <si>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</si>
  <si>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</si>
  <si>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</si>
  <si>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</si>
  <si>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</si>
  <si>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</si>
  <si>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</si>
  <si>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</si>
  <si>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</si>
  <si>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</si>
  <si>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</si>
  <si>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</si>
  <si>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</si>
  <si>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</si>
  <si>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</si>
  <si>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</si>
  <si>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</si>
  <si>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</si>
  <si>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</si>
  <si>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</si>
  <si>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</si>
  <si>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</si>
  <si>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</si>
  <si>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</si>
  <si>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</si>
  <si>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</si>
  <si>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</si>
  <si>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</si>
  <si>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</si>
  <si>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</si>
  <si>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</si>
  <si>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</si>
  <si>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</si>
  <si>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</si>
  <si>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</si>
  <si>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</si>
  <si>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</si>
  <si>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</si>
  <si>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</si>
  <si>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</si>
  <si>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</si>
  <si>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</si>
  <si>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</si>
  <si>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</si>
  <si>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</si>
  <si>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</si>
  <si>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</si>
  <si>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</si>
  <si>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</si>
  <si>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</si>
  <si>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</si>
  <si>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</si>
  <si>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</si>
  <si>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</si>
  <si>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</si>
  <si>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</si>
  <si>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</si>
  <si>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</si>
  <si>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</si>
  <si>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</si>
  <si>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</si>
  <si>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</si>
  <si>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</si>
  <si>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</si>
  <si>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</si>
  <si>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</si>
  <si>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</si>
  <si>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</si>
  <si>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</si>
  <si>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</si>
  <si>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</si>
  <si>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</si>
  <si>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</si>
  <si>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</si>
  <si>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</si>
  <si>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</si>
  <si>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</si>
  <si>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</si>
  <si>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</si>
  <si>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</si>
  <si>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</si>
  <si>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</si>
  <si>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</si>
  <si>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</si>
  <si>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</si>
  <si>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</si>
  <si>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</si>
  <si>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</si>
  <si>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</si>
  <si>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</si>
  <si>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</si>
  <si>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</si>
  <si>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</si>
  <si>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</si>
  <si>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</si>
  <si>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</si>
  <si>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</si>
  <si>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</si>
  <si>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</si>
  <si>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</si>
  <si>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</si>
  <si>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</si>
  <si>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</si>
  <si>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</si>
  <si>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</si>
  <si>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</si>
  <si>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</si>
  <si>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</si>
  <si>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</si>
  <si>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</si>
  <si>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</si>
  <si>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</si>
  <si>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</si>
  <si>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</si>
  <si>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</si>
  <si>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</si>
  <si>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</si>
  <si>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</si>
  <si>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</si>
  <si>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</si>
  <si>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</si>
  <si>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</si>
  <si>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</si>
  <si>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</si>
  <si>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</si>
  <si>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</si>
  <si>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</si>
  <si>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</si>
  <si>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</si>
  <si>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</si>
  <si>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</si>
  <si>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</si>
  <si>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</si>
  <si>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</si>
  <si>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</si>
  <si>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</si>
  <si>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</si>
  <si>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</si>
  <si>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</si>
  <si>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</si>
  <si>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</si>
  <si>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</si>
  <si>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</si>
  <si>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</si>
  <si>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</si>
  <si>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</si>
  <si>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</si>
  <si>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</si>
  <si>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</si>
  <si>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</si>
  <si>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</si>
  <si>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</si>
  <si>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</si>
  <si>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</si>
  <si>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</si>
  <si>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</si>
  <si>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</si>
  <si>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</si>
  <si>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</si>
  <si>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</si>
  <si>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</si>
  <si>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</si>
  <si>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</si>
  <si>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</si>
  <si>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</si>
  <si>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</si>
  <si>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</si>
  <si>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</si>
  <si>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</si>
  <si>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</si>
  <si>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</si>
  <si>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</si>
  <si>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</si>
  <si>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</si>
  <si>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</si>
  <si>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</si>
  <si>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</si>
  <si>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</si>
  <si>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</si>
  <si>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</si>
  <si>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</si>
  <si>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</si>
  <si>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</si>
  <si>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</si>
  <si>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</si>
  <si>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</si>
  <si>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</si>
  <si>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</si>
  <si>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</si>
  <si>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</si>
  <si>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</si>
  <si>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</si>
  <si>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</si>
  <si>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</si>
  <si>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</si>
  <si>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</si>
  <si>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</si>
  <si>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</si>
  <si>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</si>
  <si>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</si>
  <si>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</si>
  <si>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</si>
  <si>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</si>
  <si>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</si>
  <si>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</si>
  <si>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</si>
  <si>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</si>
  <si>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</si>
  <si>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</si>
  <si>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</si>
  <si>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</si>
  <si>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</si>
  <si>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</si>
  <si>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</si>
  <si>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</si>
  <si>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</si>
  <si>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</si>
  <si>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</si>
  <si>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</si>
  <si>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</si>
  <si>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</si>
  <si>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</si>
  <si>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</si>
  <si>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</si>
  <si>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</si>
  <si>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</si>
  <si>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</si>
  <si>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</si>
  <si>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</si>
  <si>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</si>
  <si>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</si>
  <si>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</si>
  <si>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</si>
  <si>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</si>
  <si>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</si>
  <si>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</si>
  <si>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</si>
  <si>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</si>
  <si>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</si>
  <si>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</si>
  <si>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</si>
  <si>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</si>
  <si>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</si>
  <si>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</si>
  <si>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</si>
  <si>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</si>
  <si>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</si>
  <si>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</si>
  <si>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</si>
  <si>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</si>
  <si>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</si>
  <si>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</si>
  <si>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</si>
  <si>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</si>
  <si>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</si>
  <si>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</si>
  <si>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</si>
  <si>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</si>
  <si>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</si>
  <si>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</si>
  <si>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</si>
  <si>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</si>
  <si>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</si>
  <si>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</si>
  <si>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</si>
  <si>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</si>
  <si>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</si>
  <si>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</si>
  <si>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</si>
  <si>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</si>
  <si>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</si>
  <si>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</si>
  <si>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</si>
  <si>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</si>
  <si>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</si>
  <si>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</si>
  <si>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</si>
  <si>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</si>
  <si>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</si>
  <si>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</si>
  <si>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</si>
  <si>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</si>
  <si>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</si>
  <si>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</si>
  <si>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</si>
  <si>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</si>
  <si>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</si>
  <si>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</si>
  <si>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</si>
  <si>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</si>
  <si>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</si>
  <si>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</si>
  <si>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</si>
  <si>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</si>
  <si>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</si>
  <si>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</si>
  <si>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</si>
  <si>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</si>
  <si>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</si>
  <si>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</si>
  <si>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</si>
  <si>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</si>
  <si>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</si>
  <si>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</si>
  <si>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</si>
  <si>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</si>
  <si>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</si>
  <si>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</si>
  <si>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</si>
  <si>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</si>
  <si>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</si>
  <si>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</si>
  <si>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</si>
  <si>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</si>
  <si>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</si>
  <si>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</si>
  <si>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</si>
  <si>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</si>
  <si>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</si>
  <si>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</si>
  <si>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</si>
  <si>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</si>
  <si>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</si>
  <si>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</si>
  <si>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</si>
  <si>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</si>
  <si>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</si>
  <si>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</si>
  <si>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</si>
  <si>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</si>
  <si>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</si>
  <si>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</si>
  <si>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</si>
  <si>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</si>
  <si>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</si>
  <si>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</si>
  <si>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</si>
  <si>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</si>
  <si>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</si>
  <si>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</si>
  <si>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</si>
  <si>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</si>
  <si>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</si>
  <si>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</si>
  <si>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</si>
  <si>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</si>
  <si>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</si>
  <si>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</si>
  <si>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</si>
  <si>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</si>
  <si>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</si>
  <si>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</si>
  <si>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</si>
  <si>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</si>
  <si>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</si>
  <si>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</si>
  <si>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</si>
  <si>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</si>
  <si>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</si>
  <si>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</si>
  <si>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</si>
  <si>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</si>
  <si>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</si>
  <si>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</si>
  <si>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</si>
  <si>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</si>
  <si>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</si>
  <si>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</si>
  <si>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</si>
  <si>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</si>
  <si>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</si>
  <si>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</si>
  <si>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</si>
  <si>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</si>
  <si>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</si>
  <si>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</si>
  <si>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</si>
  <si>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</si>
  <si>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</si>
  <si>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</si>
  <si>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</si>
  <si>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</si>
  <si>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</si>
  <si>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</si>
  <si>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</si>
  <si>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</si>
  <si>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</si>
  <si>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</si>
  <si>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</si>
  <si>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</si>
  <si>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</si>
  <si>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</si>
  <si>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</si>
  <si>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</si>
  <si>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</si>
  <si>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</si>
  <si>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</si>
  <si>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</si>
  <si>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</si>
  <si>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</si>
  <si>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</si>
  <si>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</si>
  <si>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</si>
  <si>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</si>
  <si>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</si>
  <si>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</si>
  <si>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</si>
  <si>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</si>
  <si>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</si>
  <si>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</si>
  <si>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</si>
  <si>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</si>
  <si>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</si>
  <si>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</si>
  <si>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</si>
  <si>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</si>
  <si>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</si>
  <si>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</si>
  <si>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</si>
  <si>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</si>
  <si>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</si>
  <si>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</si>
  <si>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</si>
  <si>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</si>
  <si>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</si>
  <si>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</si>
  <si>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</si>
  <si>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</si>
  <si>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</si>
  <si>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</si>
  <si>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</si>
  <si>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</si>
  <si>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</si>
  <si>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</si>
  <si>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</si>
  <si>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</si>
  <si>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</si>
  <si>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</si>
  <si>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</si>
  <si>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</si>
  <si>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</si>
  <si>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</si>
  <si>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</si>
  <si>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</si>
  <si>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</si>
  <si>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</si>
  <si>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</si>
  <si>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</si>
  <si>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</si>
  <si>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</si>
  <si>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</si>
  <si>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</si>
  <si>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</si>
  <si>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</si>
  <si>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</si>
  <si>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</si>
  <si>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</si>
  <si>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</si>
  <si>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</si>
  <si>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</si>
  <si>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</si>
  <si>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</si>
  <si>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</si>
  <si>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</si>
  <si>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</si>
  <si>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</si>
  <si>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</si>
  <si>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</si>
  <si>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</si>
  <si>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</si>
  <si>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</si>
  <si>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</si>
  <si>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</si>
  <si>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</si>
  <si>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</si>
  <si>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</si>
  <si>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</si>
  <si>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</si>
  <si>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</si>
  <si>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</si>
  <si>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</si>
  <si>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</si>
  <si>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</si>
  <si>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</si>
  <si>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</si>
  <si>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</si>
  <si>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</si>
  <si>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</si>
  <si>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</si>
  <si>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</si>
  <si>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</si>
  <si>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</si>
  <si>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</si>
  <si>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</si>
  <si>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</si>
  <si>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</si>
  <si>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</si>
  <si>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</si>
  <si>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</si>
  <si>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</si>
  <si>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</si>
  <si>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</si>
  <si>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</si>
  <si>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</si>
  <si>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</si>
  <si>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</si>
  <si>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</si>
  <si>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</si>
  <si>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</si>
  <si>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</si>
  <si>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</si>
  <si>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</si>
  <si>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</si>
  <si>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</si>
  <si>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</si>
  <si>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</si>
  <si>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</si>
  <si>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</si>
  <si>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</si>
  <si>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</si>
  <si>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</si>
  <si>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</si>
  <si>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</si>
  <si>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</si>
  <si>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</si>
  <si>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</si>
  <si>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</si>
  <si>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</si>
  <si>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</si>
  <si>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</si>
  <si>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</si>
  <si>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</si>
  <si>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</si>
  <si>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</si>
  <si>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</si>
  <si>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</si>
  <si>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</si>
  <si>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</si>
  <si>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</si>
  <si>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</si>
  <si>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</si>
  <si>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</si>
  <si>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</si>
  <si>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</si>
  <si>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</si>
  <si>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</si>
  <si>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</si>
  <si>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</si>
  <si>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</si>
  <si>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</si>
  <si>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</si>
  <si>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</si>
  <si>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</si>
  <si>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</si>
  <si>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</si>
  <si>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</si>
  <si>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</si>
  <si>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</si>
  <si>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</si>
  <si>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</si>
  <si>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</si>
  <si>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</si>
  <si>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</si>
  <si>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</si>
  <si>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</si>
  <si>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</si>
  <si>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</si>
  <si>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</si>
  <si>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</si>
  <si>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</si>
  <si>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</si>
  <si>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</si>
  <si>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</si>
  <si>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</si>
  <si>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</si>
  <si>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</si>
  <si>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</si>
  <si>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</si>
  <si>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</si>
  <si>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</si>
  <si>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</si>
  <si>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</si>
  <si>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</si>
  <si>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</si>
  <si>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</si>
  <si>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</si>
  <si>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</si>
  <si>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</si>
  <si>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</si>
  <si>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</si>
  <si>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</si>
  <si>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</si>
  <si>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</si>
  <si>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</si>
  <si>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</si>
  <si>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</si>
  <si>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</si>
  <si>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</si>
  <si>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</si>
  <si>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</si>
  <si>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</si>
  <si>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</si>
  <si>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</si>
  <si>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</si>
  <si>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</si>
  <si>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</si>
  <si>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</si>
  <si>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</si>
  <si>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</si>
  <si>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</si>
  <si>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</si>
  <si>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</si>
  <si>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</si>
  <si>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</si>
  <si>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</si>
  <si>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</si>
  <si>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</si>
  <si>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</si>
  <si>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</si>
  <si>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</si>
  <si>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</si>
  <si>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</si>
  <si>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</si>
  <si>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</si>
  <si>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</si>
  <si>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</si>
  <si>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</si>
  <si>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</si>
  <si>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</si>
  <si>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</si>
  <si>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</si>
  <si>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</si>
  <si>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</si>
  <si>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</si>
  <si>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</si>
  <si>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</si>
  <si>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</si>
  <si>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</si>
  <si>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</si>
  <si>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</si>
  <si>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</si>
  <si>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</si>
  <si>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</si>
  <si>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</si>
  <si>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</si>
  <si>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</si>
  <si>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</si>
  <si>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</si>
  <si>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</si>
  <si>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</si>
  <si>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</si>
  <si>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</si>
  <si>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</si>
  <si>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</si>
  <si>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</si>
  <si>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</si>
  <si>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</si>
  <si>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</si>
  <si>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</si>
  <si>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</si>
  <si>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</si>
  <si>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</si>
  <si>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</si>
  <si>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</si>
  <si>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</si>
  <si>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</si>
  <si>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</si>
  <si>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</si>
  <si>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</si>
  <si>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</si>
  <si>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</si>
  <si>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</si>
  <si>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</si>
  <si>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</si>
  <si>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</si>
  <si>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</si>
  <si>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</si>
  <si>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</si>
  <si>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</si>
  <si>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</si>
  <si>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</si>
  <si>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</si>
  <si>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</si>
  <si>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</si>
  <si>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</si>
  <si>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</si>
  <si>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</si>
  <si>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</si>
  <si>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</si>
  <si>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</si>
  <si>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</si>
  <si>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</si>
  <si>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</si>
  <si>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</si>
  <si>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</si>
  <si>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</si>
  <si>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</si>
  <si>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</si>
  <si>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</si>
  <si>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</si>
  <si>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</si>
  <si>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</si>
  <si>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</si>
  <si>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</si>
  <si>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</si>
  <si>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</si>
  <si>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</si>
  <si>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</si>
  <si>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</si>
  <si>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</si>
  <si>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</si>
  <si>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</si>
  <si>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</si>
  <si>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</si>
  <si>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</si>
  <si>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</si>
  <si>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</si>
  <si>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</si>
  <si>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</si>
  <si>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</si>
  <si>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</si>
  <si>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</si>
  <si>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</si>
  <si>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</si>
  <si>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</si>
  <si>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</si>
  <si>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</si>
  <si>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</si>
  <si>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</si>
  <si>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</si>
  <si>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</si>
  <si>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</si>
  <si>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</si>
  <si>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</si>
  <si>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</si>
  <si>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</si>
  <si>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</si>
  <si>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</si>
  <si>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</si>
  <si>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</si>
  <si>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</si>
  <si>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</si>
  <si>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</si>
  <si>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</si>
  <si>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</si>
  <si>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</si>
  <si>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</si>
  <si>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</si>
  <si>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</si>
  <si>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</si>
  <si>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</si>
  <si>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</si>
  <si>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</si>
  <si>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</si>
  <si>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</si>
  <si>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</si>
  <si>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</si>
  <si>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</si>
  <si>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</si>
  <si>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</si>
  <si>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</si>
  <si>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</si>
  <si>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</si>
  <si>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</si>
  <si>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</si>
  <si>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</si>
  <si>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</si>
  <si>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</si>
  <si>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</si>
  <si>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</si>
  <si>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</si>
  <si>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</si>
  <si>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</si>
  <si>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</si>
  <si>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</si>
  <si>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</si>
  <si>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</si>
  <si>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</si>
  <si>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</si>
  <si>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</si>
  <si>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</si>
  <si>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</si>
  <si>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</si>
  <si>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</si>
  <si>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</si>
  <si>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</si>
  <si>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</si>
  <si>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</si>
  <si>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</si>
  <si>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</si>
  <si>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</si>
  <si>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</si>
  <si>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</si>
  <si>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</si>
  <si>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</si>
  <si>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</si>
  <si>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</si>
  <si>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</si>
  <si>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</si>
  <si>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</si>
  <si>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</si>
  <si>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</si>
  <si>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</si>
  <si>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</si>
  <si>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</si>
  <si>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</si>
  <si>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</si>
  <si>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</si>
  <si>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</si>
  <si>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</si>
  <si>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</si>
  <si>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</si>
  <si>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</si>
  <si>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</si>
  <si>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</si>
  <si>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</si>
  <si>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</si>
  <si>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</si>
  <si>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LaSalle and Grundy</t>
  </si>
  <si>
    <t>Miller Township Community Consolidated School District 210</t>
  </si>
  <si>
    <t>3197 E. 28th Road</t>
  </si>
  <si>
    <t>Marseilles</t>
  </si>
  <si>
    <t>mmitch@miltonpope.net</t>
  </si>
  <si>
    <t>X</t>
  </si>
  <si>
    <t>Dave Hermann</t>
  </si>
  <si>
    <t>dhermann@miltonpope.net</t>
  </si>
  <si>
    <t>(815) 357-8151</t>
  </si>
  <si>
    <t>(815) 357-8159</t>
  </si>
  <si>
    <t>Mack &amp; Associates, P.C.</t>
  </si>
  <si>
    <t>Tawnya Mack, CPA</t>
  </si>
  <si>
    <t>116 E. Washington Street, Suite One</t>
  </si>
  <si>
    <t>Morris</t>
  </si>
  <si>
    <t>IL</t>
  </si>
  <si>
    <t>(815) 942-3306</t>
  </si>
  <si>
    <t>(815) 942-9430</t>
  </si>
  <si>
    <t>tmack@mackcpas.com</t>
  </si>
  <si>
    <t>Working Cash Fund Bond</t>
  </si>
  <si>
    <t>LEASE, Wallace Elem., Tonica Elem., Ottawa Elem.</t>
  </si>
  <si>
    <t>Transportation With a Personal Touch</t>
  </si>
  <si>
    <t>Page 10, Line 74:  Educational Fund - Miscellaneous cafeteria sales &amp; rebates</t>
  </si>
  <si>
    <t>Page 10, Line 81:  Educational Fund - Assignment books &amp; other activity fees</t>
  </si>
  <si>
    <t>Page 11, Line 107:  Educational Fund - Reimbursements &amp; miscellaneous receipts</t>
  </si>
  <si>
    <t>Page 11, Line 107:  O&amp;M Fund - Reimbursements &amp; miscellaneous receipts</t>
  </si>
  <si>
    <t>Page 12, Line 183:  Educational Fund - Federal REAP Grant</t>
  </si>
  <si>
    <t>Page 15, Line 41:  Educational Fund - All school copier lease</t>
  </si>
  <si>
    <t>066-005100</t>
  </si>
  <si>
    <t>PDF in Opinion Page with signature</t>
  </si>
  <si>
    <t>ED - FISCAL SERVICES - PURCHASED SERVICES</t>
  </si>
  <si>
    <t>10-2520-300</t>
  </si>
  <si>
    <t>JD ACCOUNTING SERVICES, INC.</t>
  </si>
  <si>
    <t>POWERSCHOOL GROUP, LLC</t>
  </si>
  <si>
    <t>O&amp;M - O&amp;M PLANT - PURCHASED SERVICES</t>
  </si>
  <si>
    <t>20-2540-300</t>
  </si>
  <si>
    <t>KENDRICK PEST CONTROL</t>
  </si>
  <si>
    <t>CHAPMAN'S MECHANICAL SYSTEMS</t>
  </si>
  <si>
    <t>ANDERSON'S LAWN SERVICES</t>
  </si>
  <si>
    <t>CLEGG-PERKINS ELECTRIC</t>
  </si>
  <si>
    <t>KIEFER USA</t>
  </si>
  <si>
    <t>DELTA CONSTRUCTION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</si>
</sst>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DECEDB5F-1D55-4CC9-8F4F-BA2EF9F611E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790575</xdr:colOff>
          <xdr:row>8</xdr:row>
          <xdr:rowOff>38100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BCE69162-DBFC-4388-9B57-731BB3CC6C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790575</xdr:colOff>
          <xdr:row>12</xdr:row>
          <xdr:rowOff>38100</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9A3E567D-420E-4B1F-8634-279ACD31550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1</xdr:col>
          <xdr:colOff>790575</xdr:colOff>
          <xdr:row>15</xdr:row>
          <xdr:rowOff>200025</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B771E9AE-FBB9-42B2-A8FF-AEBF7BD8F00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1" t="s">
        <v>425</v>
      </c>
      <c r="J1" s="2002"/>
      <c r="K1" s="2002"/>
      <c r="L1" s="2002"/>
      <c r="M1" s="2002"/>
      <c r="N1" s="2002"/>
      <c r="O1" s="2002"/>
      <c r="P1" s="2002"/>
      <c r="Q1" s="2002"/>
      <c r="R1" s="2002"/>
      <c r="S1" s="2002"/>
    </row>
    <row r="2" spans="1:28" ht="12" customHeight="1" x14ac:dyDescent="0.2">
      <c r="A2" s="47" t="s">
        <v>1684</v>
      </c>
      <c r="D2" s="48"/>
      <c r="I2" s="2003" t="s">
        <v>1036</v>
      </c>
      <c r="J2" s="2002"/>
      <c r="K2" s="2002"/>
      <c r="L2" s="2002"/>
      <c r="M2" s="2002"/>
      <c r="N2" s="2002"/>
      <c r="O2" s="2002"/>
      <c r="P2" s="2002"/>
      <c r="Q2" s="2002"/>
      <c r="R2" s="2002"/>
      <c r="S2" s="2002"/>
    </row>
    <row r="3" spans="1:28" ht="12" customHeight="1" x14ac:dyDescent="0.2">
      <c r="A3" s="155" t="s">
        <v>1685</v>
      </c>
      <c r="B3" s="156"/>
      <c r="C3" s="156"/>
      <c r="D3" s="157"/>
      <c r="I3" s="2003" t="s">
        <v>54</v>
      </c>
      <c r="J3" s="2002"/>
      <c r="K3" s="2002"/>
      <c r="L3" s="2002"/>
      <c r="M3" s="2002"/>
      <c r="N3" s="2002"/>
      <c r="O3" s="2002"/>
      <c r="P3" s="2002"/>
      <c r="Q3" s="2002"/>
      <c r="R3" s="2002"/>
      <c r="S3" s="2002"/>
    </row>
    <row r="4" spans="1:28" ht="12" customHeight="1" x14ac:dyDescent="0.2">
      <c r="A4" s="37"/>
      <c r="I4" s="2003" t="s">
        <v>545</v>
      </c>
      <c r="J4" s="2002"/>
      <c r="K4" s="2002"/>
      <c r="L4" s="2002"/>
      <c r="M4" s="2002"/>
      <c r="N4" s="2002"/>
      <c r="O4" s="2002"/>
      <c r="P4" s="2002"/>
      <c r="Q4" s="2002"/>
      <c r="R4" s="2002"/>
      <c r="S4" s="2002"/>
    </row>
    <row r="5" spans="1:28" ht="14.1" customHeight="1" x14ac:dyDescent="0.2">
      <c r="B5" s="104" t="s">
        <v>2077</v>
      </c>
      <c r="C5" s="26" t="s">
        <v>966</v>
      </c>
      <c r="D5" s="84"/>
      <c r="E5" s="84"/>
      <c r="H5" s="38"/>
      <c r="I5" s="2011" t="s">
        <v>701</v>
      </c>
      <c r="J5" s="2010"/>
      <c r="K5" s="2010"/>
      <c r="L5" s="2010"/>
      <c r="M5" s="2010"/>
      <c r="N5" s="2010"/>
      <c r="O5" s="2010"/>
      <c r="P5" s="2010"/>
      <c r="Q5" s="2010"/>
      <c r="R5" s="2010"/>
      <c r="S5" s="2010"/>
    </row>
    <row r="6" spans="1:28" ht="14.1" customHeight="1" x14ac:dyDescent="0.2">
      <c r="B6" s="104"/>
      <c r="C6" s="26" t="s">
        <v>967</v>
      </c>
      <c r="D6" s="84"/>
      <c r="E6" s="84"/>
      <c r="I6" s="2009" t="s">
        <v>938</v>
      </c>
      <c r="J6" s="2010"/>
      <c r="K6" s="2010"/>
      <c r="L6" s="2010"/>
      <c r="M6" s="2010"/>
      <c r="N6" s="2010"/>
      <c r="O6" s="2010"/>
      <c r="P6" s="2010"/>
      <c r="Q6" s="2010"/>
      <c r="R6" s="2010"/>
      <c r="S6" s="2010"/>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695</v>
      </c>
      <c r="J9" s="2007"/>
      <c r="K9" s="2007"/>
      <c r="L9" s="2007"/>
      <c r="M9" s="2007"/>
      <c r="N9" s="2007"/>
      <c r="O9" s="2007"/>
      <c r="P9" s="2007"/>
      <c r="Q9" s="2007"/>
      <c r="R9" s="2007"/>
      <c r="S9" s="2008"/>
      <c r="T9" s="2022" t="s">
        <v>554</v>
      </c>
      <c r="U9" s="2023"/>
      <c r="V9" s="2023"/>
      <c r="W9" s="2023"/>
      <c r="X9" s="2023"/>
      <c r="Y9" s="2023"/>
      <c r="Z9" s="2023"/>
      <c r="AA9" s="2024"/>
    </row>
    <row r="10" spans="1:28" ht="13.5" customHeight="1" x14ac:dyDescent="0.2">
      <c r="A10" s="2029" t="s">
        <v>696</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1012</v>
      </c>
      <c r="B11" s="2033"/>
      <c r="C11" s="2033"/>
      <c r="D11" s="2033"/>
      <c r="E11" s="2033"/>
      <c r="F11" s="2033"/>
      <c r="G11" s="2033"/>
      <c r="H11" s="2034"/>
      <c r="I11" s="27"/>
      <c r="J11" s="74"/>
      <c r="K11" s="27"/>
      <c r="O11" s="148" t="s">
        <v>2083</v>
      </c>
      <c r="P11" s="100" t="s">
        <v>210</v>
      </c>
      <c r="Q11" s="30"/>
      <c r="R11" s="28"/>
      <c r="S11" s="27"/>
      <c r="T11" s="2026"/>
      <c r="U11" s="2027"/>
      <c r="V11" s="2027"/>
      <c r="W11" s="2027"/>
      <c r="X11" s="2027"/>
      <c r="Y11" s="2027"/>
      <c r="Z11" s="2027"/>
      <c r="AA11" s="202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6">
        <v>35050210004</v>
      </c>
      <c r="B13" s="2037"/>
      <c r="C13" s="2037"/>
      <c r="D13" s="2037"/>
      <c r="E13" s="2037"/>
      <c r="F13" s="2037"/>
      <c r="G13" s="2037"/>
      <c r="H13" s="2038"/>
      <c r="I13" s="31"/>
      <c r="J13" s="30"/>
      <c r="K13" s="28"/>
      <c r="L13" s="30"/>
      <c r="M13" s="30"/>
      <c r="N13" s="30"/>
      <c r="O13" s="30"/>
      <c r="P13" s="30"/>
      <c r="Q13" s="30"/>
      <c r="R13" s="30"/>
      <c r="S13" s="30"/>
      <c r="T13" s="2041" t="s">
        <v>2088</v>
      </c>
      <c r="U13" s="2042"/>
      <c r="V13" s="2042"/>
      <c r="W13" s="2042"/>
      <c r="X13" s="2042"/>
      <c r="Y13" s="2043"/>
      <c r="Z13" s="2043"/>
      <c r="AA13" s="204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5" t="s">
        <v>2078</v>
      </c>
      <c r="B15" s="2039"/>
      <c r="C15" s="2039"/>
      <c r="D15" s="2039"/>
      <c r="E15" s="2039"/>
      <c r="F15" s="2039"/>
      <c r="G15" s="2039"/>
      <c r="H15" s="2040"/>
      <c r="T15" s="2045" t="s">
        <v>2089</v>
      </c>
      <c r="U15" s="1989"/>
      <c r="V15" s="1989"/>
      <c r="W15" s="1989"/>
      <c r="X15" s="1989"/>
      <c r="Y15" s="2046"/>
      <c r="Z15" s="2046"/>
      <c r="AA15" s="204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5" t="s">
        <v>2079</v>
      </c>
      <c r="B17" s="1996"/>
      <c r="C17" s="1996"/>
      <c r="D17" s="1996"/>
      <c r="E17" s="1996"/>
      <c r="F17" s="1996"/>
      <c r="G17" s="1996"/>
      <c r="H17" s="2021"/>
      <c r="T17" s="2052" t="s">
        <v>2090</v>
      </c>
      <c r="U17" s="2053"/>
      <c r="V17" s="2053"/>
      <c r="W17" s="2053"/>
      <c r="X17" s="2053"/>
      <c r="Y17" s="2053"/>
      <c r="Z17" s="2053"/>
      <c r="AA17" s="2054"/>
    </row>
    <row r="18" spans="1:27" ht="13.5" customHeight="1" x14ac:dyDescent="0.2">
      <c r="A18" s="85" t="s">
        <v>551</v>
      </c>
      <c r="B18" s="76"/>
      <c r="C18" s="72"/>
      <c r="D18" s="76"/>
      <c r="E18" s="76"/>
      <c r="F18" s="76"/>
      <c r="G18" s="76"/>
      <c r="H18" s="56"/>
      <c r="I18" s="2020" t="s">
        <v>697</v>
      </c>
      <c r="J18" s="1971"/>
      <c r="K18" s="1971"/>
      <c r="L18" s="1971"/>
      <c r="M18" s="1971"/>
      <c r="N18" s="1971"/>
      <c r="O18" s="1971"/>
      <c r="P18" s="1971"/>
      <c r="Q18" s="1971"/>
      <c r="R18" s="1971"/>
      <c r="S18" s="1972"/>
      <c r="T18" s="85" t="s">
        <v>735</v>
      </c>
      <c r="U18" s="51"/>
      <c r="V18" s="72"/>
      <c r="W18" s="50"/>
      <c r="X18" s="85" t="s">
        <v>284</v>
      </c>
      <c r="Y18" s="81"/>
      <c r="Z18" s="159" t="s">
        <v>698</v>
      </c>
      <c r="AA18" s="46"/>
    </row>
    <row r="19" spans="1:27" ht="13.5" customHeight="1" x14ac:dyDescent="0.2">
      <c r="A19" s="2035" t="s">
        <v>2080</v>
      </c>
      <c r="B19" s="1981"/>
      <c r="C19" s="1981"/>
      <c r="D19" s="1981"/>
      <c r="E19" s="1981"/>
      <c r="F19" s="1981"/>
      <c r="G19" s="1981"/>
      <c r="H19" s="1961"/>
      <c r="I19" s="30"/>
      <c r="J19" s="99"/>
      <c r="K19" s="40"/>
      <c r="L19" s="38"/>
      <c r="M19" s="112" t="s">
        <v>333</v>
      </c>
      <c r="P19" s="27"/>
      <c r="Q19" s="27"/>
      <c r="R19" s="27"/>
      <c r="S19" s="31"/>
      <c r="T19" s="2035" t="s">
        <v>2091</v>
      </c>
      <c r="U19" s="1960"/>
      <c r="V19" s="1960"/>
      <c r="W19" s="1961"/>
      <c r="X19" s="2050" t="s">
        <v>2092</v>
      </c>
      <c r="Y19" s="2051"/>
      <c r="Z19" s="2048">
        <v>60450</v>
      </c>
      <c r="AA19" s="204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9" t="s">
        <v>2081</v>
      </c>
      <c r="B21" s="1960"/>
      <c r="C21" s="1960"/>
      <c r="D21" s="1960"/>
      <c r="E21" s="1960"/>
      <c r="F21" s="1960"/>
      <c r="G21" s="1960"/>
      <c r="H21" s="1961"/>
      <c r="I21" s="2015" t="s">
        <v>699</v>
      </c>
      <c r="J21" s="2010"/>
      <c r="K21" s="2010"/>
      <c r="L21" s="2010"/>
      <c r="M21" s="2010"/>
      <c r="N21" s="2010"/>
      <c r="O21" s="2010"/>
      <c r="P21" s="2010"/>
      <c r="Q21" s="2010"/>
      <c r="R21" s="2010"/>
      <c r="S21" s="2016"/>
      <c r="T21" s="2059" t="s">
        <v>2093</v>
      </c>
      <c r="U21" s="2060"/>
      <c r="V21" s="2060"/>
      <c r="W21" s="2060"/>
      <c r="X21" s="2065" t="s">
        <v>2094</v>
      </c>
      <c r="Y21" s="2066"/>
      <c r="Z21" s="2066"/>
      <c r="AA21" s="2067"/>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1596</v>
      </c>
      <c r="U22" s="51"/>
      <c r="V22" s="72"/>
      <c r="W22" s="51"/>
      <c r="X22" s="160" t="s">
        <v>1385</v>
      </c>
      <c r="Z22" s="45"/>
      <c r="AA22" s="46"/>
    </row>
    <row r="23" spans="1:27" ht="13.5" customHeight="1" x14ac:dyDescent="0.2">
      <c r="A23" s="2012" t="s">
        <v>2082</v>
      </c>
      <c r="B23" s="2013"/>
      <c r="C23" s="2013"/>
      <c r="D23" s="2013"/>
      <c r="E23" s="2013"/>
      <c r="F23" s="2013"/>
      <c r="G23" s="2013"/>
      <c r="H23" s="2014"/>
      <c r="T23" s="1995" t="s">
        <v>2105</v>
      </c>
      <c r="U23" s="2058"/>
      <c r="V23" s="2058"/>
      <c r="W23" s="2058"/>
      <c r="X23" s="2062">
        <v>43434</v>
      </c>
      <c r="Y23" s="2063"/>
      <c r="Z23" s="2063"/>
      <c r="AA23" s="2064"/>
    </row>
    <row r="24" spans="1:27" ht="14.1" customHeight="1" x14ac:dyDescent="0.2">
      <c r="A24" s="88" t="s">
        <v>698</v>
      </c>
      <c r="B24" s="49"/>
      <c r="C24" s="49"/>
      <c r="D24" s="49"/>
      <c r="E24" s="49"/>
      <c r="F24" s="49"/>
      <c r="G24" s="49"/>
      <c r="H24" s="61"/>
      <c r="J24" s="1982">
        <f>IF(B5="x",IF(AUDITCHECK!D29="AFR form Incomplete.","",IF(AUDITCHECK!D29="Deficit reduction plan is required.","School District must complete a deficit reduction plan in the 2018-2019 Budget",)),"")</f>
        <v>0</v>
      </c>
      <c r="K24" s="1982"/>
      <c r="L24" s="1982"/>
      <c r="M24" s="1982"/>
      <c r="N24" s="1982"/>
      <c r="O24" s="1982"/>
      <c r="P24" s="1982"/>
      <c r="Q24" s="1982"/>
      <c r="R24" s="1982"/>
      <c r="S24" s="1983"/>
      <c r="T24" s="105" t="s">
        <v>552</v>
      </c>
      <c r="U24" s="106"/>
      <c r="V24" s="106"/>
      <c r="W24" s="106"/>
      <c r="X24" s="107"/>
      <c r="Y24" s="107"/>
      <c r="Z24" s="107"/>
      <c r="AA24" s="108"/>
    </row>
    <row r="25" spans="1:27" ht="14.1" customHeight="1" x14ac:dyDescent="0.2">
      <c r="A25" s="1959">
        <v>61341</v>
      </c>
      <c r="B25" s="1960"/>
      <c r="C25" s="1960"/>
      <c r="D25" s="1960"/>
      <c r="E25" s="1960"/>
      <c r="F25" s="1960"/>
      <c r="G25" s="1960"/>
      <c r="H25" s="1961"/>
      <c r="I25" s="113"/>
      <c r="J25" s="1984"/>
      <c r="K25" s="1984"/>
      <c r="L25" s="1984"/>
      <c r="M25" s="1984"/>
      <c r="N25" s="1984"/>
      <c r="O25" s="1984"/>
      <c r="P25" s="1984"/>
      <c r="Q25" s="1984"/>
      <c r="R25" s="1984"/>
      <c r="S25" s="1985"/>
      <c r="T25" s="2055" t="s">
        <v>2095</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0" t="s">
        <v>1591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2083</v>
      </c>
      <c r="M29" s="40" t="s">
        <v>101</v>
      </c>
      <c r="N29" s="32" t="s">
        <v>1604</v>
      </c>
      <c r="O29" s="32"/>
      <c r="P29" s="32"/>
      <c r="Q29" s="32"/>
      <c r="R29" s="32"/>
      <c r="S29" s="123"/>
      <c r="T29" s="6"/>
      <c r="U29" s="6"/>
      <c r="V29" s="6"/>
      <c r="W29" s="6"/>
      <c r="X29" s="6"/>
      <c r="Y29" s="6"/>
      <c r="Z29" s="6"/>
      <c r="AA29" s="132"/>
    </row>
    <row r="30" spans="1:27" ht="13.5" customHeight="1" x14ac:dyDescent="0.2">
      <c r="A30" s="153"/>
      <c r="B30" s="136" t="s">
        <v>2083</v>
      </c>
      <c r="C30" s="124" t="s">
        <v>1226</v>
      </c>
      <c r="D30" s="28"/>
      <c r="E30" s="28"/>
      <c r="F30" s="140"/>
      <c r="G30" s="114"/>
      <c r="H30" s="114"/>
      <c r="I30" s="54"/>
      <c r="J30" s="102"/>
      <c r="K30" s="28" t="s">
        <v>597</v>
      </c>
      <c r="L30" s="148" t="s">
        <v>2083</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2083</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2083</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5" t="s">
        <v>2084</v>
      </c>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552</v>
      </c>
      <c r="B39" s="1966"/>
      <c r="C39" s="72"/>
      <c r="D39" s="69"/>
      <c r="E39" s="69"/>
      <c r="F39" s="79"/>
      <c r="G39" s="69"/>
      <c r="H39" s="56"/>
      <c r="I39" s="1965" t="s">
        <v>552</v>
      </c>
      <c r="J39" s="1966"/>
      <c r="K39" s="1966"/>
      <c r="L39" s="1966"/>
      <c r="M39" s="1966"/>
      <c r="N39" s="67"/>
      <c r="O39" s="72"/>
      <c r="P39" s="72"/>
      <c r="Q39" s="78"/>
      <c r="R39" s="72"/>
      <c r="S39" s="56"/>
      <c r="T39" s="72" t="s">
        <v>552</v>
      </c>
      <c r="U39" s="51"/>
      <c r="V39" s="72"/>
      <c r="W39" s="50"/>
      <c r="X39" s="78"/>
      <c r="Y39" s="45"/>
      <c r="Z39" s="45"/>
      <c r="AA39" s="46"/>
    </row>
    <row r="40" spans="1:27" ht="13.5" customHeight="1" x14ac:dyDescent="0.2">
      <c r="A40" s="1973" t="s">
        <v>2085</v>
      </c>
      <c r="B40" s="1974"/>
      <c r="C40" s="1975"/>
      <c r="D40" s="1975"/>
      <c r="E40" s="1975"/>
      <c r="F40" s="1976"/>
      <c r="G40" s="1976"/>
      <c r="H40" s="1977"/>
      <c r="I40" s="1998"/>
      <c r="J40" s="1999"/>
      <c r="K40" s="1999"/>
      <c r="L40" s="1999"/>
      <c r="M40" s="1999"/>
      <c r="N40" s="1999"/>
      <c r="O40" s="1999"/>
      <c r="P40" s="1999"/>
      <c r="Q40" s="1999"/>
      <c r="R40" s="1999"/>
      <c r="S40" s="2000"/>
      <c r="T40" s="1998"/>
      <c r="U40" s="2061"/>
      <c r="V40" s="1999"/>
      <c r="W40" s="1999"/>
      <c r="X40" s="1999"/>
      <c r="Y40" s="1999"/>
      <c r="Z40" s="1999"/>
      <c r="AA40" s="200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7" t="s">
        <v>2086</v>
      </c>
      <c r="B42" s="1979"/>
      <c r="C42" s="1980"/>
      <c r="D42" s="1978" t="s">
        <v>2087</v>
      </c>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4" sqref="E14"/>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1905</v>
      </c>
      <c r="B2" s="1550" t="s">
        <v>2035</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701110</v>
      </c>
      <c r="C4" s="1546"/>
      <c r="D4" s="1774">
        <f>B4-C4</f>
        <v>701110</v>
      </c>
      <c r="E4" s="1546">
        <v>719098</v>
      </c>
      <c r="F4" s="1774">
        <f>E4-C4</f>
        <v>719098</v>
      </c>
    </row>
    <row r="5" spans="1:6" ht="13.7" customHeight="1" x14ac:dyDescent="0.2">
      <c r="A5" s="716" t="s">
        <v>925</v>
      </c>
      <c r="B5" s="1772">
        <f>'Revenues 9-14'!D5</f>
        <v>138016</v>
      </c>
      <c r="C5" s="585"/>
      <c r="D5" s="1775">
        <f t="shared" ref="D5:D18" si="0">B5-C5</f>
        <v>138016</v>
      </c>
      <c r="E5" s="585">
        <v>141555</v>
      </c>
      <c r="F5" s="1775">
        <f>E5-C5</f>
        <v>141555</v>
      </c>
    </row>
    <row r="6" spans="1:6" ht="13.7" customHeight="1" x14ac:dyDescent="0.2">
      <c r="A6" s="716" t="s">
        <v>431</v>
      </c>
      <c r="B6" s="1772">
        <f>'Revenues 9-14'!E5</f>
        <v>457797</v>
      </c>
      <c r="C6" s="585"/>
      <c r="D6" s="1775">
        <f t="shared" si="0"/>
        <v>457797</v>
      </c>
      <c r="E6" s="585">
        <v>459186</v>
      </c>
      <c r="F6" s="1775">
        <f t="shared" ref="F6:F18" si="1">E6-C6</f>
        <v>459186</v>
      </c>
    </row>
    <row r="7" spans="1:6" ht="13.7" customHeight="1" x14ac:dyDescent="0.2">
      <c r="A7" s="716" t="s">
        <v>157</v>
      </c>
      <c r="B7" s="1772">
        <f>'Revenues 9-14'!F5</f>
        <v>66248</v>
      </c>
      <c r="C7" s="585"/>
      <c r="D7" s="1775">
        <f t="shared" si="0"/>
        <v>66248</v>
      </c>
      <c r="E7" s="585">
        <v>67946</v>
      </c>
      <c r="F7" s="1775">
        <f t="shared" si="1"/>
        <v>67946</v>
      </c>
    </row>
    <row r="8" spans="1:6" ht="13.7" customHeight="1" x14ac:dyDescent="0.2">
      <c r="A8" s="716" t="s">
        <v>1241</v>
      </c>
      <c r="B8" s="1772">
        <f>'Revenues 9-14'!G5</f>
        <v>31000</v>
      </c>
      <c r="C8" s="585"/>
      <c r="D8" s="1775">
        <f t="shared" si="0"/>
        <v>31000</v>
      </c>
      <c r="E8" s="585">
        <v>35004</v>
      </c>
      <c r="F8" s="1775">
        <f t="shared" si="1"/>
        <v>35004</v>
      </c>
    </row>
    <row r="9" spans="1:6" ht="13.7" customHeight="1" x14ac:dyDescent="0.2">
      <c r="A9" s="716" t="s">
        <v>428</v>
      </c>
      <c r="B9" s="1772">
        <f>'Revenues 9-14'!H5</f>
        <v>0</v>
      </c>
      <c r="C9" s="585"/>
      <c r="D9" s="1775">
        <f t="shared" si="0"/>
        <v>0</v>
      </c>
      <c r="E9" s="585">
        <v>0</v>
      </c>
      <c r="F9" s="1775">
        <f t="shared" si="1"/>
        <v>0</v>
      </c>
    </row>
    <row r="10" spans="1:6" ht="13.7" customHeight="1" x14ac:dyDescent="0.2">
      <c r="A10" s="716" t="s">
        <v>427</v>
      </c>
      <c r="B10" s="1772">
        <f>'Revenues 9-14'!I5</f>
        <v>27604</v>
      </c>
      <c r="C10" s="585"/>
      <c r="D10" s="1775">
        <f t="shared" si="0"/>
        <v>27604</v>
      </c>
      <c r="E10" s="585">
        <v>28311</v>
      </c>
      <c r="F10" s="1775">
        <f t="shared" si="1"/>
        <v>28311</v>
      </c>
    </row>
    <row r="11" spans="1:6" x14ac:dyDescent="0.2">
      <c r="A11" s="716" t="s">
        <v>429</v>
      </c>
      <c r="B11" s="1772">
        <f>'Revenues 9-14'!J5</f>
        <v>72994</v>
      </c>
      <c r="C11" s="585"/>
      <c r="D11" s="1775">
        <f t="shared" si="0"/>
        <v>72994</v>
      </c>
      <c r="E11" s="585">
        <v>75002</v>
      </c>
      <c r="F11" s="1775">
        <f t="shared" si="1"/>
        <v>75002</v>
      </c>
    </row>
    <row r="12" spans="1:6" ht="13.7" customHeight="1" x14ac:dyDescent="0.2">
      <c r="A12" s="716" t="s">
        <v>159</v>
      </c>
      <c r="B12" s="1772">
        <f>'Revenues 9-14'!K5</f>
        <v>0</v>
      </c>
      <c r="C12" s="585"/>
      <c r="D12" s="1775">
        <f t="shared" si="0"/>
        <v>0</v>
      </c>
      <c r="E12" s="585">
        <v>0</v>
      </c>
      <c r="F12" s="1775">
        <f t="shared" si="1"/>
        <v>0</v>
      </c>
    </row>
    <row r="13" spans="1:6" ht="13.7" customHeight="1" x14ac:dyDescent="0.2">
      <c r="A13" s="716" t="s">
        <v>993</v>
      </c>
      <c r="B13" s="1772">
        <f>SUM('Revenues 9-14'!C6:D6)</f>
        <v>0</v>
      </c>
      <c r="C13" s="585"/>
      <c r="D13" s="1775">
        <f t="shared" si="0"/>
        <v>0</v>
      </c>
      <c r="E13" s="585">
        <v>0</v>
      </c>
      <c r="F13" s="1775">
        <f t="shared" si="1"/>
        <v>0</v>
      </c>
    </row>
    <row r="14" spans="1:6" ht="13.7" customHeight="1" x14ac:dyDescent="0.2">
      <c r="A14" s="716" t="s">
        <v>430</v>
      </c>
      <c r="B14" s="1772">
        <f>SUM('Revenues 9-14'!C7:D7,'Revenues 9-14'!F7:H7)</f>
        <v>11381</v>
      </c>
      <c r="C14" s="585"/>
      <c r="D14" s="1775">
        <f t="shared" si="0"/>
        <v>11381</v>
      </c>
      <c r="E14" s="585">
        <v>11324</v>
      </c>
      <c r="F14" s="1775">
        <f t="shared" si="1"/>
        <v>11324</v>
      </c>
    </row>
    <row r="15" spans="1:6" ht="13.7" customHeight="1" x14ac:dyDescent="0.2">
      <c r="A15" s="716" t="s">
        <v>1220</v>
      </c>
      <c r="B15" s="1772">
        <f>'Revenues 9-14'!E9</f>
        <v>0</v>
      </c>
      <c r="C15" s="585"/>
      <c r="D15" s="1775">
        <f t="shared" si="0"/>
        <v>0</v>
      </c>
      <c r="E15" s="585">
        <v>0</v>
      </c>
      <c r="F15" s="1775">
        <f t="shared" si="1"/>
        <v>0</v>
      </c>
    </row>
    <row r="16" spans="1:6" ht="13.7" customHeight="1" x14ac:dyDescent="0.2">
      <c r="A16" s="716" t="s">
        <v>1221</v>
      </c>
      <c r="B16" s="1772">
        <f>'Revenues 9-14'!G8</f>
        <v>49997</v>
      </c>
      <c r="C16" s="585"/>
      <c r="D16" s="1775">
        <f t="shared" si="0"/>
        <v>49997</v>
      </c>
      <c r="E16" s="585">
        <v>51005</v>
      </c>
      <c r="F16" s="1775">
        <f t="shared" si="1"/>
        <v>51005</v>
      </c>
    </row>
    <row r="17" spans="1:6" ht="13.7" customHeight="1" x14ac:dyDescent="0.2">
      <c r="A17" s="716" t="s">
        <v>1222</v>
      </c>
      <c r="B17" s="1772">
        <f>'Revenues 9-14'!C10</f>
        <v>0</v>
      </c>
      <c r="C17" s="585"/>
      <c r="D17" s="1775">
        <f t="shared" si="0"/>
        <v>0</v>
      </c>
      <c r="E17" s="585">
        <v>0</v>
      </c>
      <c r="F17" s="1775">
        <f t="shared" si="1"/>
        <v>0</v>
      </c>
    </row>
    <row r="18" spans="1:6" ht="13.7" customHeight="1" x14ac:dyDescent="0.2">
      <c r="A18" s="716" t="s">
        <v>786</v>
      </c>
      <c r="B18" s="1772">
        <f>SUM('Revenues 9-14'!C11:K11)</f>
        <v>0</v>
      </c>
      <c r="C18" s="585"/>
      <c r="D18" s="1775">
        <f t="shared" si="0"/>
        <v>0</v>
      </c>
      <c r="E18" s="585">
        <v>0</v>
      </c>
      <c r="F18" s="1775">
        <f t="shared" si="1"/>
        <v>0</v>
      </c>
    </row>
    <row r="19" spans="1:6" ht="13.7" customHeight="1" thickBot="1" x14ac:dyDescent="0.25">
      <c r="A19" s="1776" t="s">
        <v>1223</v>
      </c>
      <c r="B19" s="1773">
        <f>SUM(B4:B18)</f>
        <v>1556147</v>
      </c>
      <c r="C19" s="1773">
        <f>SUM(C4:C18)</f>
        <v>0</v>
      </c>
      <c r="D19" s="1773">
        <f>SUM(D4:D18)</f>
        <v>1556147</v>
      </c>
      <c r="E19" s="1773">
        <f>SUM(E4:E18)</f>
        <v>1588431</v>
      </c>
      <c r="F19" s="1773">
        <f>SUM(F4:F18)</f>
        <v>1588431</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A33" sqref="A3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1"/>
      <c r="C1" s="722"/>
    </row>
    <row r="2" spans="1:7" ht="33.75" x14ac:dyDescent="0.2">
      <c r="A2" s="2228" t="s">
        <v>1905</v>
      </c>
      <c r="B2" s="2229"/>
      <c r="C2" s="1909" t="s">
        <v>2036</v>
      </c>
      <c r="D2" s="724" t="s">
        <v>2043</v>
      </c>
      <c r="E2" s="724" t="s">
        <v>2044</v>
      </c>
      <c r="F2" s="1909" t="s">
        <v>2037</v>
      </c>
    </row>
    <row r="3" spans="1:7" ht="15.75" customHeight="1" x14ac:dyDescent="0.2">
      <c r="A3" s="2230" t="s">
        <v>1176</v>
      </c>
      <c r="B3" s="2231"/>
      <c r="C3" s="2224"/>
      <c r="D3" s="2225"/>
      <c r="E3" s="2225"/>
      <c r="F3" s="2226"/>
    </row>
    <row r="4" spans="1:7" ht="12.75" customHeight="1" thickBot="1" x14ac:dyDescent="0.25">
      <c r="A4" s="2218" t="s">
        <v>651</v>
      </c>
      <c r="B4" s="2219"/>
      <c r="C4" s="581"/>
      <c r="D4" s="581"/>
      <c r="E4" s="581"/>
      <c r="F4" s="1777">
        <f>SUM(C4+D4)-E4</f>
        <v>0</v>
      </c>
    </row>
    <row r="5" spans="1:7" ht="15.75" customHeight="1" thickTop="1" x14ac:dyDescent="0.2">
      <c r="A5" s="2222" t="s">
        <v>1172</v>
      </c>
      <c r="B5" s="2217"/>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4" t="s">
        <v>652</v>
      </c>
      <c r="B15" s="2215"/>
      <c r="C15" s="1777">
        <f>SUM(C6:C14)</f>
        <v>0</v>
      </c>
      <c r="D15" s="1777">
        <f>SUM(D6:D14)</f>
        <v>0</v>
      </c>
      <c r="E15" s="1777">
        <f>SUM(E6:E14)</f>
        <v>0</v>
      </c>
      <c r="F15" s="1777">
        <f>SUM(F6:F14)</f>
        <v>0</v>
      </c>
      <c r="G15" s="552"/>
    </row>
    <row r="16" spans="1:7" s="202" customFormat="1" ht="15.75" customHeight="1" thickTop="1" x14ac:dyDescent="0.2">
      <c r="A16" s="2227" t="s">
        <v>1173</v>
      </c>
      <c r="B16" s="2217"/>
      <c r="C16" s="2211"/>
      <c r="D16" s="2212"/>
      <c r="E16" s="2212"/>
      <c r="F16" s="2213"/>
    </row>
    <row r="17" spans="1:11" ht="12.75" customHeight="1" thickBot="1" x14ac:dyDescent="0.25">
      <c r="A17" s="2209" t="s">
        <v>66</v>
      </c>
      <c r="B17" s="2210"/>
      <c r="C17" s="727"/>
      <c r="D17" s="585"/>
      <c r="E17" s="727"/>
      <c r="F17" s="1777">
        <f>SUM(C17+D17)-E17</f>
        <v>0</v>
      </c>
    </row>
    <row r="18" spans="1:11" ht="12.75" customHeight="1" thickTop="1" thickBot="1" x14ac:dyDescent="0.25">
      <c r="A18" s="2209" t="s">
        <v>6</v>
      </c>
      <c r="B18" s="2210"/>
      <c r="C18" s="727"/>
      <c r="D18" s="585"/>
      <c r="E18" s="727"/>
      <c r="F18" s="1777">
        <f>SUM(C18+D18)-E18</f>
        <v>0</v>
      </c>
    </row>
    <row r="19" spans="1:11" ht="12.75" customHeight="1" thickTop="1" thickBot="1" x14ac:dyDescent="0.25">
      <c r="A19" s="2209" t="s">
        <v>406</v>
      </c>
      <c r="B19" s="2210"/>
      <c r="C19" s="727"/>
      <c r="D19" s="585"/>
      <c r="E19" s="727"/>
      <c r="F19" s="1777">
        <f>SUM(C19+D19)-E19</f>
        <v>0</v>
      </c>
    </row>
    <row r="20" spans="1:11" ht="12.75" customHeight="1" thickTop="1" thickBot="1" x14ac:dyDescent="0.25">
      <c r="A20" s="2209" t="s">
        <v>468</v>
      </c>
      <c r="B20" s="2210"/>
      <c r="C20" s="727"/>
      <c r="D20" s="585"/>
      <c r="E20" s="727"/>
      <c r="F20" s="1777">
        <f>SUM(C20+D20)-E20</f>
        <v>0</v>
      </c>
    </row>
    <row r="21" spans="1:11" ht="14.25" thickTop="1" thickBot="1" x14ac:dyDescent="0.25">
      <c r="A21" s="2214" t="s">
        <v>653</v>
      </c>
      <c r="B21" s="2215"/>
      <c r="C21" s="1777">
        <f>SUM(C17:C20)</f>
        <v>0</v>
      </c>
      <c r="D21" s="1777">
        <f>SUM(D17:D20)</f>
        <v>0</v>
      </c>
      <c r="E21" s="1777">
        <f>SUM(E17:E20)</f>
        <v>0</v>
      </c>
      <c r="F21" s="1777">
        <f>SUM(F17:F20)</f>
        <v>0</v>
      </c>
      <c r="G21" s="552"/>
    </row>
    <row r="22" spans="1:11" ht="15.75" customHeight="1" thickTop="1" x14ac:dyDescent="0.2">
      <c r="A22" s="2216" t="s">
        <v>1174</v>
      </c>
      <c r="B22" s="2217"/>
      <c r="C22" s="2211"/>
      <c r="D22" s="2212"/>
      <c r="E22" s="2212"/>
      <c r="F22" s="2213"/>
    </row>
    <row r="23" spans="1:11" ht="13.5" thickBot="1" x14ac:dyDescent="0.25">
      <c r="A23" s="2218" t="s">
        <v>654</v>
      </c>
      <c r="B23" s="2219"/>
      <c r="C23" s="581"/>
      <c r="D23" s="581"/>
      <c r="E23" s="581"/>
      <c r="F23" s="1777">
        <f>SUM(C23+D23)-E23</f>
        <v>0</v>
      </c>
      <c r="G23" s="552"/>
    </row>
    <row r="24" spans="1:11" ht="15.75" customHeight="1" thickTop="1" x14ac:dyDescent="0.2">
      <c r="A24" s="2216" t="s">
        <v>1175</v>
      </c>
      <c r="B24" s="2217"/>
      <c r="C24" s="2211"/>
      <c r="D24" s="2212"/>
      <c r="E24" s="2212"/>
      <c r="F24" s="2213"/>
    </row>
    <row r="25" spans="1:11" ht="13.5" thickBot="1" x14ac:dyDescent="0.25">
      <c r="A25" s="2218" t="s">
        <v>655</v>
      </c>
      <c r="B25" s="2219"/>
      <c r="C25" s="581"/>
      <c r="D25" s="581"/>
      <c r="E25" s="581"/>
      <c r="F25" s="1777">
        <f>SUM(C25+D25)-E25</f>
        <v>0</v>
      </c>
      <c r="G25" s="552"/>
    </row>
    <row r="26" spans="1:11" ht="15.75" customHeight="1" thickTop="1" x14ac:dyDescent="0.2">
      <c r="A26" s="2222" t="s">
        <v>678</v>
      </c>
      <c r="B26" s="2217"/>
      <c r="C26" s="728"/>
      <c r="D26" s="728"/>
      <c r="E26" s="728"/>
      <c r="F26" s="729"/>
    </row>
    <row r="27" spans="1:11" ht="13.5" thickBot="1" x14ac:dyDescent="0.25">
      <c r="A27" s="2214" t="s">
        <v>1130</v>
      </c>
      <c r="B27" s="2215"/>
      <c r="C27" s="585"/>
      <c r="D27" s="585"/>
      <c r="E27" s="585"/>
      <c r="F27" s="1777">
        <f>SUM(C27+D27)-E27</f>
        <v>0</v>
      </c>
      <c r="G27" s="552"/>
    </row>
    <row r="28" spans="1:11" ht="7.5" customHeight="1" thickTop="1" x14ac:dyDescent="0.2">
      <c r="A28" s="594"/>
    </row>
    <row r="29" spans="1:11" ht="23.25" customHeight="1" x14ac:dyDescent="0.2">
      <c r="A29" s="2220" t="s">
        <v>603</v>
      </c>
      <c r="B29" s="2221"/>
      <c r="C29" s="730"/>
      <c r="D29" s="730"/>
      <c r="E29" s="730"/>
      <c r="F29" s="730"/>
      <c r="G29" s="730"/>
      <c r="H29" s="730"/>
      <c r="I29" s="730"/>
      <c r="J29" s="730"/>
    </row>
    <row r="30" spans="1:11" ht="33.75" x14ac:dyDescent="0.2">
      <c r="A30" s="1551" t="s">
        <v>1131</v>
      </c>
      <c r="B30" s="731" t="s">
        <v>1186</v>
      </c>
      <c r="C30" s="1910" t="s">
        <v>604</v>
      </c>
      <c r="D30" s="1910" t="s">
        <v>1772</v>
      </c>
      <c r="E30" s="1910" t="s">
        <v>2038</v>
      </c>
      <c r="F30" s="1910" t="s">
        <v>2039</v>
      </c>
      <c r="G30" s="1910" t="s">
        <v>2042</v>
      </c>
      <c r="H30" s="1910" t="s">
        <v>2040</v>
      </c>
      <c r="I30" s="1910" t="s">
        <v>2041</v>
      </c>
      <c r="J30" s="1911" t="s">
        <v>2</v>
      </c>
      <c r="K30" s="732"/>
    </row>
    <row r="31" spans="1:11" ht="12" customHeight="1" x14ac:dyDescent="0.2">
      <c r="A31" s="733" t="s">
        <v>2096</v>
      </c>
      <c r="B31" s="734">
        <v>42773</v>
      </c>
      <c r="C31" s="735">
        <v>450000</v>
      </c>
      <c r="D31" s="736">
        <v>1</v>
      </c>
      <c r="E31" s="735">
        <v>450000</v>
      </c>
      <c r="F31" s="735"/>
      <c r="G31" s="735"/>
      <c r="H31" s="735">
        <v>450000</v>
      </c>
      <c r="I31" s="1778">
        <f>((E31+F31)-H31)+G31</f>
        <v>0</v>
      </c>
      <c r="J31" s="735"/>
      <c r="K31" s="737"/>
    </row>
    <row r="32" spans="1:11" ht="12" customHeight="1" x14ac:dyDescent="0.2">
      <c r="A32" s="733" t="s">
        <v>2096</v>
      </c>
      <c r="B32" s="734">
        <v>43138</v>
      </c>
      <c r="C32" s="735">
        <v>450000</v>
      </c>
      <c r="D32" s="736">
        <v>1</v>
      </c>
      <c r="E32" s="735"/>
      <c r="F32" s="735">
        <v>450000</v>
      </c>
      <c r="G32" s="735"/>
      <c r="H32" s="735"/>
      <c r="I32" s="1778">
        <f>((E32+F32)-H32)+G32</f>
        <v>450000</v>
      </c>
      <c r="J32" s="735">
        <v>450000</v>
      </c>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900000</v>
      </c>
      <c r="D49" s="746"/>
      <c r="E49" s="1778">
        <f t="shared" ref="E49:J49" si="2">SUM(E31:E48)</f>
        <v>450000</v>
      </c>
      <c r="F49" s="1778">
        <f t="shared" si="2"/>
        <v>450000</v>
      </c>
      <c r="G49" s="1778">
        <f t="shared" si="2"/>
        <v>0</v>
      </c>
      <c r="H49" s="1778">
        <f t="shared" si="2"/>
        <v>450000</v>
      </c>
      <c r="I49" s="1778">
        <f t="shared" si="2"/>
        <v>450000</v>
      </c>
      <c r="J49" s="1778">
        <f t="shared" si="2"/>
        <v>450000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3" t="s">
        <v>605</v>
      </c>
      <c r="C52" s="2204"/>
      <c r="D52" s="2204"/>
      <c r="E52" s="750" t="s">
        <v>900</v>
      </c>
      <c r="F52" s="2205"/>
      <c r="G52" s="2206"/>
      <c r="H52" s="737"/>
      <c r="I52" s="737"/>
      <c r="J52" s="747"/>
    </row>
    <row r="53" spans="1:11" ht="11.25" customHeight="1" x14ac:dyDescent="0.2">
      <c r="A53" s="751" t="s">
        <v>969</v>
      </c>
      <c r="B53" s="752" t="s">
        <v>1008</v>
      </c>
      <c r="C53" s="747"/>
      <c r="D53" s="738"/>
      <c r="E53" s="750" t="s">
        <v>518</v>
      </c>
      <c r="F53" s="2207"/>
      <c r="G53" s="2208"/>
      <c r="H53" s="737"/>
      <c r="I53" s="737"/>
      <c r="J53" s="747"/>
    </row>
    <row r="54" spans="1:11" ht="11.25" customHeight="1" x14ac:dyDescent="0.2">
      <c r="A54" s="753" t="s">
        <v>970</v>
      </c>
      <c r="B54" s="748" t="s">
        <v>1009</v>
      </c>
      <c r="C54" s="747"/>
      <c r="D54" s="738"/>
      <c r="E54" s="750" t="s">
        <v>519</v>
      </c>
      <c r="F54" s="2207"/>
      <c r="G54" s="220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911</v>
      </c>
      <c r="B1" s="2233"/>
      <c r="C1" s="2233"/>
      <c r="D1" s="2233"/>
      <c r="E1" s="2233"/>
      <c r="F1" s="2233"/>
      <c r="G1" s="2234"/>
      <c r="H1" s="1552"/>
      <c r="I1" s="761"/>
      <c r="J1" s="433"/>
    </row>
    <row r="2" spans="1:11" ht="26.25" x14ac:dyDescent="0.2">
      <c r="A2" s="2251" t="s">
        <v>1776</v>
      </c>
      <c r="B2" s="2252"/>
      <c r="C2" s="2252"/>
      <c r="D2" s="2252"/>
      <c r="E2" s="2253"/>
      <c r="F2" s="762" t="s">
        <v>960</v>
      </c>
      <c r="G2" s="763" t="s">
        <v>1773</v>
      </c>
      <c r="H2" s="763" t="s">
        <v>430</v>
      </c>
      <c r="I2" s="763" t="s">
        <v>1220</v>
      </c>
      <c r="J2" s="763" t="s">
        <v>1919</v>
      </c>
      <c r="K2" s="763" t="s">
        <v>140</v>
      </c>
    </row>
    <row r="3" spans="1:11" x14ac:dyDescent="0.2">
      <c r="A3" s="2254" t="s">
        <v>1698</v>
      </c>
      <c r="B3" s="2255"/>
      <c r="C3" s="2255"/>
      <c r="D3" s="2255"/>
      <c r="E3" s="2256"/>
      <c r="F3" s="764"/>
      <c r="G3" s="765"/>
      <c r="H3" s="765"/>
      <c r="I3" s="765"/>
      <c r="J3" s="766"/>
      <c r="K3" s="766"/>
    </row>
    <row r="4" spans="1:11" x14ac:dyDescent="0.2">
      <c r="A4" s="2257" t="s">
        <v>387</v>
      </c>
      <c r="B4" s="2258"/>
      <c r="C4" s="2258"/>
      <c r="D4" s="2258"/>
      <c r="E4" s="2204"/>
      <c r="F4" s="767"/>
      <c r="G4" s="768"/>
      <c r="H4" s="769"/>
      <c r="I4" s="768"/>
      <c r="J4" s="770"/>
      <c r="K4" s="770"/>
    </row>
    <row r="5" spans="1:11" x14ac:dyDescent="0.2">
      <c r="A5" s="2235" t="s">
        <v>1129</v>
      </c>
      <c r="B5" s="2236"/>
      <c r="C5" s="2236"/>
      <c r="D5" s="2236"/>
      <c r="E5" s="2237"/>
      <c r="F5" s="771" t="s">
        <v>903</v>
      </c>
      <c r="G5" s="772"/>
      <c r="H5" s="765">
        <v>11381</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5" t="s">
        <v>1920</v>
      </c>
      <c r="B10" s="2236"/>
      <c r="C10" s="2236"/>
      <c r="D10" s="2236"/>
      <c r="E10" s="2238"/>
      <c r="F10" s="784" t="s">
        <v>917</v>
      </c>
      <c r="G10" s="783"/>
      <c r="H10" s="785"/>
      <c r="I10" s="765"/>
      <c r="J10" s="766"/>
      <c r="K10" s="766"/>
    </row>
    <row r="11" spans="1:11" x14ac:dyDescent="0.2">
      <c r="A11" s="2235" t="s">
        <v>162</v>
      </c>
      <c r="B11" s="2236"/>
      <c r="C11" s="2236"/>
      <c r="D11" s="2236"/>
      <c r="E11" s="2237"/>
      <c r="F11" s="771" t="s">
        <v>907</v>
      </c>
      <c r="G11" s="772"/>
      <c r="H11" s="765"/>
      <c r="I11" s="765"/>
      <c r="J11" s="766"/>
      <c r="K11" s="774"/>
    </row>
    <row r="12" spans="1:11" ht="13.5" thickBot="1" x14ac:dyDescent="0.25">
      <c r="A12" s="2262" t="s">
        <v>961</v>
      </c>
      <c r="B12" s="2263"/>
      <c r="C12" s="2263"/>
      <c r="D12" s="2263"/>
      <c r="E12" s="2264"/>
      <c r="F12" s="1779"/>
      <c r="G12" s="1780">
        <f>SUM(G5:G11)</f>
        <v>0</v>
      </c>
      <c r="H12" s="1780">
        <f>SUM(H5:H11)</f>
        <v>11381</v>
      </c>
      <c r="I12" s="1780">
        <f>SUM(I5:I11)</f>
        <v>0</v>
      </c>
      <c r="J12" s="1780">
        <f>SUM(J5:J11)</f>
        <v>0</v>
      </c>
      <c r="K12" s="1780">
        <f>SUM(K5:K11)</f>
        <v>0</v>
      </c>
    </row>
    <row r="13" spans="1:11" ht="13.5" thickTop="1" x14ac:dyDescent="0.2">
      <c r="A13" s="2259" t="s">
        <v>388</v>
      </c>
      <c r="B13" s="2260"/>
      <c r="C13" s="2260"/>
      <c r="D13" s="2260"/>
      <c r="E13" s="2261"/>
      <c r="F13" s="786"/>
      <c r="G13" s="787"/>
      <c r="H13" s="788"/>
      <c r="I13" s="789"/>
      <c r="J13" s="789"/>
      <c r="K13" s="789"/>
    </row>
    <row r="14" spans="1:11" x14ac:dyDescent="0.2">
      <c r="A14" s="2242" t="s">
        <v>476</v>
      </c>
      <c r="B14" s="2242"/>
      <c r="C14" s="2242"/>
      <c r="D14" s="2242"/>
      <c r="E14" s="2243"/>
      <c r="F14" s="790" t="s">
        <v>909</v>
      </c>
      <c r="G14" s="783"/>
      <c r="H14" s="765">
        <v>11381</v>
      </c>
      <c r="I14" s="772"/>
      <c r="J14" s="774"/>
      <c r="K14" s="766"/>
    </row>
    <row r="15" spans="1:11" x14ac:dyDescent="0.2">
      <c r="A15" s="2236" t="s">
        <v>4</v>
      </c>
      <c r="B15" s="2236"/>
      <c r="C15" s="2236"/>
      <c r="D15" s="2236"/>
      <c r="E15" s="2237"/>
      <c r="F15" s="790" t="s">
        <v>910</v>
      </c>
      <c r="G15" s="772"/>
      <c r="H15" s="765"/>
      <c r="I15" s="765"/>
      <c r="J15" s="766"/>
      <c r="K15" s="766"/>
    </row>
    <row r="16" spans="1:11" x14ac:dyDescent="0.2">
      <c r="A16" s="2236" t="s">
        <v>316</v>
      </c>
      <c r="B16" s="2236"/>
      <c r="C16" s="2236"/>
      <c r="D16" s="2236"/>
      <c r="E16" s="2237"/>
      <c r="F16" s="790" t="s">
        <v>980</v>
      </c>
      <c r="G16" s="773"/>
      <c r="H16" s="768"/>
      <c r="I16" s="768"/>
      <c r="J16" s="770"/>
      <c r="K16" s="770"/>
    </row>
    <row r="17" spans="1:11" x14ac:dyDescent="0.2">
      <c r="A17" s="2267" t="s">
        <v>992</v>
      </c>
      <c r="B17" s="2267"/>
      <c r="C17" s="2267"/>
      <c r="D17" s="2267"/>
      <c r="E17" s="2268"/>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44" t="s">
        <v>1916</v>
      </c>
      <c r="B19" s="2244"/>
      <c r="C19" s="2244"/>
      <c r="D19" s="2244"/>
      <c r="E19" s="2245"/>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65" t="s">
        <v>659</v>
      </c>
      <c r="B21" s="2265"/>
      <c r="C21" s="2265"/>
      <c r="D21" s="2265"/>
      <c r="E21" s="2265"/>
      <c r="F21" s="1781"/>
      <c r="G21" s="793"/>
      <c r="H21" s="797"/>
      <c r="I21" s="797"/>
      <c r="J21" s="1782">
        <f>SUM(J18:J20)</f>
        <v>0</v>
      </c>
      <c r="K21" s="794"/>
    </row>
    <row r="22" spans="1:11" ht="13.5" thickTop="1" x14ac:dyDescent="0.2">
      <c r="A22" s="2236" t="s">
        <v>1922</v>
      </c>
      <c r="B22" s="2236"/>
      <c r="C22" s="2236"/>
      <c r="D22" s="2236"/>
      <c r="E22" s="2237"/>
      <c r="F22" s="790" t="s">
        <v>917</v>
      </c>
      <c r="G22" s="783"/>
      <c r="H22" s="765"/>
      <c r="I22" s="765"/>
      <c r="J22" s="798"/>
      <c r="K22" s="766"/>
    </row>
    <row r="23" spans="1:11" ht="13.5" thickBot="1" x14ac:dyDescent="0.25">
      <c r="A23" s="2266" t="s">
        <v>962</v>
      </c>
      <c r="B23" s="2265"/>
      <c r="C23" s="2265"/>
      <c r="D23" s="2265"/>
      <c r="E23" s="2265"/>
      <c r="F23" s="1783"/>
      <c r="G23" s="1780">
        <f>SUM(G14:G16,G21,G22)</f>
        <v>0</v>
      </c>
      <c r="H23" s="1780">
        <f>SUM(H14:H16,H21,H22)</f>
        <v>11381</v>
      </c>
      <c r="I23" s="1780">
        <f>SUM(I14:I16,I21,I22)</f>
        <v>0</v>
      </c>
      <c r="J23" s="1780">
        <f>SUM(J14:J16,J21,J22)</f>
        <v>0</v>
      </c>
      <c r="K23" s="1780">
        <f>SUM(K14:K16,K21,K22)</f>
        <v>0</v>
      </c>
    </row>
    <row r="24" spans="1:11" ht="14.25" thickTop="1" thickBot="1" x14ac:dyDescent="0.25">
      <c r="A24" s="2266" t="s">
        <v>2024</v>
      </c>
      <c r="B24" s="2265"/>
      <c r="C24" s="2265"/>
      <c r="D24" s="2265"/>
      <c r="E24" s="2265"/>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2034</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9"/>
      <c r="I31" s="2240"/>
      <c r="J31" s="2240"/>
      <c r="K31" s="2240"/>
    </row>
    <row r="32" spans="1:11" x14ac:dyDescent="0.2">
      <c r="A32" s="810"/>
      <c r="B32" s="237"/>
      <c r="C32" s="237"/>
      <c r="D32" s="237"/>
      <c r="E32" s="806"/>
      <c r="F32" s="812" t="s">
        <v>561</v>
      </c>
      <c r="G32" s="765"/>
      <c r="H32" s="2241"/>
      <c r="I32" s="2240"/>
      <c r="J32" s="2240"/>
      <c r="K32" s="2240"/>
    </row>
    <row r="33" spans="1:11" ht="1.5" customHeight="1" x14ac:dyDescent="0.2">
      <c r="A33" s="813" t="s">
        <v>1231</v>
      </c>
      <c r="B33" s="364"/>
      <c r="C33" s="364"/>
      <c r="D33" s="364"/>
      <c r="E33" s="364"/>
      <c r="F33" s="364"/>
      <c r="G33" s="814"/>
      <c r="H33" s="2241"/>
      <c r="I33" s="2240"/>
      <c r="J33" s="2240"/>
      <c r="K33" s="2240"/>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6" t="s">
        <v>562</v>
      </c>
      <c r="B41" s="2249"/>
      <c r="C41" s="2249"/>
      <c r="D41" s="2249"/>
      <c r="E41" s="2249"/>
      <c r="F41" s="225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L16" sqref="L1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2033</v>
      </c>
      <c r="B1" s="2272"/>
      <c r="C1" s="2273"/>
      <c r="D1" s="827"/>
      <c r="E1" s="828"/>
      <c r="F1" s="828"/>
      <c r="G1" s="829"/>
      <c r="H1" s="830"/>
      <c r="I1" s="831"/>
      <c r="J1" s="2269"/>
      <c r="K1" s="2270"/>
      <c r="L1" s="2270"/>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7500</v>
      </c>
      <c r="D5" s="842"/>
      <c r="E5" s="842"/>
      <c r="F5" s="1782">
        <f>(C5+D5)-E5</f>
        <v>7500</v>
      </c>
      <c r="G5" s="838"/>
      <c r="H5" s="843"/>
      <c r="I5" s="843"/>
      <c r="J5" s="843"/>
      <c r="K5" s="794"/>
      <c r="L5" s="1791">
        <f>F5-K5</f>
        <v>7500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1178816</v>
      </c>
      <c r="D8" s="845"/>
      <c r="E8" s="845"/>
      <c r="F8" s="1782">
        <f>(C8+D8)-E8</f>
        <v>1178816</v>
      </c>
      <c r="G8" s="844">
        <v>50</v>
      </c>
      <c r="H8" s="766">
        <v>524670</v>
      </c>
      <c r="I8" s="766">
        <v>37488</v>
      </c>
      <c r="J8" s="766"/>
      <c r="K8" s="1791">
        <f>(H8+I8)-J8</f>
        <v>562158</v>
      </c>
      <c r="L8" s="1791">
        <f>F8-K8</f>
        <v>616658</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26941</v>
      </c>
      <c r="D10" s="847"/>
      <c r="E10" s="847"/>
      <c r="F10" s="1786">
        <f>(C10+D10)-E10</f>
        <v>26941</v>
      </c>
      <c r="G10" s="844">
        <v>20</v>
      </c>
      <c r="H10" s="848">
        <v>10734</v>
      </c>
      <c r="I10" s="848">
        <v>1081</v>
      </c>
      <c r="J10" s="848"/>
      <c r="K10" s="1791">
        <f>(H10+I10)-J10</f>
        <v>11815</v>
      </c>
      <c r="L10" s="1791">
        <f>F10-K10</f>
        <v>15126</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94554</v>
      </c>
      <c r="D12" s="845"/>
      <c r="E12" s="845"/>
      <c r="F12" s="1782">
        <f>(C12+D12)-E12</f>
        <v>94554</v>
      </c>
      <c r="G12" s="844">
        <v>10</v>
      </c>
      <c r="H12" s="766">
        <v>67809</v>
      </c>
      <c r="I12" s="766">
        <v>5875</v>
      </c>
      <c r="J12" s="766"/>
      <c r="K12" s="1791">
        <f>(H12+I12)-J12</f>
        <v>73684</v>
      </c>
      <c r="L12" s="1791">
        <f>F12-K12</f>
        <v>20870</v>
      </c>
    </row>
    <row r="13" spans="1:14" ht="14.25" thickTop="1" thickBot="1" x14ac:dyDescent="0.25">
      <c r="A13" s="849" t="s">
        <v>1184</v>
      </c>
      <c r="B13" s="841">
        <v>252</v>
      </c>
      <c r="C13" s="845"/>
      <c r="D13" s="845">
        <v>5105</v>
      </c>
      <c r="E13" s="845"/>
      <c r="F13" s="1782">
        <f>(C13+D13)-E13</f>
        <v>5105</v>
      </c>
      <c r="G13" s="844">
        <v>5</v>
      </c>
      <c r="H13" s="766"/>
      <c r="I13" s="766">
        <v>1021</v>
      </c>
      <c r="J13" s="766"/>
      <c r="K13" s="1791">
        <f>(H13+I13)-J13</f>
        <v>1021</v>
      </c>
      <c r="L13" s="1791">
        <f>F13-K13</f>
        <v>4084</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1307811</v>
      </c>
      <c r="D16" s="1782">
        <f>SUM(D3,D5:D6,D8:D10,D12:D15)</f>
        <v>5105</v>
      </c>
      <c r="E16" s="1782">
        <f>SUM(E3,E5:E6,E8:E10,E12:E15)</f>
        <v>0</v>
      </c>
      <c r="F16" s="1782">
        <f>SUM(F3,F5:F6,F8:F10,F12:F15)</f>
        <v>1312916</v>
      </c>
      <c r="G16" s="844"/>
      <c r="H16" s="1782">
        <f>SUM(H3,H6,H8:H10,H12:H14,)</f>
        <v>603213</v>
      </c>
      <c r="I16" s="1782">
        <f>SUM(I3,I6,I8:I10,I12:I14,)</f>
        <v>45465</v>
      </c>
      <c r="J16" s="1782">
        <f>SUM(J3,J6,J8:J10,J12:J14,)</f>
        <v>0</v>
      </c>
      <c r="K16" s="1782">
        <f>(H16+I16)-J16</f>
        <v>648678</v>
      </c>
      <c r="L16" s="1782">
        <f>F16-K16</f>
        <v>664238</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45465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48" activePane="bottomLeft" state="frozen"/>
      <selection activeCell="A47" sqref="A47"/>
      <selection pane="bottomLeft" activeCell="F78" sqref="F78"/>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1514508</v>
      </c>
      <c r="G8" s="866"/>
    </row>
    <row r="9" spans="1:7" x14ac:dyDescent="0.2">
      <c r="A9" s="870" t="s">
        <v>480</v>
      </c>
      <c r="B9" s="871" t="s">
        <v>1988</v>
      </c>
      <c r="C9" s="872"/>
      <c r="D9" s="870" t="s">
        <v>522</v>
      </c>
      <c r="E9" s="869"/>
      <c r="F9" s="1935">
        <f>'Expenditures 15-22'!K151</f>
        <v>136371</v>
      </c>
      <c r="G9" s="873"/>
    </row>
    <row r="10" spans="1:7" x14ac:dyDescent="0.2">
      <c r="A10" s="870" t="s">
        <v>520</v>
      </c>
      <c r="B10" s="871" t="s">
        <v>1989</v>
      </c>
      <c r="C10" s="872"/>
      <c r="D10" s="870" t="s">
        <v>522</v>
      </c>
      <c r="E10" s="869"/>
      <c r="F10" s="1935">
        <f>'Expenditures 15-22'!K174</f>
        <v>458349</v>
      </c>
      <c r="G10" s="873"/>
    </row>
    <row r="11" spans="1:7" x14ac:dyDescent="0.2">
      <c r="A11" s="870" t="s">
        <v>481</v>
      </c>
      <c r="B11" s="871" t="s">
        <v>1990</v>
      </c>
      <c r="C11" s="872"/>
      <c r="D11" s="870" t="s">
        <v>522</v>
      </c>
      <c r="E11" s="869"/>
      <c r="F11" s="1935">
        <f>'Expenditures 15-22'!K210</f>
        <v>183325</v>
      </c>
      <c r="G11" s="873"/>
    </row>
    <row r="12" spans="1:7" x14ac:dyDescent="0.2">
      <c r="A12" s="870" t="s">
        <v>482</v>
      </c>
      <c r="B12" s="871" t="s">
        <v>1991</v>
      </c>
      <c r="C12" s="872"/>
      <c r="D12" s="870" t="s">
        <v>522</v>
      </c>
      <c r="E12" s="869"/>
      <c r="F12" s="1935">
        <f>'Expenditures 15-22'!K295</f>
        <v>59468</v>
      </c>
      <c r="G12" s="873"/>
    </row>
    <row r="13" spans="1:7" x14ac:dyDescent="0.2">
      <c r="A13" s="870" t="s">
        <v>108</v>
      </c>
      <c r="B13" s="871" t="s">
        <v>1992</v>
      </c>
      <c r="C13" s="872"/>
      <c r="D13" s="870" t="s">
        <v>522</v>
      </c>
      <c r="E13" s="869"/>
      <c r="F13" s="1935">
        <f>'Expenditures 15-22'!K342</f>
        <v>74655</v>
      </c>
      <c r="G13" s="874"/>
    </row>
    <row r="14" spans="1:7" ht="12" customHeight="1" thickBot="1" x14ac:dyDescent="0.25">
      <c r="A14" s="1792"/>
      <c r="B14" s="1793"/>
      <c r="C14" s="1794"/>
      <c r="D14" s="1795" t="s">
        <v>522</v>
      </c>
      <c r="E14" s="1796" t="s">
        <v>1015</v>
      </c>
      <c r="F14" s="1797">
        <f>SUM(F8:F13)</f>
        <v>2426676</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280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125297</v>
      </c>
      <c r="G53" s="866"/>
    </row>
    <row r="54" spans="1:7" x14ac:dyDescent="0.2">
      <c r="A54" s="870" t="s">
        <v>479</v>
      </c>
      <c r="B54" s="870" t="s">
        <v>1552</v>
      </c>
      <c r="C54" s="890" t="s">
        <v>1039</v>
      </c>
      <c r="D54" s="886" t="s">
        <v>1157</v>
      </c>
      <c r="E54" s="869"/>
      <c r="F54" s="1939">
        <f>'Expenditures 15-22'!G114</f>
        <v>10625</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9">
        <f>'Expenditures 15-22'!K139</f>
        <v>0</v>
      </c>
      <c r="G57" s="866"/>
    </row>
    <row r="58" spans="1:7" x14ac:dyDescent="0.2">
      <c r="A58" s="870" t="s">
        <v>480</v>
      </c>
      <c r="B58" s="870" t="s">
        <v>1994</v>
      </c>
      <c r="C58" s="887" t="s">
        <v>1039</v>
      </c>
      <c r="D58" s="886" t="s">
        <v>1157</v>
      </c>
      <c r="E58" s="869"/>
      <c r="F58" s="1941">
        <f>'Expenditures 15-22'!G151</f>
        <v>0</v>
      </c>
      <c r="G58" s="866"/>
    </row>
    <row r="59" spans="1:7" x14ac:dyDescent="0.2">
      <c r="A59" s="894" t="s">
        <v>480</v>
      </c>
      <c r="B59" s="857" t="s">
        <v>1995</v>
      </c>
      <c r="C59" s="895" t="s">
        <v>1039</v>
      </c>
      <c r="D59" s="857" t="s">
        <v>309</v>
      </c>
      <c r="F59" s="1942">
        <f>'Expenditures 15-22'!I151</f>
        <v>0</v>
      </c>
      <c r="G59" s="866"/>
    </row>
    <row r="60" spans="1:7" x14ac:dyDescent="0.2">
      <c r="A60" s="894" t="s">
        <v>520</v>
      </c>
      <c r="B60" s="857" t="s">
        <v>1996</v>
      </c>
      <c r="C60" s="895">
        <v>4000</v>
      </c>
      <c r="D60" s="857" t="s">
        <v>330</v>
      </c>
      <c r="F60" s="1940">
        <f>'Expenditures 15-22'!K160</f>
        <v>0</v>
      </c>
      <c r="G60" s="866"/>
    </row>
    <row r="61" spans="1:7" x14ac:dyDescent="0.2">
      <c r="A61" s="896" t="s">
        <v>520</v>
      </c>
      <c r="B61" s="896" t="s">
        <v>1997</v>
      </c>
      <c r="C61" s="897" t="str">
        <f>'Expenditures 15-22'!B170</f>
        <v>5300</v>
      </c>
      <c r="D61" s="898" t="s">
        <v>329</v>
      </c>
      <c r="E61" s="880"/>
      <c r="F61" s="1939">
        <f>'Expenditures 15-22'!K170</f>
        <v>450000</v>
      </c>
      <c r="G61" s="866"/>
    </row>
    <row r="62" spans="1:7" x14ac:dyDescent="0.2">
      <c r="A62" s="870" t="s">
        <v>481</v>
      </c>
      <c r="B62" s="870" t="s">
        <v>1998</v>
      </c>
      <c r="C62" s="887">
        <f>'Expenditures 15-22'!B185</f>
        <v>3000</v>
      </c>
      <c r="D62" s="877" t="s">
        <v>469</v>
      </c>
      <c r="E62" s="869"/>
      <c r="F62" s="1939">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2000</v>
      </c>
      <c r="C64" s="897" t="str">
        <f>'Expenditures 15-22'!B206</f>
        <v>5300</v>
      </c>
      <c r="D64" s="893" t="s">
        <v>329</v>
      </c>
      <c r="E64" s="869"/>
      <c r="F64" s="1939">
        <f>'Expenditures 15-22'!K206</f>
        <v>0</v>
      </c>
      <c r="G64" s="866"/>
    </row>
    <row r="65" spans="1:8" x14ac:dyDescent="0.2">
      <c r="A65" s="870" t="s">
        <v>481</v>
      </c>
      <c r="B65" s="870" t="s">
        <v>2001</v>
      </c>
      <c r="C65" s="887" t="s">
        <v>1039</v>
      </c>
      <c r="D65" s="886" t="s">
        <v>1157</v>
      </c>
      <c r="E65" s="869"/>
      <c r="F65" s="1939">
        <f>'Expenditures 15-22'!G210</f>
        <v>5434</v>
      </c>
      <c r="G65" s="866"/>
    </row>
    <row r="66" spans="1:8" x14ac:dyDescent="0.2">
      <c r="A66" s="870" t="s">
        <v>481</v>
      </c>
      <c r="B66" s="870" t="s">
        <v>2002</v>
      </c>
      <c r="C66" s="887" t="s">
        <v>1039</v>
      </c>
      <c r="D66" s="886" t="s">
        <v>309</v>
      </c>
      <c r="E66" s="869"/>
      <c r="F66" s="1939">
        <f>'Expenditures 15-22'!I210</f>
        <v>0</v>
      </c>
      <c r="G66" s="866"/>
    </row>
    <row r="67" spans="1:8" x14ac:dyDescent="0.2">
      <c r="A67" s="870" t="s">
        <v>482</v>
      </c>
      <c r="B67" s="870" t="s">
        <v>2003</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2005</v>
      </c>
      <c r="C70" s="887">
        <f>'Expenditures 15-22'!B221</f>
        <v>1300</v>
      </c>
      <c r="D70" s="888" t="str">
        <f>'Expenditures 15-22'!A221</f>
        <v>Adult/Continuing Education Programs</v>
      </c>
      <c r="E70" s="869"/>
      <c r="F70" s="1939">
        <f>'Expenditures 15-22'!K221</f>
        <v>0</v>
      </c>
      <c r="G70" s="866"/>
    </row>
    <row r="71" spans="1:8" x14ac:dyDescent="0.2">
      <c r="A71" s="870" t="s">
        <v>482</v>
      </c>
      <c r="B71" s="870" t="s">
        <v>2006</v>
      </c>
      <c r="C71" s="887">
        <f>'Expenditures 15-22'!B224</f>
        <v>1600</v>
      </c>
      <c r="D71" s="888" t="str">
        <f>'Expenditures 15-22'!A224</f>
        <v>Summer School Programs</v>
      </c>
      <c r="E71" s="869"/>
      <c r="F71" s="1939">
        <f>'Expenditures 15-22'!K224</f>
        <v>0</v>
      </c>
      <c r="G71" s="866"/>
    </row>
    <row r="72" spans="1:8" x14ac:dyDescent="0.2">
      <c r="A72" s="870" t="s">
        <v>482</v>
      </c>
      <c r="B72" s="870" t="s">
        <v>2007</v>
      </c>
      <c r="C72" s="887">
        <f>'Expenditures 15-22'!B280</f>
        <v>3000</v>
      </c>
      <c r="D72" s="877" t="s">
        <v>469</v>
      </c>
      <c r="E72" s="869"/>
      <c r="F72" s="1939">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2009</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591636</v>
      </c>
      <c r="G76" s="866"/>
    </row>
    <row r="77" spans="1:8" s="894" customFormat="1" ht="12" customHeight="1" thickTop="1" thickBot="1" x14ac:dyDescent="0.25">
      <c r="A77" s="1801"/>
      <c r="B77" s="1798"/>
      <c r="C77" s="1794"/>
      <c r="D77" s="1799" t="s">
        <v>2011</v>
      </c>
      <c r="E77" s="1796"/>
      <c r="F77" s="1802">
        <f>(F14-F76)</f>
        <v>1835040</v>
      </c>
      <c r="G77" s="870"/>
    </row>
    <row r="78" spans="1:8" s="894" customFormat="1" ht="12" customHeight="1" thickTop="1" x14ac:dyDescent="0.2">
      <c r="A78" s="1803"/>
      <c r="B78" s="1798"/>
      <c r="C78" s="1794"/>
      <c r="D78" s="1799" t="s">
        <v>2057</v>
      </c>
      <c r="E78" s="1796"/>
      <c r="F78" s="899">
        <v>179</v>
      </c>
      <c r="G78" s="900"/>
      <c r="H78" s="870"/>
    </row>
    <row r="79" spans="1:8" s="894" customFormat="1" ht="12" customHeight="1" thickBot="1" x14ac:dyDescent="0.25">
      <c r="A79" s="1804"/>
      <c r="B79" s="1798"/>
      <c r="C79" s="1794"/>
      <c r="D79" s="1799" t="s">
        <v>2012</v>
      </c>
      <c r="E79" s="1796" t="s">
        <v>1015</v>
      </c>
      <c r="F79" s="1805">
        <f>IF(F78&gt;0,F77/F78," Complete Line 78")</f>
        <v>10251.620111731843</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34543</v>
      </c>
      <c r="G94" s="913"/>
    </row>
    <row r="95" spans="1:7" x14ac:dyDescent="0.2">
      <c r="A95" s="909" t="s">
        <v>142</v>
      </c>
      <c r="B95" s="909" t="s">
        <v>177</v>
      </c>
      <c r="C95" s="911">
        <v>1700</v>
      </c>
      <c r="D95" s="919" t="str">
        <f>'Revenues 9-14'!A82</f>
        <v>Total District/School Activity Income</v>
      </c>
      <c r="E95" s="907"/>
      <c r="F95" s="1811">
        <f>SUM('Revenues 9-14'!C82,'Revenues 9-14'!D82)</f>
        <v>8649</v>
      </c>
      <c r="G95" s="913"/>
    </row>
    <row r="96" spans="1:7" x14ac:dyDescent="0.2">
      <c r="A96" s="909" t="s">
        <v>479</v>
      </c>
      <c r="B96" s="909" t="s">
        <v>178</v>
      </c>
      <c r="C96" s="911">
        <f>'Revenues 9-14'!B84</f>
        <v>1811</v>
      </c>
      <c r="D96" s="912" t="str">
        <f>'Revenues 9-14'!A84</f>
        <v>Rentals - Regular Textbooks</v>
      </c>
      <c r="E96" s="907"/>
      <c r="F96" s="1811">
        <f>'Revenues 9-14'!C84</f>
        <v>15403</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56542</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264</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145139</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750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21772</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17209</v>
      </c>
      <c r="G129" s="931"/>
    </row>
    <row r="130" spans="1:7" x14ac:dyDescent="0.2">
      <c r="A130" s="928" t="s">
        <v>689</v>
      </c>
      <c r="B130" s="928" t="s">
        <v>804</v>
      </c>
      <c r="C130" s="933">
        <v>4300</v>
      </c>
      <c r="D130" s="934" t="str">
        <f>'Revenues 9-14'!A211</f>
        <v>Total Title I</v>
      </c>
      <c r="E130" s="907"/>
      <c r="F130" s="1811">
        <f>SUM('Revenues 9-14'!C211,'Revenues 9-14'!D211,'Revenues 9-14'!F211,'Revenues 9-14'!G211)</f>
        <v>30750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27692</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8437</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13385</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2056</v>
      </c>
      <c r="C175" s="1946">
        <v>3100</v>
      </c>
      <c r="D175" s="1947" t="s">
        <v>2059</v>
      </c>
      <c r="E175" s="907"/>
      <c r="F175" s="1931"/>
      <c r="G175" s="928"/>
    </row>
    <row r="176" spans="1:7" x14ac:dyDescent="0.2">
      <c r="A176" s="1944" t="s">
        <v>685</v>
      </c>
      <c r="B176" s="1945" t="s">
        <v>2056</v>
      </c>
      <c r="C176" s="1946">
        <v>3300</v>
      </c>
      <c r="D176" s="1947" t="s">
        <v>2060</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380535</v>
      </c>
    </row>
    <row r="179" spans="1:7" ht="12" customHeight="1" x14ac:dyDescent="0.2">
      <c r="A179" s="1792"/>
      <c r="B179" s="1806"/>
      <c r="C179" s="1807"/>
      <c r="D179" s="1808" t="s">
        <v>2014</v>
      </c>
      <c r="E179" s="1809"/>
      <c r="F179" s="1811">
        <f>'PCTC-OEPP 27-28'!F77-F178</f>
        <v>1454505</v>
      </c>
    </row>
    <row r="180" spans="1:7" ht="12" customHeight="1" x14ac:dyDescent="0.2">
      <c r="A180" s="1792"/>
      <c r="B180" s="1806"/>
      <c r="C180" s="1807"/>
      <c r="D180" s="1808" t="s">
        <v>1924</v>
      </c>
      <c r="E180" s="1809"/>
      <c r="F180" s="1811">
        <f>'Cap Outlay Deprec 26'!I18</f>
        <v>45465</v>
      </c>
    </row>
    <row r="181" spans="1:7" ht="12" customHeight="1" x14ac:dyDescent="0.2">
      <c r="A181" s="1792"/>
      <c r="B181" s="1806"/>
      <c r="C181" s="1807"/>
      <c r="D181" s="1808" t="s">
        <v>2015</v>
      </c>
      <c r="E181" s="1809"/>
      <c r="F181" s="1811">
        <f>F179+F180</f>
        <v>1499970</v>
      </c>
    </row>
    <row r="182" spans="1:7" ht="12" customHeight="1" x14ac:dyDescent="0.2">
      <c r="A182" s="1792"/>
      <c r="B182" s="1812"/>
      <c r="C182" s="1807"/>
      <c r="D182" s="1808" t="str">
        <f>D78</f>
        <v>9 Month ADA from District Average Daily Attendance/Prior General State Aid Inquiry 2017-2018</v>
      </c>
      <c r="E182" s="1809"/>
      <c r="F182" s="1813">
        <f>'PCTC-OEPP 27-28'!F78</f>
        <v>179</v>
      </c>
      <c r="G182" s="931"/>
    </row>
    <row r="183" spans="1:7" ht="12" customHeight="1" thickBot="1" x14ac:dyDescent="0.25">
      <c r="A183" s="1792"/>
      <c r="B183" s="1812"/>
      <c r="C183" s="1807"/>
      <c r="D183" s="1808" t="s">
        <v>2016</v>
      </c>
      <c r="E183" s="1809" t="s">
        <v>1626</v>
      </c>
      <c r="F183" s="1814">
        <f>F181/F182</f>
        <v>8379.7206703910615</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8" customFormat="1" ht="12.2" customHeight="1" x14ac:dyDescent="0.2">
      <c r="A186" s="1948" t="s">
        <v>2063</v>
      </c>
      <c r="B186" s="1949"/>
      <c r="C186" s="1950"/>
      <c r="D186" s="1949"/>
      <c r="E186" s="1950"/>
      <c r="F186" s="1949"/>
      <c r="G186" s="1949"/>
    </row>
    <row r="187" spans="1:7" s="1948" customFormat="1" ht="12.2" customHeight="1" x14ac:dyDescent="0.2">
      <c r="A187" s="1951" t="s">
        <v>2064</v>
      </c>
      <c r="C187" s="1950"/>
      <c r="D187" s="1949"/>
      <c r="E187" s="1950"/>
      <c r="F187" s="1949"/>
      <c r="G187" s="1949"/>
    </row>
    <row r="188" spans="1:7" ht="12" customHeight="1" x14ac:dyDescent="0.2">
      <c r="C188" s="950"/>
      <c r="D188" s="931"/>
      <c r="E188" s="950"/>
      <c r="F188" s="931"/>
      <c r="G188" s="931"/>
    </row>
    <row r="189" spans="1:7" x14ac:dyDescent="0.2">
      <c r="A189" s="1952" t="s">
        <v>2062</v>
      </c>
      <c r="B189" s="1953"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D19" sqref="D19"/>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2073</v>
      </c>
      <c r="B7" s="2295"/>
      <c r="C7" s="2295"/>
      <c r="D7" s="2295"/>
      <c r="E7" s="2295"/>
      <c r="F7" s="2295"/>
      <c r="G7" s="2296"/>
    </row>
    <row r="8" spans="1:7" ht="15.75" customHeight="1" x14ac:dyDescent="0.25">
      <c r="A8" s="2297" t="s">
        <v>2022</v>
      </c>
      <c r="B8" s="2298"/>
      <c r="C8" s="2298"/>
      <c r="D8" s="2298"/>
      <c r="E8" s="2298"/>
      <c r="F8" s="2298"/>
      <c r="G8" s="2299"/>
    </row>
    <row r="9" spans="1:7" ht="35.25" customHeight="1" x14ac:dyDescent="0.25">
      <c r="A9" s="2294" t="s">
        <v>2076</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2075</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2107</v>
      </c>
      <c r="B17" s="1957" t="s">
        <v>2108</v>
      </c>
      <c r="C17" s="1958" t="s">
        <v>2109</v>
      </c>
      <c r="D17" s="1867">
        <v>13200</v>
      </c>
      <c r="E17" s="1562">
        <f t="shared" ref="E17:E141" si="1">IF(D17&lt;=25000,D17,IF(D17&gt;25000,25000,0))</f>
        <v>13200</v>
      </c>
      <c r="F17" s="1815">
        <f t="shared" si="0"/>
        <v>13200</v>
      </c>
      <c r="G17" s="1816">
        <f>IF(F17=0,0,D17-F17)</f>
        <v>0</v>
      </c>
      <c r="H17" s="1669"/>
    </row>
    <row r="18" spans="1:8" x14ac:dyDescent="0.25">
      <c r="A18" s="1956" t="s">
        <v>2107</v>
      </c>
      <c r="B18" s="1957" t="s">
        <v>2108</v>
      </c>
      <c r="C18" s="1958" t="s">
        <v>2110</v>
      </c>
      <c r="D18" s="1867">
        <v>1684</v>
      </c>
      <c r="E18" s="1562">
        <f t="shared" ref="E18:E140" si="2">IF(D18&lt;=25000,D18,IF(D18&gt;25000,25000,0))</f>
        <v>1684</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1684</v>
      </c>
      <c r="G18" s="1816">
        <f t="shared" ref="G18:G140" si="4">IF(F18=0,0,D18-F18)</f>
        <v>0</v>
      </c>
    </row>
    <row r="19" spans="1:8" x14ac:dyDescent="0.25">
      <c r="A19" s="1956" t="s">
        <v>2111</v>
      </c>
      <c r="B19" s="1957" t="s">
        <v>2112</v>
      </c>
      <c r="C19" s="1958" t="s">
        <v>2113</v>
      </c>
      <c r="D19" s="1867">
        <f>40*12</f>
        <v>480</v>
      </c>
      <c r="E19" s="1562">
        <f t="shared" si="2"/>
        <v>480</v>
      </c>
      <c r="F19" s="1815">
        <f t="shared" si="3"/>
        <v>480</v>
      </c>
      <c r="G19" s="1816">
        <f t="shared" si="4"/>
        <v>0</v>
      </c>
    </row>
    <row r="20" spans="1:8" x14ac:dyDescent="0.25">
      <c r="A20" s="1956" t="s">
        <v>2111</v>
      </c>
      <c r="B20" s="1957" t="s">
        <v>2112</v>
      </c>
      <c r="C20" s="1958" t="s">
        <v>2114</v>
      </c>
      <c r="D20" s="1867">
        <f>9977+1448</f>
        <v>11425</v>
      </c>
      <c r="E20" s="1562">
        <f t="shared" si="2"/>
        <v>11425</v>
      </c>
      <c r="F20" s="1815">
        <f t="shared" si="3"/>
        <v>11425</v>
      </c>
      <c r="G20" s="1816">
        <f t="shared" si="4"/>
        <v>0</v>
      </c>
    </row>
    <row r="21" spans="1:8" x14ac:dyDescent="0.25">
      <c r="A21" s="1956" t="s">
        <v>2111</v>
      </c>
      <c r="B21" s="1957" t="s">
        <v>2112</v>
      </c>
      <c r="C21" s="1958" t="s">
        <v>2115</v>
      </c>
      <c r="D21" s="1867">
        <v>3943</v>
      </c>
      <c r="E21" s="1562">
        <f t="shared" si="2"/>
        <v>3943</v>
      </c>
      <c r="F21" s="1815">
        <f t="shared" si="3"/>
        <v>3943</v>
      </c>
      <c r="G21" s="1816">
        <f t="shared" si="4"/>
        <v>0</v>
      </c>
    </row>
    <row r="22" spans="1:8" x14ac:dyDescent="0.25">
      <c r="A22" s="1956" t="s">
        <v>2111</v>
      </c>
      <c r="B22" s="1957" t="s">
        <v>2112</v>
      </c>
      <c r="C22" s="1958" t="s">
        <v>2116</v>
      </c>
      <c r="D22" s="1867">
        <v>1537</v>
      </c>
      <c r="E22" s="1562">
        <f t="shared" si="2"/>
        <v>1537</v>
      </c>
      <c r="F22" s="1815">
        <f t="shared" si="3"/>
        <v>1537</v>
      </c>
      <c r="G22" s="1816">
        <f t="shared" si="4"/>
        <v>0</v>
      </c>
    </row>
    <row r="23" spans="1:8" x14ac:dyDescent="0.25">
      <c r="A23" s="1956" t="s">
        <v>2111</v>
      </c>
      <c r="B23" s="1957" t="s">
        <v>2112</v>
      </c>
      <c r="C23" s="1958" t="s">
        <v>2117</v>
      </c>
      <c r="D23" s="1867">
        <v>2170</v>
      </c>
      <c r="E23" s="1562">
        <f t="shared" si="2"/>
        <v>2170</v>
      </c>
      <c r="F23" s="1815">
        <f t="shared" si="3"/>
        <v>2170</v>
      </c>
      <c r="G23" s="1816">
        <f t="shared" si="4"/>
        <v>0</v>
      </c>
    </row>
    <row r="24" spans="1:8" x14ac:dyDescent="0.25">
      <c r="A24" s="1956" t="s">
        <v>2111</v>
      </c>
      <c r="B24" s="1957" t="s">
        <v>2112</v>
      </c>
      <c r="C24" s="1958" t="s">
        <v>2118</v>
      </c>
      <c r="D24" s="1867">
        <v>1850</v>
      </c>
      <c r="E24" s="1562">
        <f t="shared" si="2"/>
        <v>1850</v>
      </c>
      <c r="F24" s="1815">
        <f t="shared" si="3"/>
        <v>1850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36289</v>
      </c>
      <c r="E141" s="1563">
        <f t="shared" si="1"/>
        <v>25000</v>
      </c>
      <c r="F141" s="1817">
        <f>SUM(F17:F140)</f>
        <v>36289</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f>+'Revenues 9-14'!C201</f>
        <v>17209</v>
      </c>
      <c r="F10" s="975"/>
      <c r="G10" s="976"/>
      <c r="H10" s="162"/>
      <c r="I10" s="162"/>
    </row>
    <row r="11" spans="1:9" s="669" customFormat="1" ht="22.5" customHeight="1" x14ac:dyDescent="0.2">
      <c r="A11" s="2305" t="s">
        <v>1944</v>
      </c>
      <c r="B11" s="2306"/>
      <c r="C11" s="2306"/>
      <c r="D11" s="2307"/>
      <c r="E11" s="978">
        <v>5674</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1079111</v>
      </c>
      <c r="F19" s="1822"/>
      <c r="G19" s="1824">
        <f>'Expenditures 15-22'!K33-SUM('Expenditures 15-22'!G33,'Expenditures 15-22'!I33)+'Expenditures 15-22'!D229</f>
        <v>1079111</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38072</v>
      </c>
      <c r="F21" s="1825"/>
      <c r="G21" s="1828">
        <f>'Expenditures 15-22'!K42-SUM('Expenditures 15-22'!G42,'Expenditures 15-22'!I42)+'Expenditures 15-22'!K120-SUM('Expenditures 15-22'!G120,'Expenditures 15-22'!I120)+'Expenditures 15-22'!K180-SUM('Expenditures 15-22'!G180,'Expenditures 15-22'!I180)+'Expenditures 15-22'!D238</f>
        <v>38072</v>
      </c>
      <c r="H21" s="988"/>
      <c r="I21" s="162"/>
    </row>
    <row r="22" spans="1:9" s="669" customFormat="1" ht="12" customHeight="1" x14ac:dyDescent="0.2">
      <c r="A22" s="995" t="s">
        <v>585</v>
      </c>
      <c r="B22" s="996"/>
      <c r="C22" s="994">
        <v>2200</v>
      </c>
      <c r="D22" s="1825"/>
      <c r="E22" s="1827">
        <f>'Expenditures 15-22'!K47-SUM('Expenditures 15-22'!G47,'Expenditures 15-22'!I47)+'Expenditures 15-22'!D243</f>
        <v>2903</v>
      </c>
      <c r="F22" s="1825"/>
      <c r="G22" s="1828">
        <f>'Expenditures 15-22'!K47-SUM('Expenditures 15-22'!G47,'Expenditures 15-22'!I47)+'Expenditures 15-22'!D243</f>
        <v>2903</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156786</v>
      </c>
      <c r="F23" s="1825"/>
      <c r="G23" s="1827">
        <f>'Expenditures 15-22'!K53-SUM('Expenditures 15-22'!G53,'Expenditures 15-22'!I53)+'Expenditures 15-22'!D257+'Expenditures 15-22'!K330-SUM('Expenditures 15-22'!G330,'Expenditures 15-22'!I330)</f>
        <v>156786</v>
      </c>
      <c r="H23" s="988"/>
      <c r="I23" s="162"/>
    </row>
    <row r="24" spans="1:9" s="669" customFormat="1" ht="12" customHeight="1" x14ac:dyDescent="0.2">
      <c r="A24" s="995" t="s">
        <v>587</v>
      </c>
      <c r="B24" s="996"/>
      <c r="C24" s="994">
        <v>2400</v>
      </c>
      <c r="D24" s="1825"/>
      <c r="E24" s="1827">
        <f>'Expenditures 15-22'!K57-SUM('Expenditures 15-22'!G57,'Expenditures 15-22'!I57)+'Expenditures 15-22'!D261</f>
        <v>128472</v>
      </c>
      <c r="F24" s="1825"/>
      <c r="G24" s="1828">
        <f>'Expenditures 15-22'!K57-SUM('Expenditures 15-22'!G57,'Expenditures 15-22'!I57)+'Expenditures 15-22'!D261</f>
        <v>128472</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15174</v>
      </c>
      <c r="E27" s="1827">
        <f>E8</f>
        <v>0</v>
      </c>
      <c r="F27" s="1827">
        <f>'Expenditures 15-22'!K60-SUM('Expenditures 15-22'!G60,'Expenditures 15-22'!I60)+'Expenditures 15-22'!D264-E8</f>
        <v>15174</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139702</v>
      </c>
      <c r="F28" s="1829">
        <f>'Expenditures 15-22'!K61-SUM('Expenditures 15-22'!G61,'Expenditures 15-22'!I61)+'Expenditures 15-22'!K124-SUM('Expenditures 15-22'!G124,'Expenditures 15-22'!I124)+'Expenditures 15-22'!D266-E9</f>
        <v>139702</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182370</v>
      </c>
      <c r="F29" s="1825"/>
      <c r="G29" s="1828">
        <f>'Expenditures 15-22'!K62-SUM('Expenditures 15-22'!G62,'Expenditures 15-22'!I62)+'Expenditures 15-22'!K125-SUM('Expenditures 15-22'!G125,'Expenditures 15-22'!I125)+'Expenditures 15-22'!K182-SUM('Expenditures 15-22'!G182,'Expenditures 15-22'!I182)+'Expenditures 15-22'!D267</f>
        <v>182370</v>
      </c>
      <c r="H29" s="986"/>
    </row>
    <row r="30" spans="1:9" ht="12" customHeight="1" x14ac:dyDescent="0.2">
      <c r="A30" s="995" t="s">
        <v>102</v>
      </c>
      <c r="B30" s="998"/>
      <c r="C30" s="994">
        <v>2560</v>
      </c>
      <c r="D30" s="1825"/>
      <c r="E30" s="1827">
        <f>'Expenditures 15-22'!K63-SUM('Expenditures 15-22'!G63,'Expenditures 15-22'!I63)+'Expenditures 15-22'!D268-E10</f>
        <v>67172</v>
      </c>
      <c r="F30" s="1825"/>
      <c r="G30" s="1827">
        <f>'Expenditures 15-22'!K63-SUM('Expenditures 15-22'!G63,'Expenditures 15-22'!I63)+'Expenditures 15-22'!D268-E10</f>
        <v>67172</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15174</v>
      </c>
      <c r="E41" s="1829">
        <f>SUM(E19:E40)</f>
        <v>1794588</v>
      </c>
      <c r="F41" s="1829">
        <f>SUM(F19:F39)</f>
        <v>154876</v>
      </c>
      <c r="G41" s="1829">
        <f>SUM(G19:G40)</f>
        <v>1654886</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15174</v>
      </c>
      <c r="F43" s="1830" t="s">
        <v>495</v>
      </c>
      <c r="G43" s="1831">
        <f>F41</f>
        <v>154876</v>
      </c>
    </row>
    <row r="44" spans="1:7" ht="12" customHeight="1" x14ac:dyDescent="0.2">
      <c r="A44" s="988"/>
      <c r="B44" s="162"/>
      <c r="C44" s="1002"/>
      <c r="D44" s="1830" t="s">
        <v>494</v>
      </c>
      <c r="E44" s="1831">
        <f>E41</f>
        <v>1794588</v>
      </c>
      <c r="F44" s="1830" t="s">
        <v>494</v>
      </c>
      <c r="G44" s="1831">
        <f>G41</f>
        <v>1654886</v>
      </c>
    </row>
    <row r="45" spans="1:7" ht="12" customHeight="1" x14ac:dyDescent="0.2">
      <c r="A45" s="988"/>
      <c r="B45" s="162"/>
      <c r="C45" s="162"/>
      <c r="D45" s="1832" t="s">
        <v>1063</v>
      </c>
      <c r="E45" s="1833">
        <f>(E43/E44)</f>
        <v>8.4554226373964383E-3</v>
      </c>
      <c r="F45" s="1832" t="s">
        <v>1063</v>
      </c>
      <c r="G45" s="1833">
        <f>(G43/G44)</f>
        <v>9.3587111136356219E-2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F31" sqref="F31"/>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2" t="s">
        <v>1446</v>
      </c>
      <c r="B1" s="2322"/>
      <c r="C1" s="2322"/>
      <c r="D1" s="2322"/>
      <c r="E1" s="2322"/>
      <c r="F1" s="2322"/>
    </row>
    <row r="2" spans="1:10" x14ac:dyDescent="0.2">
      <c r="A2" s="1912" t="s">
        <v>2046</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3" t="s">
        <v>1627</v>
      </c>
      <c r="B5" s="2324"/>
      <c r="C5" s="2325"/>
      <c r="D5" s="2325"/>
      <c r="E5" s="2325"/>
      <c r="F5" s="2325"/>
    </row>
    <row r="6" spans="1:10" ht="12" customHeight="1" x14ac:dyDescent="0.25">
      <c r="A6" s="1875"/>
      <c r="B6" s="1876"/>
      <c r="C6" s="2326" t="str">
        <f>COVER!A17</f>
        <v>Miller Township Community Consolidated School District 210</v>
      </c>
      <c r="D6" s="2326"/>
      <c r="E6" s="2326"/>
      <c r="F6" s="1877"/>
    </row>
    <row r="7" spans="1:10" ht="11.25" customHeight="1" thickBot="1" x14ac:dyDescent="0.3">
      <c r="A7" s="1875"/>
      <c r="B7" s="1876"/>
      <c r="C7" s="2327">
        <f>COVER!A13</f>
        <v>35050210004</v>
      </c>
      <c r="D7" s="2327"/>
      <c r="E7" s="2327"/>
      <c r="F7" s="1877"/>
    </row>
    <row r="8" spans="1:10" ht="25.5" customHeight="1" thickBot="1" x14ac:dyDescent="0.25">
      <c r="A8" s="1918" t="s">
        <v>2023</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c r="F26" s="1892" t="s">
        <v>2097</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t="s">
        <v>2077</v>
      </c>
      <c r="D30" s="1890" t="s">
        <v>2077</v>
      </c>
      <c r="E30" s="1893"/>
      <c r="F30" s="1892" t="s">
        <v>2098</v>
      </c>
      <c r="H30" s="1903">
        <f t="shared" si="0"/>
        <v>5</v>
      </c>
      <c r="I30" s="1903">
        <f t="shared" si="1"/>
        <v>5</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10</v>
      </c>
      <c r="I34" s="1903">
        <f>SUM(I11:I32)</f>
        <v>10</v>
      </c>
      <c r="J34" s="1903">
        <f>SUM(J11:J32)</f>
        <v>0</v>
      </c>
      <c r="K34" s="1903">
        <f>SUM(H34:J34)</f>
        <v>20</v>
      </c>
    </row>
    <row r="35" spans="1:11" ht="12" customHeight="1" x14ac:dyDescent="0.2">
      <c r="A35" s="1896" t="s">
        <v>1459</v>
      </c>
      <c r="B35" s="1897"/>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8"/>
      <c r="B39" s="1898"/>
      <c r="C39" s="1898"/>
      <c r="D39" s="1898"/>
      <c r="E39" s="1898"/>
      <c r="F39" s="1898"/>
    </row>
    <row r="40" spans="1:11" s="1895" customFormat="1" ht="12" customHeight="1" x14ac:dyDescent="0.25">
      <c r="A40" s="1899" t="s">
        <v>1458</v>
      </c>
      <c r="B40" s="1900"/>
      <c r="C40" s="2317"/>
      <c r="D40" s="2317"/>
      <c r="E40" s="2317"/>
      <c r="F40" s="2318"/>
      <c r="H40" s="1904"/>
      <c r="I40" s="1904"/>
      <c r="J40" s="1904"/>
      <c r="K40" s="1904"/>
    </row>
    <row r="41" spans="1:11" s="1895" customFormat="1" ht="12" customHeight="1" x14ac:dyDescent="0.25">
      <c r="A41" s="2319"/>
      <c r="B41" s="2320"/>
      <c r="C41" s="2320"/>
      <c r="D41" s="2320"/>
      <c r="E41" s="2320"/>
      <c r="F41" s="2321"/>
      <c r="H41" s="1904"/>
      <c r="I41" s="1904"/>
      <c r="J41" s="1904"/>
      <c r="K41" s="1904"/>
    </row>
    <row r="42" spans="1:11" s="1895" customFormat="1" ht="12" customHeight="1" x14ac:dyDescent="0.25">
      <c r="A42" s="2319"/>
      <c r="B42" s="2320"/>
      <c r="C42" s="2320"/>
      <c r="D42" s="2320"/>
      <c r="E42" s="2320"/>
      <c r="F42" s="2321"/>
      <c r="H42" s="1904"/>
      <c r="I42" s="1904"/>
      <c r="J42" s="1904"/>
      <c r="K42" s="1904"/>
    </row>
    <row r="43" spans="1:11" s="1895" customFormat="1" ht="15" x14ac:dyDescent="0.25">
      <c r="A43" s="2308"/>
      <c r="B43" s="2309"/>
      <c r="C43" s="2309"/>
      <c r="D43" s="2309"/>
      <c r="E43" s="2309"/>
      <c r="F43" s="2310"/>
      <c r="H43" s="1904"/>
      <c r="I43" s="1904"/>
      <c r="J43" s="1904"/>
      <c r="K43" s="1904"/>
    </row>
    <row r="44" spans="1:11" s="1895" customFormat="1" ht="12" hidden="1" customHeight="1" x14ac:dyDescent="0.25">
      <c r="A44" s="2308"/>
      <c r="B44" s="2309"/>
      <c r="C44" s="2309"/>
      <c r="D44" s="2309"/>
      <c r="E44" s="2309"/>
      <c r="F44" s="2310"/>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Miller Township Community Consolidated School District 210</v>
      </c>
      <c r="J6" s="2336"/>
      <c r="Q6" s="1686"/>
    </row>
    <row r="7" spans="1:17" x14ac:dyDescent="0.2">
      <c r="A7" s="2337" t="s">
        <v>924</v>
      </c>
      <c r="B7" s="2338"/>
      <c r="C7" s="2338"/>
      <c r="D7" s="2338"/>
      <c r="E7" s="2339"/>
      <c r="F7" s="1018"/>
      <c r="G7" s="1010"/>
      <c r="H7" s="1017" t="s">
        <v>390</v>
      </c>
      <c r="I7" s="2340">
        <f>COVER!A13</f>
        <v>35050210004</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45944</v>
      </c>
      <c r="F12" s="1040"/>
      <c r="G12" s="1834">
        <f t="shared" ref="G12:G18" si="0">SUM(E12:F12)</f>
        <v>45944</v>
      </c>
      <c r="H12" s="1041">
        <v>48030</v>
      </c>
      <c r="I12" s="1040"/>
      <c r="J12" s="1834">
        <f t="shared" ref="J12:J18" si="1">SUM(H12:I12)</f>
        <v>48030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45944</v>
      </c>
      <c r="F19" s="1836">
        <f t="shared" si="2"/>
        <v>0</v>
      </c>
      <c r="G19" s="1836">
        <f t="shared" si="2"/>
        <v>45944</v>
      </c>
      <c r="H19" s="1836">
        <f t="shared" si="2"/>
        <v>48030</v>
      </c>
      <c r="I19" s="1836">
        <f t="shared" si="2"/>
        <v>0</v>
      </c>
      <c r="J19" s="1836">
        <f t="shared" si="2"/>
        <v>48030</v>
      </c>
    </row>
    <row r="20" spans="1:10" ht="13.5" thickTop="1" x14ac:dyDescent="0.2">
      <c r="A20" s="1036">
        <v>9</v>
      </c>
      <c r="B20" s="2347" t="s">
        <v>1703</v>
      </c>
      <c r="C20" s="2347"/>
      <c r="D20" s="2348"/>
      <c r="E20" s="1047"/>
      <c r="F20" s="1047"/>
      <c r="G20" s="1047"/>
      <c r="H20" s="1047"/>
      <c r="I20" s="1047"/>
      <c r="J20" s="1837">
        <f>IF(AND(G19&gt;0,J19&gt;0),(((J19-G19)/G19)),"Enter Budget Data")</f>
        <v>4.5403099425387429E-2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1943</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11" sqref="A11"/>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2099</v>
      </c>
    </row>
    <row r="6" spans="1:2" x14ac:dyDescent="0.2">
      <c r="A6" s="1069">
        <v>2</v>
      </c>
      <c r="B6" s="329" t="s">
        <v>2100</v>
      </c>
    </row>
    <row r="7" spans="1:2" x14ac:dyDescent="0.2">
      <c r="A7" s="1069">
        <v>3</v>
      </c>
      <c r="B7" s="329" t="s">
        <v>2101</v>
      </c>
    </row>
    <row r="8" spans="1:2" x14ac:dyDescent="0.2">
      <c r="A8" s="1069">
        <v>4</v>
      </c>
      <c r="B8" s="329" t="s">
        <v>2102</v>
      </c>
    </row>
    <row r="9" spans="1:2" x14ac:dyDescent="0.2">
      <c r="A9" s="1069">
        <v>5</v>
      </c>
      <c r="B9" s="329" t="s">
        <v>2103</v>
      </c>
    </row>
    <row r="10" spans="1:2" x14ac:dyDescent="0.2">
      <c r="A10" s="1069">
        <v>6</v>
      </c>
      <c r="B10" s="329" t="s">
        <v>2104</v>
      </c>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Miller Township Community Consolidated School District 210</v>
      </c>
    </row>
    <row r="65" spans="2:2" x14ac:dyDescent="0.2">
      <c r="B65" s="1071">
        <f>COVER!A13</f>
        <v>35050210004</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A13" sqref="A13"/>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11" dvAspect="DVASPECT_ICON" shapeId="50177"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Exch.Document.11" dvAspect="DVASPECT_ICON" shapeId="50177" r:id="rId4"/>
      </mc:Fallback>
    </mc:AlternateContent>
    <mc:AlternateContent xmlns:mc="http://schemas.openxmlformats.org/markup-compatibility/2006">
      <mc:Choice Requires="x14">
        <oleObject progId="AcroExch.Document.11" dvAspect="DVASPECT_ICON" shapeId="50178" r:id="rId6">
          <objectPr defaultSize="0" r:id="rId5">
            <anchor moveWithCells="1">
              <from>
                <xdr:col>0</xdr:col>
                <xdr:colOff>0</xdr:colOff>
                <xdr:row>4</xdr:row>
                <xdr:rowOff>0</xdr:rowOff>
              </from>
              <to>
                <xdr:col>1</xdr:col>
                <xdr:colOff>790575</xdr:colOff>
                <xdr:row>8</xdr:row>
                <xdr:rowOff>38100</xdr:rowOff>
              </to>
            </anchor>
          </objectPr>
        </oleObject>
      </mc:Choice>
      <mc:Fallback>
        <oleObject progId="AcroExch.Document.11" dvAspect="DVASPECT_ICON" shapeId="50178" r:id="rId6"/>
      </mc:Fallback>
    </mc:AlternateContent>
    <mc:AlternateContent xmlns:mc="http://schemas.openxmlformats.org/markup-compatibility/2006">
      <mc:Choice Requires="x14">
        <oleObject progId="AcroExch.Document.11" dvAspect="DVASPECT_ICON" shapeId="50179" r:id="rId7">
          <objectPr defaultSize="0" r:id="rId5">
            <anchor moveWithCells="1">
              <from>
                <xdr:col>0</xdr:col>
                <xdr:colOff>0</xdr:colOff>
                <xdr:row>8</xdr:row>
                <xdr:rowOff>0</xdr:rowOff>
              </from>
              <to>
                <xdr:col>1</xdr:col>
                <xdr:colOff>790575</xdr:colOff>
                <xdr:row>12</xdr:row>
                <xdr:rowOff>38100</xdr:rowOff>
              </to>
            </anchor>
          </objectPr>
        </oleObject>
      </mc:Choice>
      <mc:Fallback>
        <oleObject progId="AcroExch.Document.11" dvAspect="DVASPECT_ICON" shapeId="50179" r:id="rId7"/>
      </mc:Fallback>
    </mc:AlternateContent>
    <mc:AlternateContent xmlns:mc="http://schemas.openxmlformats.org/markup-compatibility/2006">
      <mc:Choice Requires="x14">
        <oleObject progId="AcroExch.Document.11" dvAspect="DVASPECT_ICON" shapeId="50180" r:id="rId8">
          <objectPr defaultSize="0" r:id="rId5">
            <anchor moveWithCells="1">
              <from>
                <xdr:col>0</xdr:col>
                <xdr:colOff>0</xdr:colOff>
                <xdr:row>12</xdr:row>
                <xdr:rowOff>0</xdr:rowOff>
              </from>
              <to>
                <xdr:col>1</xdr:col>
                <xdr:colOff>790575</xdr:colOff>
                <xdr:row>15</xdr:row>
                <xdr:rowOff>200025</xdr:rowOff>
              </to>
            </anchor>
          </objectPr>
        </oleObject>
      </mc:Choice>
      <mc:Fallback>
        <oleObject progId="AcroExch.Document.11" dvAspect="DVASPECT_ICON" shapeId="50180"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2054</v>
      </c>
      <c r="B4" s="2375"/>
      <c r="C4" s="2375"/>
      <c r="D4" s="2375"/>
      <c r="E4" s="2375"/>
      <c r="F4" s="2376"/>
      <c r="G4" s="1075"/>
      <c r="H4" s="1075"/>
    </row>
    <row r="5" spans="1:8" ht="14.25" customHeight="1" x14ac:dyDescent="0.2">
      <c r="A5" s="2377" t="s">
        <v>2055</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1361963</v>
      </c>
      <c r="C8" s="1838">
        <f>'Acct Summary 7-8'!D8</f>
        <v>167885</v>
      </c>
      <c r="D8" s="1838">
        <f>'Acct Summary 7-8'!F8</f>
        <v>236387</v>
      </c>
      <c r="E8" s="1838">
        <f>'Acct Summary 7-8'!I8</f>
        <v>27604</v>
      </c>
      <c r="F8" s="1838">
        <f>SUM(B8:E8)</f>
        <v>1793839</v>
      </c>
    </row>
    <row r="9" spans="1:8" s="1080" customFormat="1" ht="14.25" customHeight="1" thickBot="1" x14ac:dyDescent="0.25">
      <c r="A9" s="1079" t="s">
        <v>1436</v>
      </c>
      <c r="B9" s="1839">
        <f>'Acct Summary 7-8'!C17</f>
        <v>1514508</v>
      </c>
      <c r="C9" s="1839">
        <f>'Acct Summary 7-8'!D17</f>
        <v>136371</v>
      </c>
      <c r="D9" s="1839">
        <f>'Acct Summary 7-8'!F17</f>
        <v>183325</v>
      </c>
      <c r="E9" s="1838"/>
      <c r="F9" s="1838">
        <f>SUM(B9:E9)</f>
        <v>1834204</v>
      </c>
    </row>
    <row r="10" spans="1:8" s="1080" customFormat="1" ht="14.25" thickTop="1" thickBot="1" x14ac:dyDescent="0.25">
      <c r="A10" s="1081" t="s">
        <v>1437</v>
      </c>
      <c r="B10" s="1840">
        <f>(B8-B9)</f>
        <v>-152545</v>
      </c>
      <c r="C10" s="1840">
        <f>(C8-C9)</f>
        <v>31514</v>
      </c>
      <c r="D10" s="1840">
        <f>(D8-D9)</f>
        <v>53062</v>
      </c>
      <c r="E10" s="1839">
        <f>(E8-E9)</f>
        <v>27604</v>
      </c>
      <c r="F10" s="1841">
        <f>SUM(F8-F9)</f>
        <v>-40365</v>
      </c>
    </row>
    <row r="11" spans="1:8" s="1080" customFormat="1" ht="14.25" thickTop="1" thickBot="1" x14ac:dyDescent="0.25">
      <c r="A11" s="1082" t="s">
        <v>1785</v>
      </c>
      <c r="B11" s="1842">
        <f>'Acct Summary 7-8'!C81</f>
        <v>915056</v>
      </c>
      <c r="C11" s="1842">
        <f>'Acct Summary 7-8'!D81</f>
        <v>182618</v>
      </c>
      <c r="D11" s="1842">
        <f>'Acct Summary 7-8'!F81</f>
        <v>143799</v>
      </c>
      <c r="E11" s="1842">
        <f>'Acct Summary 7-8'!I81</f>
        <v>0</v>
      </c>
      <c r="F11" s="1843">
        <f>SUM(B11:E11)</f>
        <v>1241473</v>
      </c>
    </row>
    <row r="12" spans="1:8" ht="16.5" customHeight="1" thickTop="1" x14ac:dyDescent="0.2">
      <c r="A12" s="1083"/>
      <c r="B12" s="1084"/>
      <c r="C12" s="2359" t="str">
        <f>IF(AND(F10&lt;0,F11&gt;=0,ABS(F10*3)&gt;ABS(F11)),A16,IF(AND(F10&lt;0,F11&gt;0,ABS(F10*3)&lt;=ABS(F11)),A17,IF(AND(F10&lt;0,F11&lt;0),A16,IF(F11=0,A19,A18))))</f>
        <v>Unbalanced -  however, a deficit reduction plan is not required at this time.</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35050210004</v>
      </c>
    </row>
    <row r="3" spans="1:2" x14ac:dyDescent="0.2">
      <c r="A3" t="s">
        <v>1013</v>
      </c>
      <c r="B3" s="138" t="str">
        <f>COVER!A15</f>
        <v>LaSalle and Grundy</v>
      </c>
    </row>
    <row r="4" spans="1:2" x14ac:dyDescent="0.2">
      <c r="A4" t="s">
        <v>1064</v>
      </c>
      <c r="B4" s="138" t="str">
        <f>COVER!A17</f>
        <v>Miller Township Community Consolidated School District 210</v>
      </c>
    </row>
    <row r="5" spans="1:2" x14ac:dyDescent="0.2">
      <c r="A5" t="s">
        <v>728</v>
      </c>
      <c r="B5" s="138" t="str">
        <f>COVER!A38</f>
        <v>Dave Hermann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066-005100</v>
      </c>
    </row>
    <row r="16" spans="1:2" x14ac:dyDescent="0.2">
      <c r="A16" t="s">
        <v>442</v>
      </c>
      <c r="B16" s="138" t="str">
        <f>COVER!T13</f>
        <v>Mack &amp; Associates, P.C.</v>
      </c>
    </row>
    <row r="17" spans="1:2" x14ac:dyDescent="0.2">
      <c r="A17" t="s">
        <v>939</v>
      </c>
      <c r="B17" s="138" t="str">
        <f>COVER!T15</f>
        <v>Tawnya Mack, CPA</v>
      </c>
    </row>
    <row r="18" spans="1:2" x14ac:dyDescent="0.2">
      <c r="A18" t="s">
        <v>1212</v>
      </c>
      <c r="B18" s="138" t="str">
        <f>COVER!T17</f>
        <v>116 E. Washington Street, Suite One</v>
      </c>
    </row>
    <row r="19" spans="1:2" x14ac:dyDescent="0.2">
      <c r="A19" t="s">
        <v>941</v>
      </c>
      <c r="B19" s="138" t="str">
        <f>COVER!T25</f>
        <v>tmack@mackcpas.com</v>
      </c>
    </row>
    <row r="20" spans="1:2" x14ac:dyDescent="0.2">
      <c r="A20" t="s">
        <v>942</v>
      </c>
      <c r="B20" s="138" t="str">
        <f>COVER!T19</f>
        <v>Morris</v>
      </c>
    </row>
    <row r="21" spans="1:2" x14ac:dyDescent="0.2">
      <c r="A21" t="s">
        <v>500</v>
      </c>
      <c r="B21" s="138" t="str">
        <f>COVER!X19</f>
        <v>IL</v>
      </c>
    </row>
    <row r="22" spans="1:2" x14ac:dyDescent="0.2">
      <c r="A22" t="s">
        <v>943</v>
      </c>
      <c r="B22" s="138">
        <f>COVER!Z19</f>
        <v>60450</v>
      </c>
    </row>
    <row r="23" spans="1:2" x14ac:dyDescent="0.2">
      <c r="A23" t="s">
        <v>1214</v>
      </c>
      <c r="B23" s="138" t="str">
        <f>COVER!T21</f>
        <v>(815) 942-3306</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915056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780755</v>
      </c>
      <c r="D92" s="2" t="str">
        <f t="shared" si="0"/>
        <v>Error?</v>
      </c>
    </row>
    <row r="93" spans="1:4" x14ac:dyDescent="0.2">
      <c r="A93" s="5">
        <v>32</v>
      </c>
      <c r="B93" s="138">
        <f>'Assets-Liab 5-6'!C41</f>
        <v>915056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182618</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182618</v>
      </c>
      <c r="D123" s="2" t="str">
        <f t="shared" si="0"/>
        <v>Error?</v>
      </c>
    </row>
    <row r="124" spans="1:4" x14ac:dyDescent="0.2">
      <c r="A124" s="5">
        <v>63</v>
      </c>
      <c r="B124" s="138">
        <f>'Assets-Liab 5-6'!D41</f>
        <v>182618</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143799</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143799</v>
      </c>
      <c r="D170" s="2" t="str">
        <f t="shared" si="1"/>
        <v>Error?</v>
      </c>
    </row>
    <row r="171" spans="1:4" x14ac:dyDescent="0.2">
      <c r="A171" s="5">
        <v>110</v>
      </c>
      <c r="B171" s="138">
        <f>'Assets-Liab 5-6'!F41</f>
        <v>143799</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77854</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50363</v>
      </c>
      <c r="D189" s="2" t="str">
        <f t="shared" si="1"/>
        <v>Error?</v>
      </c>
    </row>
    <row r="190" spans="1:4" x14ac:dyDescent="0.2">
      <c r="A190" s="5">
        <v>129</v>
      </c>
      <c r="B190" s="138">
        <f>'Assets-Liab 5-6'!G41</f>
        <v>77854</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7500</v>
      </c>
      <c r="D273" s="2" t="str">
        <f t="shared" si="3"/>
        <v>Error?</v>
      </c>
    </row>
    <row r="274" spans="1:4" x14ac:dyDescent="0.2">
      <c r="A274" s="5">
        <v>213</v>
      </c>
      <c r="B274" s="138">
        <f>'Assets-Liab 5-6'!M17</f>
        <v>616658</v>
      </c>
      <c r="D274" s="2" t="str">
        <f t="shared" si="3"/>
        <v>Error?</v>
      </c>
    </row>
    <row r="275" spans="1:4" x14ac:dyDescent="0.2">
      <c r="A275" s="5">
        <v>214</v>
      </c>
      <c r="B275" s="138">
        <f>'Assets-Liab 5-6'!M18</f>
        <v>15126</v>
      </c>
      <c r="D275" s="2" t="str">
        <f t="shared" si="3"/>
        <v>Error?</v>
      </c>
    </row>
    <row r="276" spans="1:4" x14ac:dyDescent="0.2">
      <c r="A276" s="5">
        <v>215</v>
      </c>
      <c r="B276" s="138">
        <f>'Assets-Liab 5-6'!M19</f>
        <v>24954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664238</v>
      </c>
      <c r="C279" s="2" t="s">
        <v>594</v>
      </c>
      <c r="D279" s="2" t="str">
        <f t="shared" si="3"/>
        <v>Error?</v>
      </c>
    </row>
    <row r="280" spans="1:4" x14ac:dyDescent="0.2">
      <c r="A280" s="5">
        <v>219</v>
      </c>
      <c r="B280" s="138">
        <f>'Assets-Liab 5-6'!M40</f>
        <v>664238</v>
      </c>
      <c r="D280" s="2" t="str">
        <f t="shared" si="3"/>
        <v>Error?</v>
      </c>
    </row>
    <row r="281" spans="1:4" x14ac:dyDescent="0.2">
      <c r="A281" s="5">
        <v>220</v>
      </c>
      <c r="B281" s="138">
        <f>'Assets-Liab 5-6'!M41</f>
        <v>664238</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450000</v>
      </c>
      <c r="D283" s="2" t="str">
        <f t="shared" si="3"/>
        <v>Error?</v>
      </c>
    </row>
    <row r="284" spans="1:4" x14ac:dyDescent="0.2">
      <c r="A284" s="5">
        <v>223</v>
      </c>
      <c r="B284" s="138">
        <f>'Assets-Liab 5-6'!N23</f>
        <v>450000</v>
      </c>
      <c r="C284" s="2" t="s">
        <v>594</v>
      </c>
      <c r="D284" s="2" t="str">
        <f t="shared" si="3"/>
        <v>Error?</v>
      </c>
    </row>
    <row r="285" spans="1:4" x14ac:dyDescent="0.2">
      <c r="A285" s="5">
        <v>224</v>
      </c>
      <c r="B285" s="138">
        <f>'Assets-Liab 5-6'!N36</f>
        <v>450000</v>
      </c>
      <c r="D285" s="2" t="str">
        <f t="shared" si="3"/>
        <v>Error?</v>
      </c>
    </row>
    <row r="286" spans="1:4" x14ac:dyDescent="0.2">
      <c r="A286" s="10">
        <v>225</v>
      </c>
      <c r="D286" s="2" t="str">
        <f t="shared" si="3"/>
        <v>OK</v>
      </c>
    </row>
    <row r="287" spans="1:4" x14ac:dyDescent="0.2">
      <c r="A287" s="5">
        <v>226</v>
      </c>
      <c r="B287" s="138">
        <f>'Assets-Liab 5-6'!N37</f>
        <v>450000</v>
      </c>
      <c r="C287" s="2" t="s">
        <v>594</v>
      </c>
      <c r="D287" s="2" t="str">
        <f t="shared" si="3"/>
        <v>Error?</v>
      </c>
    </row>
    <row r="288" spans="1:4" x14ac:dyDescent="0.2">
      <c r="A288" s="5">
        <v>227</v>
      </c>
      <c r="B288" s="138">
        <f>'Assets-Liab 5-6'!N41</f>
        <v>450000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453536</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450000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606242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21022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788179</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33303</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33303</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4050</v>
      </c>
      <c r="D732" s="2" t="str">
        <f t="shared" si="10"/>
        <v>Error?</v>
      </c>
    </row>
    <row r="733" spans="1:4" x14ac:dyDescent="0.2">
      <c r="A733" s="5">
        <v>672</v>
      </c>
      <c r="B733" s="138">
        <f>'Expenditures 15-22'!C50</f>
        <v>45150</v>
      </c>
      <c r="D733" s="2" t="str">
        <f t="shared" si="10"/>
        <v>Error?</v>
      </c>
    </row>
    <row r="734" spans="1:4" x14ac:dyDescent="0.2">
      <c r="A734" s="5">
        <v>673</v>
      </c>
      <c r="B734" s="138">
        <f>'Expenditures 15-22'!C53</f>
        <v>49200</v>
      </c>
      <c r="C734" s="2" t="s">
        <v>594</v>
      </c>
      <c r="D734" s="2" t="str">
        <f t="shared" si="10"/>
        <v>Error?</v>
      </c>
    </row>
    <row r="735" spans="1:4" x14ac:dyDescent="0.2">
      <c r="A735" s="5">
        <v>674</v>
      </c>
      <c r="B735" s="138">
        <f>'Expenditures 15-22'!C55</f>
        <v>94511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94511</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43670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43670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220684</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1008863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116858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1940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144617</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3828</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3828</v>
      </c>
      <c r="C785" s="2" t="s">
        <v>594</v>
      </c>
      <c r="D785" s="2" t="str">
        <f t="shared" si="11"/>
        <v>Error?</v>
      </c>
    </row>
    <row r="786" spans="1:4" x14ac:dyDescent="0.2">
      <c r="A786" s="5">
        <v>725</v>
      </c>
      <c r="B786" s="138">
        <f>'Expenditures 15-22'!D44</f>
        <v>2130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2130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171</v>
      </c>
      <c r="D791" s="2" t="str">
        <f t="shared" si="11"/>
        <v>Error?</v>
      </c>
    </row>
    <row r="792" spans="1:4" x14ac:dyDescent="0.2">
      <c r="A792" s="5">
        <v>731</v>
      </c>
      <c r="B792" s="138">
        <f>'Expenditures 15-22'!D53</f>
        <v>171</v>
      </c>
      <c r="C792" s="2" t="s">
        <v>594</v>
      </c>
      <c r="D792" s="2" t="str">
        <f t="shared" si="11"/>
        <v>Error?</v>
      </c>
    </row>
    <row r="793" spans="1:4" x14ac:dyDescent="0.2">
      <c r="A793" s="5">
        <v>732</v>
      </c>
      <c r="B793" s="138">
        <f>'Expenditures 15-22'!D55</f>
        <v>18583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18583</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24712</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169329</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27236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5755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45413</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594</v>
      </c>
      <c r="D847" s="2" t="str">
        <f t="shared" si="12"/>
        <v>Error?</v>
      </c>
    </row>
    <row r="848" spans="1:4" x14ac:dyDescent="0.2">
      <c r="A848" s="5">
        <v>787</v>
      </c>
      <c r="B848" s="138">
        <f>'Expenditures 15-22'!E49</f>
        <v>15015</v>
      </c>
      <c r="D848" s="2" t="str">
        <f t="shared" si="12"/>
        <v>Error?</v>
      </c>
    </row>
    <row r="849" spans="1:4" x14ac:dyDescent="0.2">
      <c r="A849" s="5">
        <v>788</v>
      </c>
      <c r="B849" s="138">
        <f>'Expenditures 15-22'!E50</f>
        <v>0</v>
      </c>
      <c r="D849" s="2" t="str">
        <f t="shared" si="12"/>
        <v>Error?</v>
      </c>
    </row>
    <row r="850" spans="1:4" x14ac:dyDescent="0.2">
      <c r="A850" s="5">
        <v>789</v>
      </c>
      <c r="B850" s="138">
        <f>'Expenditures 15-22'!E53</f>
        <v>15015</v>
      </c>
      <c r="C850" s="2" t="s">
        <v>594</v>
      </c>
      <c r="D850" s="2" t="str">
        <f t="shared" si="12"/>
        <v>Error?</v>
      </c>
    </row>
    <row r="851" spans="1:4" x14ac:dyDescent="0.2">
      <c r="A851" s="5">
        <v>790</v>
      </c>
      <c r="B851" s="138">
        <f>'Expenditures 15-22'!E55</f>
        <v>712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712</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15174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183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15357</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31084</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90975</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66568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2900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70500</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406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406</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773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773</v>
      </c>
      <c r="C905" s="2" t="s">
        <v>594</v>
      </c>
      <c r="D905" s="2" t="str">
        <f t="shared" si="13"/>
        <v>Error?</v>
      </c>
    </row>
    <row r="906" spans="1:4" x14ac:dyDescent="0.2">
      <c r="A906" s="5">
        <v>845</v>
      </c>
      <c r="B906" s="138">
        <f>'Expenditures 15-22'!F49</f>
        <v>8871</v>
      </c>
      <c r="D906" s="2" t="str">
        <f t="shared" si="13"/>
        <v>Error?</v>
      </c>
    </row>
    <row r="907" spans="1:4" x14ac:dyDescent="0.2">
      <c r="A907" s="5">
        <v>846</v>
      </c>
      <c r="B907" s="138">
        <f>'Expenditures 15-22'!F50</f>
        <v>0</v>
      </c>
      <c r="D907" s="2" t="str">
        <f t="shared" si="13"/>
        <v>Error?</v>
      </c>
    </row>
    <row r="908" spans="1:4" x14ac:dyDescent="0.2">
      <c r="A908" s="5">
        <v>847</v>
      </c>
      <c r="B908" s="138">
        <f>'Expenditures 15-22'!F53</f>
        <v>8871</v>
      </c>
      <c r="C908" s="2" t="s">
        <v>594</v>
      </c>
      <c r="D908" s="2" t="str">
        <f t="shared" si="13"/>
        <v>Error?</v>
      </c>
    </row>
    <row r="909" spans="1:4" x14ac:dyDescent="0.2">
      <c r="A909" s="5">
        <v>848</v>
      </c>
      <c r="B909" s="138">
        <f>'Expenditures 15-22'!F55</f>
        <v>2584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2584</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32580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32580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45214</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115714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10625</v>
      </c>
      <c r="D958" s="2" t="str">
        <f t="shared" si="13"/>
        <v>Error?</v>
      </c>
    </row>
    <row r="959" spans="1:4" x14ac:dyDescent="0.2">
      <c r="A959" s="5">
        <v>898</v>
      </c>
      <c r="B959" s="138">
        <f>'Expenditures 15-22'!G42</f>
        <v>10625</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10625</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10625</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414</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2326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3139</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4063</v>
      </c>
      <c r="D1022" s="2" t="str">
        <f t="shared" si="14"/>
        <v>Error?</v>
      </c>
    </row>
    <row r="1023" spans="1:4" x14ac:dyDescent="0.2">
      <c r="A1023" s="5">
        <v>962</v>
      </c>
      <c r="B1023" s="138">
        <f>'Expenditures 15-22'!H50</f>
        <v>623</v>
      </c>
      <c r="D1023" s="2" t="str">
        <f t="shared" ref="D1023:D1086" si="15">IF(ISBLANK(B1023),"OK",IF(A1023-B1023=0,"OK","Error?"))</f>
        <v>Error?</v>
      </c>
    </row>
    <row r="1024" spans="1:4" x14ac:dyDescent="0.2">
      <c r="A1024" s="5">
        <v>963</v>
      </c>
      <c r="B1024" s="138">
        <f>'Expenditures 15-22'!H53</f>
        <v>4686</v>
      </c>
      <c r="C1024" s="2" t="s">
        <v>594</v>
      </c>
      <c r="D1024" s="2" t="str">
        <f t="shared" si="15"/>
        <v>Error?</v>
      </c>
    </row>
    <row r="1025" spans="1:4" x14ac:dyDescent="0.2">
      <c r="A1025" s="5">
        <v>964</v>
      </c>
      <c r="B1025" s="138">
        <f>'Expenditures 15-22'!H55</f>
        <v>100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100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258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258</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5044</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110819</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119002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817318</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33943</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1051848</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406</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37131</v>
      </c>
      <c r="C1113" s="2" t="s">
        <v>594</v>
      </c>
      <c r="D1113" s="2" t="str">
        <f t="shared" si="16"/>
        <v>Error?</v>
      </c>
    </row>
    <row r="1114" spans="1:4" x14ac:dyDescent="0.2">
      <c r="A1114" s="5">
        <v>1053</v>
      </c>
      <c r="B1114" s="138">
        <f>'Expenditures 15-22'!K41</f>
        <v>10625</v>
      </c>
      <c r="C1114" s="2" t="s">
        <v>594</v>
      </c>
      <c r="D1114" s="2" t="str">
        <f t="shared" si="16"/>
        <v>Error?</v>
      </c>
    </row>
    <row r="1115" spans="1:4" x14ac:dyDescent="0.2">
      <c r="A1115" s="5">
        <v>1054</v>
      </c>
      <c r="B1115" s="138">
        <f>'Expenditures 15-22'!K42</f>
        <v>48162</v>
      </c>
      <c r="C1115" s="2" t="s">
        <v>594</v>
      </c>
      <c r="D1115" s="2" t="str">
        <f t="shared" si="16"/>
        <v>Error?</v>
      </c>
    </row>
    <row r="1116" spans="1:4" x14ac:dyDescent="0.2">
      <c r="A1116" s="5">
        <v>1055</v>
      </c>
      <c r="B1116" s="138">
        <f>'Expenditures 15-22'!K44</f>
        <v>2130</v>
      </c>
      <c r="C1116" s="2" t="s">
        <v>594</v>
      </c>
      <c r="D1116" s="2" t="str">
        <f t="shared" si="16"/>
        <v>Error?</v>
      </c>
    </row>
    <row r="1117" spans="1:4" x14ac:dyDescent="0.2">
      <c r="A1117" s="5">
        <v>1056</v>
      </c>
      <c r="B1117" s="138">
        <f>'Expenditures 15-22'!K45</f>
        <v>773</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2903</v>
      </c>
      <c r="C1119" s="2" t="s">
        <v>594</v>
      </c>
      <c r="D1119" s="2" t="str">
        <f t="shared" si="16"/>
        <v>Error?</v>
      </c>
    </row>
    <row r="1120" spans="1:4" x14ac:dyDescent="0.2">
      <c r="A1120" s="5">
        <v>1059</v>
      </c>
      <c r="B1120" s="138">
        <f>'Expenditures 15-22'!K49</f>
        <v>31999</v>
      </c>
      <c r="C1120" s="2" t="s">
        <v>594</v>
      </c>
      <c r="D1120" s="2" t="str">
        <f t="shared" si="16"/>
        <v>Error?</v>
      </c>
    </row>
    <row r="1121" spans="1:4" x14ac:dyDescent="0.2">
      <c r="A1121" s="5">
        <v>1060</v>
      </c>
      <c r="B1121" s="138">
        <f>'Expenditures 15-22'!K50</f>
        <v>45944</v>
      </c>
      <c r="C1121" s="2" t="s">
        <v>594</v>
      </c>
      <c r="D1121" s="2" t="str">
        <f t="shared" si="16"/>
        <v>Error?</v>
      </c>
    </row>
    <row r="1122" spans="1:4" x14ac:dyDescent="0.2">
      <c r="A1122" s="5">
        <v>1061</v>
      </c>
      <c r="B1122" s="138">
        <f>'Expenditures 15-22'!K53</f>
        <v>77943</v>
      </c>
      <c r="C1122" s="2" t="s">
        <v>594</v>
      </c>
      <c r="D1122" s="2" t="str">
        <f t="shared" si="16"/>
        <v>Error?</v>
      </c>
    </row>
    <row r="1123" spans="1:4" x14ac:dyDescent="0.2">
      <c r="A1123" s="5">
        <v>1062</v>
      </c>
      <c r="B1123" s="138">
        <f>'Expenditures 15-22'!K55</f>
        <v>116490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116490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15174</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76691</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91865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337363</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125297</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1514508</v>
      </c>
      <c r="C1152" s="2" t="s">
        <v>594</v>
      </c>
      <c r="D1152" s="2" t="str">
        <f t="shared" si="17"/>
        <v>Error?</v>
      </c>
    </row>
    <row r="1153" spans="1:4" x14ac:dyDescent="0.2">
      <c r="A1153" s="5">
        <v>1092</v>
      </c>
      <c r="B1153" s="138">
        <f>'Expenditures 15-22'!K115</f>
        <v>-152545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43547</v>
      </c>
      <c r="D1221" s="2" t="str">
        <f t="shared" si="18"/>
        <v>Error?</v>
      </c>
    </row>
    <row r="1222" spans="1:4" x14ac:dyDescent="0.2">
      <c r="A1222" s="10">
        <v>1161</v>
      </c>
      <c r="D1222" s="2" t="str">
        <f t="shared" si="18"/>
        <v>OK</v>
      </c>
    </row>
    <row r="1223" spans="1:4" x14ac:dyDescent="0.2">
      <c r="A1223" s="5">
        <v>1162</v>
      </c>
      <c r="B1223" s="138">
        <f>'Expenditures 15-22'!C127</f>
        <v>43547</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43547</v>
      </c>
      <c r="C1225" s="2" t="s">
        <v>594</v>
      </c>
      <c r="D1225" s="2" t="str">
        <f t="shared" si="18"/>
        <v>Error?</v>
      </c>
    </row>
    <row r="1226" spans="1:4" x14ac:dyDescent="0.2">
      <c r="A1226" s="5">
        <v>1165</v>
      </c>
      <c r="B1226" s="138">
        <f>'Expenditures 15-22'!C151</f>
        <v>43547</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65</v>
      </c>
      <c r="D1229" s="2" t="str">
        <f t="shared" si="18"/>
        <v>Error?</v>
      </c>
    </row>
    <row r="1230" spans="1:4" x14ac:dyDescent="0.2">
      <c r="A1230" s="10">
        <v>1169</v>
      </c>
      <c r="D1230" s="2" t="str">
        <f t="shared" si="18"/>
        <v>OK</v>
      </c>
    </row>
    <row r="1231" spans="1:4" x14ac:dyDescent="0.2">
      <c r="A1231" s="5">
        <v>1170</v>
      </c>
      <c r="B1231" s="138">
        <f>'Expenditures 15-22'!D127</f>
        <v>65</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65</v>
      </c>
      <c r="C1233" s="2" t="s">
        <v>594</v>
      </c>
      <c r="D1233" s="2" t="str">
        <f t="shared" si="18"/>
        <v>Error?</v>
      </c>
    </row>
    <row r="1234" spans="1:4" x14ac:dyDescent="0.2">
      <c r="A1234" s="5">
        <v>1173</v>
      </c>
      <c r="B1234" s="138">
        <f>'Expenditures 15-22'!D151</f>
        <v>65</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51930</v>
      </c>
      <c r="D1237" s="2" t="str">
        <f t="shared" si="18"/>
        <v>Error?</v>
      </c>
    </row>
    <row r="1238" spans="1:4" x14ac:dyDescent="0.2">
      <c r="A1238" s="10">
        <v>1177</v>
      </c>
      <c r="D1238" s="2" t="str">
        <f t="shared" si="18"/>
        <v>OK</v>
      </c>
    </row>
    <row r="1239" spans="1:4" x14ac:dyDescent="0.2">
      <c r="A1239" s="5">
        <v>1178</v>
      </c>
      <c r="B1239" s="138">
        <f>'Expenditures 15-22'!E127</f>
        <v>51930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51930</v>
      </c>
      <c r="C1241" s="2" t="s">
        <v>594</v>
      </c>
      <c r="D1241" s="2" t="str">
        <f t="shared" si="18"/>
        <v>Error?</v>
      </c>
    </row>
    <row r="1242" spans="1:4" x14ac:dyDescent="0.2">
      <c r="A1242" s="5">
        <v>1181</v>
      </c>
      <c r="B1242" s="138">
        <f>'Expenditures 15-22'!E151</f>
        <v>51930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40829</v>
      </c>
      <c r="D1245" s="2" t="str">
        <f t="shared" si="18"/>
        <v>Error?</v>
      </c>
    </row>
    <row r="1246" spans="1:4" x14ac:dyDescent="0.2">
      <c r="A1246" s="10">
        <v>1185</v>
      </c>
      <c r="D1246" s="2" t="str">
        <f t="shared" si="18"/>
        <v>OK</v>
      </c>
    </row>
    <row r="1247" spans="1:4" x14ac:dyDescent="0.2">
      <c r="A1247" s="5">
        <v>1186</v>
      </c>
      <c r="B1247" s="138">
        <f>'Expenditures 15-22'!F127</f>
        <v>40829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40829</v>
      </c>
      <c r="C1249" s="2" t="s">
        <v>594</v>
      </c>
      <c r="D1249" s="2" t="str">
        <f t="shared" si="18"/>
        <v>Error?</v>
      </c>
    </row>
    <row r="1250" spans="1:4" x14ac:dyDescent="0.2">
      <c r="A1250" s="5">
        <v>1189</v>
      </c>
      <c r="B1250" s="138">
        <f>'Expenditures 15-22'!F151</f>
        <v>40829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136371</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136371</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136371</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136371</v>
      </c>
      <c r="C1288" s="2" t="s">
        <v>594</v>
      </c>
      <c r="D1288" s="2" t="str">
        <f t="shared" si="19"/>
        <v>Error?</v>
      </c>
    </row>
    <row r="1289" spans="1:4" x14ac:dyDescent="0.2">
      <c r="A1289" s="5">
        <v>1228</v>
      </c>
      <c r="B1289" s="138">
        <f>'Expenditures 15-22'!K152</f>
        <v>31514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7849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450000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458349</v>
      </c>
      <c r="C1317" s="2" t="s">
        <v>594</v>
      </c>
      <c r="D1317" s="2" t="str">
        <f t="shared" si="19"/>
        <v>Error?</v>
      </c>
    </row>
    <row r="1318" spans="1:4" x14ac:dyDescent="0.2">
      <c r="A1318" s="5">
        <v>1257</v>
      </c>
      <c r="B1318" s="138">
        <f>'Expenditures 15-22'!H174</f>
        <v>458349</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7849</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450000</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458349</v>
      </c>
      <c r="C1331" s="2" t="s">
        <v>594</v>
      </c>
      <c r="D1331" s="2" t="str">
        <f t="shared" si="19"/>
        <v>Error?</v>
      </c>
    </row>
    <row r="1332" spans="1:4" x14ac:dyDescent="0.2">
      <c r="A1332" s="5">
        <v>1271</v>
      </c>
      <c r="B1332" s="138">
        <f>'Expenditures 15-22'!K174</f>
        <v>458349</v>
      </c>
      <c r="C1332" s="2" t="s">
        <v>594</v>
      </c>
      <c r="D1332" s="2" t="str">
        <f t="shared" si="19"/>
        <v>Error?</v>
      </c>
    </row>
    <row r="1333" spans="1:4" x14ac:dyDescent="0.2">
      <c r="A1333" s="5">
        <v>1272</v>
      </c>
      <c r="B1333" s="138">
        <f>'Expenditures 15-22'!K175</f>
        <v>-552</v>
      </c>
      <c r="C1333" s="2" t="s">
        <v>594</v>
      </c>
      <c r="D1333" s="2" t="str">
        <f t="shared" si="19"/>
        <v>Error?</v>
      </c>
    </row>
    <row r="1334" spans="1:4" x14ac:dyDescent="0.2">
      <c r="A1334" s="10">
        <v>1273</v>
      </c>
      <c r="D1334" s="2" t="str">
        <f t="shared" si="19"/>
        <v>OK</v>
      </c>
    </row>
    <row r="1335" spans="1:4" x14ac:dyDescent="0.2">
      <c r="A1335" s="5">
        <v>1274</v>
      </c>
      <c r="B1335" s="138">
        <f>'Expenditures 15-22'!C182</f>
        <v>60160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60160</v>
      </c>
      <c r="C1339" s="2" t="s">
        <v>594</v>
      </c>
      <c r="D1339" s="2" t="str">
        <f t="shared" si="19"/>
        <v>Error?</v>
      </c>
    </row>
    <row r="1340" spans="1:4" x14ac:dyDescent="0.2">
      <c r="A1340" s="5">
        <v>1279</v>
      </c>
      <c r="B1340" s="138">
        <f>'Expenditures 15-22'!C210</f>
        <v>60160</v>
      </c>
      <c r="C1340" s="2" t="s">
        <v>594</v>
      </c>
      <c r="D1340" s="2" t="str">
        <f t="shared" si="19"/>
        <v>Error?</v>
      </c>
    </row>
    <row r="1341" spans="1:4" x14ac:dyDescent="0.2">
      <c r="A1341" s="5">
        <v>1280</v>
      </c>
      <c r="B1341" s="138">
        <f>'Expenditures 15-22'!D182</f>
        <v>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v>
      </c>
      <c r="C1345" s="2" t="s">
        <v>594</v>
      </c>
      <c r="D1345" s="2" t="str">
        <f t="shared" si="20"/>
        <v>Error?</v>
      </c>
    </row>
    <row r="1346" spans="1:4" x14ac:dyDescent="0.2">
      <c r="A1346" s="5">
        <v>1285</v>
      </c>
      <c r="B1346" s="138">
        <f>'Expenditures 15-22'!D210</f>
        <v>7</v>
      </c>
      <c r="C1346" s="2" t="s">
        <v>594</v>
      </c>
      <c r="D1346" s="2" t="str">
        <f t="shared" si="20"/>
        <v>Error?</v>
      </c>
    </row>
    <row r="1347" spans="1:4" x14ac:dyDescent="0.2">
      <c r="A1347" s="5">
        <v>1286</v>
      </c>
      <c r="B1347" s="138">
        <f>'Expenditures 15-22'!E182</f>
        <v>82474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82474</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82474</v>
      </c>
      <c r="C1353" s="2" t="s">
        <v>594</v>
      </c>
      <c r="D1353" s="2" t="str">
        <f t="shared" si="20"/>
        <v>Error?</v>
      </c>
    </row>
    <row r="1354" spans="1:4" x14ac:dyDescent="0.2">
      <c r="A1354" s="5">
        <v>1293</v>
      </c>
      <c r="B1354" s="138">
        <f>'Expenditures 15-22'!F182</f>
        <v>13885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13885</v>
      </c>
      <c r="C1358" s="2" t="s">
        <v>594</v>
      </c>
      <c r="D1358" s="2" t="str">
        <f t="shared" si="20"/>
        <v>Error?</v>
      </c>
    </row>
    <row r="1359" spans="1:4" x14ac:dyDescent="0.2">
      <c r="A1359" s="5">
        <v>1298</v>
      </c>
      <c r="B1359" s="138">
        <f>'Expenditures 15-22'!F210</f>
        <v>13885</v>
      </c>
      <c r="C1359" s="2" t="s">
        <v>594</v>
      </c>
      <c r="D1359" s="2" t="str">
        <f t="shared" si="20"/>
        <v>Error?</v>
      </c>
    </row>
    <row r="1360" spans="1:4" x14ac:dyDescent="0.2">
      <c r="A1360" s="5">
        <v>1299</v>
      </c>
      <c r="B1360" s="138">
        <f>'Expenditures 15-22'!G182</f>
        <v>5434</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5434</v>
      </c>
      <c r="C1364" s="2" t="s">
        <v>594</v>
      </c>
      <c r="D1364" s="2" t="str">
        <f t="shared" si="20"/>
        <v>Error?</v>
      </c>
    </row>
    <row r="1365" spans="1:4" x14ac:dyDescent="0.2">
      <c r="A1365" s="5">
        <v>1304</v>
      </c>
      <c r="B1365" s="138">
        <f>'Expenditures 15-22'!G210</f>
        <v>5434</v>
      </c>
      <c r="C1365" s="2" t="s">
        <v>594</v>
      </c>
      <c r="D1365" s="2" t="str">
        <f t="shared" si="20"/>
        <v>Error?</v>
      </c>
    </row>
    <row r="1366" spans="1:4" x14ac:dyDescent="0.2">
      <c r="A1366" s="5">
        <v>1305</v>
      </c>
      <c r="B1366" s="138">
        <f>'Expenditures 15-22'!H182</f>
        <v>21365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21365</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21365</v>
      </c>
      <c r="C1376" s="2" t="s">
        <v>594</v>
      </c>
      <c r="D1376" s="2" t="str">
        <f t="shared" si="20"/>
        <v>Error?</v>
      </c>
    </row>
    <row r="1377" spans="1:4" x14ac:dyDescent="0.2">
      <c r="A1377" s="5">
        <v>1316</v>
      </c>
      <c r="B1377" s="138">
        <f>'Expenditures 15-22'!K182</f>
        <v>183325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183325</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183325</v>
      </c>
      <c r="C1388" s="2" t="s">
        <v>594</v>
      </c>
      <c r="D1388" s="2" t="str">
        <f t="shared" si="20"/>
        <v>Error?</v>
      </c>
    </row>
    <row r="1389" spans="1:4" x14ac:dyDescent="0.2">
      <c r="A1389" s="5">
        <v>1328</v>
      </c>
      <c r="B1389" s="138">
        <f>'Expenditures 15-22'!K211</f>
        <v>53062</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664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27263</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535</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535</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391</v>
      </c>
      <c r="D1422" s="2" t="str">
        <f t="shared" si="21"/>
        <v>Error?</v>
      </c>
    </row>
    <row r="1423" spans="1:4" x14ac:dyDescent="0.2">
      <c r="A1423" s="5">
        <v>1362</v>
      </c>
      <c r="B1423" s="138">
        <f>'Expenditures 15-22'!D246</f>
        <v>656</v>
      </c>
      <c r="D1423" s="2" t="str">
        <f t="shared" si="21"/>
        <v>Error?</v>
      </c>
    </row>
    <row r="1424" spans="1:4" x14ac:dyDescent="0.2">
      <c r="A1424" s="5">
        <v>1363</v>
      </c>
      <c r="B1424" s="138">
        <f>'Expenditures 15-22'!D257</f>
        <v>4188</v>
      </c>
      <c r="C1424" s="2" t="s">
        <v>594</v>
      </c>
      <c r="D1424" s="2" t="str">
        <f t="shared" si="21"/>
        <v>Error?</v>
      </c>
    </row>
    <row r="1425" spans="1:4" x14ac:dyDescent="0.2">
      <c r="A1425" s="5">
        <v>1364</v>
      </c>
      <c r="B1425" s="138">
        <f>'Expenditures 15-22'!D259</f>
        <v>11982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11982</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3331</v>
      </c>
      <c r="D1431" s="2" t="str">
        <f t="shared" si="21"/>
        <v>Error?</v>
      </c>
    </row>
    <row r="1432" spans="1:4" x14ac:dyDescent="0.2">
      <c r="A1432" s="5">
        <v>1371</v>
      </c>
      <c r="B1432" s="138">
        <f>'Expenditures 15-22'!D267</f>
        <v>4479</v>
      </c>
      <c r="D1432" s="2" t="str">
        <f t="shared" si="21"/>
        <v>Error?</v>
      </c>
    </row>
    <row r="1433" spans="1:4" x14ac:dyDescent="0.2">
      <c r="A1433" s="5">
        <v>1372</v>
      </c>
      <c r="B1433" s="138">
        <f>'Expenditures 15-22'!D268</f>
        <v>7690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15500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32205</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59468</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664</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27263</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535</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535</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391</v>
      </c>
      <c r="C1486" s="2" t="s">
        <v>594</v>
      </c>
      <c r="D1486" s="2" t="str">
        <f t="shared" si="22"/>
        <v>Error?</v>
      </c>
    </row>
    <row r="1487" spans="1:4" x14ac:dyDescent="0.2">
      <c r="A1487" s="5">
        <v>1426</v>
      </c>
      <c r="B1487" s="138">
        <f>'Expenditures 15-22'!K246</f>
        <v>656</v>
      </c>
      <c r="C1487" s="2" t="s">
        <v>594</v>
      </c>
      <c r="D1487" s="2" t="str">
        <f t="shared" si="22"/>
        <v>Error?</v>
      </c>
    </row>
    <row r="1488" spans="1:4" x14ac:dyDescent="0.2">
      <c r="A1488" s="5">
        <v>1427</v>
      </c>
      <c r="B1488" s="138">
        <f>'Expenditures 15-22'!K257</f>
        <v>4188</v>
      </c>
      <c r="C1488" s="2" t="s">
        <v>594</v>
      </c>
      <c r="D1488" s="2" t="str">
        <f t="shared" si="22"/>
        <v>Error?</v>
      </c>
    </row>
    <row r="1489" spans="1:4" x14ac:dyDescent="0.2">
      <c r="A1489" s="5">
        <v>1428</v>
      </c>
      <c r="B1489" s="138">
        <f>'Expenditures 15-22'!K259</f>
        <v>11982</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11982</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3331</v>
      </c>
      <c r="C1495" s="2" t="s">
        <v>594</v>
      </c>
      <c r="D1495" s="2" t="str">
        <f t="shared" si="22"/>
        <v>Error?</v>
      </c>
    </row>
    <row r="1496" spans="1:4" x14ac:dyDescent="0.2">
      <c r="A1496" s="5">
        <v>1435</v>
      </c>
      <c r="B1496" s="138">
        <f>'Expenditures 15-22'!K267</f>
        <v>4479</v>
      </c>
      <c r="C1496" s="2" t="s">
        <v>594</v>
      </c>
      <c r="D1496" s="2" t="str">
        <f t="shared" si="22"/>
        <v>Error?</v>
      </c>
    </row>
    <row r="1497" spans="1:4" x14ac:dyDescent="0.2">
      <c r="A1497" s="5">
        <v>1436</v>
      </c>
      <c r="B1497" s="138">
        <f>'Expenditures 15-22'!K268</f>
        <v>7690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15500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32205</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59468</v>
      </c>
      <c r="C1517" s="2" t="s">
        <v>594</v>
      </c>
      <c r="D1517" s="2" t="str">
        <f t="shared" si="22"/>
        <v>Error?</v>
      </c>
    </row>
    <row r="1518" spans="1:4" x14ac:dyDescent="0.2">
      <c r="A1518" s="5">
        <v>1457</v>
      </c>
      <c r="B1518" s="138">
        <f>'Expenditures 15-22'!K296</f>
        <v>21529</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614065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915056</v>
      </c>
      <c r="C1630" s="2" t="s">
        <v>594</v>
      </c>
      <c r="D1630" s="2" t="str">
        <f t="shared" si="24"/>
        <v>Error?</v>
      </c>
    </row>
    <row r="1631" spans="1:4" x14ac:dyDescent="0.2">
      <c r="A1631" s="5">
        <v>1570</v>
      </c>
      <c r="B1631" s="138">
        <f>'Acct Summary 7-8'!D79</f>
        <v>151104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182618</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90737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143799</v>
      </c>
      <c r="C1672" s="2" t="s">
        <v>594</v>
      </c>
      <c r="D1672" s="2" t="str">
        <f t="shared" si="25"/>
        <v>Error?</v>
      </c>
    </row>
    <row r="1673" spans="1:4" x14ac:dyDescent="0.2">
      <c r="A1673" s="5">
        <v>1612</v>
      </c>
      <c r="B1673" s="138">
        <f>'Acct Summary 7-8'!G79</f>
        <v>56325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77854</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701110</v>
      </c>
      <c r="C1744" s="2" t="s">
        <v>594</v>
      </c>
      <c r="D1744" s="2" t="str">
        <f t="shared" si="26"/>
        <v>Error?</v>
      </c>
    </row>
    <row r="1745" spans="1:5" x14ac:dyDescent="0.2">
      <c r="A1745" s="5">
        <v>1684</v>
      </c>
      <c r="B1745" s="138">
        <f>'Tax Sched 23'!B5</f>
        <v>138016</v>
      </c>
      <c r="C1745" s="2" t="s">
        <v>594</v>
      </c>
      <c r="D1745" s="2" t="str">
        <f t="shared" si="26"/>
        <v>Error?</v>
      </c>
    </row>
    <row r="1746" spans="1:5" x14ac:dyDescent="0.2">
      <c r="A1746" s="5">
        <v>1685</v>
      </c>
      <c r="B1746" s="138">
        <f>'Tax Sched 23'!B6</f>
        <v>457797</v>
      </c>
      <c r="C1746" s="2" t="s">
        <v>594</v>
      </c>
      <c r="D1746" s="2" t="str">
        <f t="shared" si="26"/>
        <v>Error?</v>
      </c>
    </row>
    <row r="1747" spans="1:5" x14ac:dyDescent="0.2">
      <c r="A1747" s="5">
        <v>1686</v>
      </c>
      <c r="B1747" s="138">
        <f>'Tax Sched 23'!B7</f>
        <v>66248</v>
      </c>
      <c r="C1747" s="2" t="s">
        <v>594</v>
      </c>
      <c r="D1747" s="2" t="str">
        <f t="shared" si="26"/>
        <v>Error?</v>
      </c>
    </row>
    <row r="1748" spans="1:5" x14ac:dyDescent="0.2">
      <c r="A1748" s="5">
        <v>1687</v>
      </c>
      <c r="B1748" s="138">
        <f>'Tax Sched 23'!B8</f>
        <v>31000</v>
      </c>
      <c r="C1748" s="2" t="s">
        <v>594</v>
      </c>
      <c r="D1748" s="2" t="str">
        <f t="shared" si="26"/>
        <v>Error?</v>
      </c>
    </row>
    <row r="1749" spans="1:5" x14ac:dyDescent="0.2">
      <c r="A1749" s="5">
        <v>1688</v>
      </c>
      <c r="B1749" s="138">
        <f>'Tax Sched 23'!B10</f>
        <v>27604</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72994</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11381</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1556147</v>
      </c>
      <c r="C1759" s="2" t="s">
        <v>594</v>
      </c>
      <c r="D1759" s="2" t="str">
        <f t="shared" si="26"/>
        <v>Error?</v>
      </c>
    </row>
    <row r="1760" spans="1:5" x14ac:dyDescent="0.2">
      <c r="A1760" s="5">
        <v>1699</v>
      </c>
      <c r="B1760" s="138">
        <f>'Tax Sched 23'!D4</f>
        <v>701110</v>
      </c>
      <c r="C1760" s="2" t="s">
        <v>594</v>
      </c>
      <c r="D1760" s="2" t="str">
        <f t="shared" si="26"/>
        <v>Error?</v>
      </c>
    </row>
    <row r="1761" spans="1:5" x14ac:dyDescent="0.2">
      <c r="A1761" s="5">
        <v>1700</v>
      </c>
      <c r="B1761" s="138">
        <f>'Tax Sched 23'!D5</f>
        <v>138016</v>
      </c>
      <c r="C1761" s="2" t="s">
        <v>594</v>
      </c>
      <c r="D1761" s="2" t="str">
        <f t="shared" si="26"/>
        <v>Error?</v>
      </c>
    </row>
    <row r="1762" spans="1:5" s="8" customFormat="1" x14ac:dyDescent="0.2">
      <c r="A1762" s="5">
        <v>1701</v>
      </c>
      <c r="B1762" s="138">
        <f>'Tax Sched 23'!D6</f>
        <v>457797</v>
      </c>
      <c r="C1762" s="2" t="s">
        <v>594</v>
      </c>
      <c r="D1762" s="2" t="str">
        <f t="shared" si="26"/>
        <v>Error?</v>
      </c>
      <c r="E1762" s="9"/>
    </row>
    <row r="1763" spans="1:5" x14ac:dyDescent="0.2">
      <c r="A1763" s="5">
        <v>1702</v>
      </c>
      <c r="B1763" s="138">
        <f>'Tax Sched 23'!D7</f>
        <v>66248</v>
      </c>
      <c r="C1763" s="2" t="s">
        <v>594</v>
      </c>
      <c r="D1763" s="2" t="str">
        <f t="shared" si="26"/>
        <v>Error?</v>
      </c>
    </row>
    <row r="1764" spans="1:5" x14ac:dyDescent="0.2">
      <c r="A1764" s="5">
        <v>1703</v>
      </c>
      <c r="B1764" s="138">
        <f>'Tax Sched 23'!D8</f>
        <v>31000</v>
      </c>
      <c r="C1764" s="2" t="s">
        <v>594</v>
      </c>
      <c r="D1764" s="2" t="str">
        <f t="shared" si="26"/>
        <v>Error?</v>
      </c>
    </row>
    <row r="1765" spans="1:5" x14ac:dyDescent="0.2">
      <c r="A1765" s="5">
        <v>1704</v>
      </c>
      <c r="B1765" s="138">
        <f>'Tax Sched 23'!D10</f>
        <v>27604</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72994</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11381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1556147</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719098</v>
      </c>
      <c r="C1792" s="2" t="s">
        <v>594</v>
      </c>
      <c r="D1792" s="2" t="str">
        <f t="shared" si="27"/>
        <v>Error?</v>
      </c>
    </row>
    <row r="1793" spans="1:4" x14ac:dyDescent="0.2">
      <c r="A1793" s="5">
        <v>1732</v>
      </c>
      <c r="B1793" s="138">
        <f>'Tax Sched 23'!F5</f>
        <v>141555</v>
      </c>
      <c r="C1793" s="2" t="s">
        <v>594</v>
      </c>
      <c r="D1793" s="2" t="str">
        <f t="shared" si="27"/>
        <v>Error?</v>
      </c>
    </row>
    <row r="1794" spans="1:4" x14ac:dyDescent="0.2">
      <c r="A1794" s="5">
        <v>1733</v>
      </c>
      <c r="B1794" s="138">
        <f>'Tax Sched 23'!F6</f>
        <v>459186</v>
      </c>
      <c r="C1794" s="2" t="s">
        <v>594</v>
      </c>
      <c r="D1794" s="2" t="str">
        <f t="shared" si="27"/>
        <v>Error?</v>
      </c>
    </row>
    <row r="1795" spans="1:4" x14ac:dyDescent="0.2">
      <c r="A1795" s="5">
        <v>1734</v>
      </c>
      <c r="B1795" s="138">
        <f>'Tax Sched 23'!F7</f>
        <v>67946</v>
      </c>
      <c r="C1795" s="2" t="s">
        <v>594</v>
      </c>
      <c r="D1795" s="2" t="str">
        <f t="shared" si="27"/>
        <v>Error?</v>
      </c>
    </row>
    <row r="1796" spans="1:4" x14ac:dyDescent="0.2">
      <c r="A1796" s="5">
        <v>1735</v>
      </c>
      <c r="B1796" s="138">
        <f>'Tax Sched 23'!F8</f>
        <v>35004</v>
      </c>
      <c r="C1796" s="2" t="s">
        <v>594</v>
      </c>
      <c r="D1796" s="2" t="str">
        <f t="shared" si="27"/>
        <v>Error?</v>
      </c>
    </row>
    <row r="1797" spans="1:4" x14ac:dyDescent="0.2">
      <c r="A1797" s="5">
        <v>1736</v>
      </c>
      <c r="B1797" s="138">
        <f>'Tax Sched 23'!F10</f>
        <v>28311</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75002</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11324</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1588431</v>
      </c>
      <c r="C1807" s="2" t="s">
        <v>594</v>
      </c>
      <c r="D1807" s="2" t="str">
        <f t="shared" si="27"/>
        <v>Error?</v>
      </c>
    </row>
    <row r="1808" spans="1:4" x14ac:dyDescent="0.2">
      <c r="A1808" s="5">
        <v>1747</v>
      </c>
      <c r="B1808" s="138">
        <f>'Tax Sched 23'!E4</f>
        <v>719098</v>
      </c>
      <c r="D1808" s="2" t="str">
        <f t="shared" si="27"/>
        <v>Error?</v>
      </c>
    </row>
    <row r="1809" spans="1:4" x14ac:dyDescent="0.2">
      <c r="A1809" s="5">
        <v>1748</v>
      </c>
      <c r="B1809" s="138">
        <f>'Tax Sched 23'!E5</f>
        <v>141555</v>
      </c>
      <c r="D1809" s="2" t="str">
        <f t="shared" si="27"/>
        <v>Error?</v>
      </c>
    </row>
    <row r="1810" spans="1:4" x14ac:dyDescent="0.2">
      <c r="A1810" s="5">
        <v>1749</v>
      </c>
      <c r="B1810" s="138">
        <f>'Tax Sched 23'!E6</f>
        <v>459186</v>
      </c>
      <c r="D1810" s="2" t="str">
        <f t="shared" si="27"/>
        <v>Error?</v>
      </c>
    </row>
    <row r="1811" spans="1:4" x14ac:dyDescent="0.2">
      <c r="A1811" s="5">
        <v>1750</v>
      </c>
      <c r="B1811" s="138">
        <f>'Tax Sched 23'!E7</f>
        <v>67946</v>
      </c>
      <c r="D1811" s="2" t="str">
        <f t="shared" si="27"/>
        <v>Error?</v>
      </c>
    </row>
    <row r="1812" spans="1:4" x14ac:dyDescent="0.2">
      <c r="A1812" s="5">
        <v>1751</v>
      </c>
      <c r="B1812" s="138">
        <f>'Tax Sched 23'!E8</f>
        <v>35004</v>
      </c>
      <c r="D1812" s="2" t="str">
        <f t="shared" si="27"/>
        <v>Error?</v>
      </c>
    </row>
    <row r="1813" spans="1:4" x14ac:dyDescent="0.2">
      <c r="A1813" s="5">
        <v>1752</v>
      </c>
      <c r="B1813" s="138">
        <f>'Tax Sched 23'!E10</f>
        <v>28311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75002</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11324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1588431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450000</v>
      </c>
      <c r="C1939" s="2" t="s">
        <v>594</v>
      </c>
      <c r="D1939" s="2" t="str">
        <f t="shared" si="29"/>
        <v>Error?</v>
      </c>
    </row>
    <row r="1940" spans="1:5" x14ac:dyDescent="0.2">
      <c r="A1940" s="5">
        <v>1879</v>
      </c>
      <c r="B1940" s="138">
        <f>'Short-Term Long-Term Debt 24'!F49</f>
        <v>450000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11381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11381</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11381</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7500</v>
      </c>
      <c r="D2008" s="2" t="str">
        <f t="shared" si="30"/>
        <v>Error?</v>
      </c>
    </row>
    <row r="2009" spans="1:4" x14ac:dyDescent="0.2">
      <c r="A2009" s="5">
        <v>1948</v>
      </c>
      <c r="B2009" s="138">
        <f>'Cap Outlay Deprec 26'!C8</f>
        <v>1178816</v>
      </c>
      <c r="D2009" s="2" t="str">
        <f t="shared" si="30"/>
        <v>Error?</v>
      </c>
    </row>
    <row r="2010" spans="1:4" x14ac:dyDescent="0.2">
      <c r="A2010" s="5">
        <v>1949</v>
      </c>
      <c r="B2010" s="138">
        <f>'Cap Outlay Deprec 26'!C10</f>
        <v>26941</v>
      </c>
      <c r="D2010" s="2" t="str">
        <f t="shared" si="30"/>
        <v>Error?</v>
      </c>
    </row>
    <row r="2011" spans="1:4" x14ac:dyDescent="0.2">
      <c r="A2011" s="5">
        <v>1950</v>
      </c>
      <c r="B2011" s="138">
        <f>'Cap Outlay Deprec 26'!C12</f>
        <v>94554</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1307811</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5105</v>
      </c>
      <c r="D2018" s="2" t="str">
        <f t="shared" si="30"/>
        <v>Error?</v>
      </c>
    </row>
    <row r="2019" spans="1:4" x14ac:dyDescent="0.2">
      <c r="A2019" s="5">
        <v>1958</v>
      </c>
      <c r="B2019" s="138">
        <f>'Cap Outlay Deprec 26'!D16</f>
        <v>5105</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7500</v>
      </c>
      <c r="C2026" s="2" t="s">
        <v>594</v>
      </c>
      <c r="D2026" s="2" t="str">
        <f t="shared" si="30"/>
        <v>Error?</v>
      </c>
    </row>
    <row r="2027" spans="1:4" x14ac:dyDescent="0.2">
      <c r="A2027" s="5">
        <v>1966</v>
      </c>
      <c r="B2027" s="138">
        <f>'Cap Outlay Deprec 26'!F8</f>
        <v>1178816</v>
      </c>
      <c r="C2027" s="2" t="s">
        <v>594</v>
      </c>
      <c r="D2027" s="2" t="str">
        <f t="shared" si="30"/>
        <v>Error?</v>
      </c>
    </row>
    <row r="2028" spans="1:4" x14ac:dyDescent="0.2">
      <c r="A2028" s="5">
        <v>1967</v>
      </c>
      <c r="B2028" s="138">
        <f>'Cap Outlay Deprec 26'!F10</f>
        <v>26941</v>
      </c>
      <c r="C2028" s="2" t="s">
        <v>594</v>
      </c>
      <c r="D2028" s="2" t="str">
        <f t="shared" si="30"/>
        <v>Error?</v>
      </c>
    </row>
    <row r="2029" spans="1:4" x14ac:dyDescent="0.2">
      <c r="A2029" s="5">
        <v>1968</v>
      </c>
      <c r="B2029" s="138">
        <f>'Cap Outlay Deprec 26'!F12</f>
        <v>94554</v>
      </c>
      <c r="C2029" s="2" t="s">
        <v>594</v>
      </c>
      <c r="D2029" s="2" t="str">
        <f t="shared" si="30"/>
        <v>Error?</v>
      </c>
    </row>
    <row r="2030" spans="1:4" x14ac:dyDescent="0.2">
      <c r="A2030" s="5">
        <v>1969</v>
      </c>
      <c r="B2030" s="138">
        <f>'Cap Outlay Deprec 26'!F13</f>
        <v>5105</v>
      </c>
      <c r="C2030" s="2" t="s">
        <v>594</v>
      </c>
      <c r="D2030" s="2" t="str">
        <f t="shared" si="30"/>
        <v>Error?</v>
      </c>
    </row>
    <row r="2031" spans="1:4" x14ac:dyDescent="0.2">
      <c r="A2031" s="5">
        <v>1970</v>
      </c>
      <c r="B2031" s="138">
        <f>'Cap Outlay Deprec 26'!F16</f>
        <v>1312916</v>
      </c>
      <c r="C2031" s="2" t="s">
        <v>594</v>
      </c>
      <c r="D2031" s="2" t="str">
        <f t="shared" si="30"/>
        <v>Error?</v>
      </c>
    </row>
    <row r="2032" spans="1:4" x14ac:dyDescent="0.2">
      <c r="A2032" s="10">
        <v>1971</v>
      </c>
      <c r="D2032" s="2" t="str">
        <f t="shared" si="30"/>
        <v>OK</v>
      </c>
    </row>
    <row r="2033" spans="1:4" x14ac:dyDescent="0.2">
      <c r="A2033" s="5">
        <v>1972</v>
      </c>
      <c r="B2033" s="138">
        <f>'Cap Outlay Deprec 26'!H8</f>
        <v>524670</v>
      </c>
      <c r="D2033" s="2" t="str">
        <f t="shared" si="30"/>
        <v>Error?</v>
      </c>
    </row>
    <row r="2034" spans="1:4" x14ac:dyDescent="0.2">
      <c r="A2034" s="5">
        <v>1973</v>
      </c>
      <c r="B2034" s="138">
        <f>'Cap Outlay Deprec 26'!H10</f>
        <v>10734</v>
      </c>
      <c r="D2034" s="2" t="str">
        <f t="shared" si="30"/>
        <v>Error?</v>
      </c>
    </row>
    <row r="2035" spans="1:4" x14ac:dyDescent="0.2">
      <c r="A2035" s="5">
        <v>1974</v>
      </c>
      <c r="B2035" s="138">
        <f>'Cap Outlay Deprec 26'!H12</f>
        <v>67809</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603213</v>
      </c>
      <c r="C2037" s="2" t="s">
        <v>594</v>
      </c>
      <c r="D2037" s="2" t="str">
        <f t="shared" si="30"/>
        <v>Error?</v>
      </c>
    </row>
    <row r="2038" spans="1:4" x14ac:dyDescent="0.2">
      <c r="A2038" s="10">
        <v>1977</v>
      </c>
      <c r="D2038" s="2" t="str">
        <f t="shared" si="30"/>
        <v>OK</v>
      </c>
    </row>
    <row r="2039" spans="1:4" x14ac:dyDescent="0.2">
      <c r="A2039" s="5">
        <v>1978</v>
      </c>
      <c r="B2039" s="138">
        <f>'Cap Outlay Deprec 26'!I8</f>
        <v>37488</v>
      </c>
      <c r="D2039" s="2" t="str">
        <f t="shared" si="30"/>
        <v>Error?</v>
      </c>
    </row>
    <row r="2040" spans="1:4" x14ac:dyDescent="0.2">
      <c r="A2040" s="5">
        <v>1979</v>
      </c>
      <c r="B2040" s="138">
        <f>'Cap Outlay Deprec 26'!I10</f>
        <v>1081</v>
      </c>
      <c r="D2040" s="2" t="str">
        <f t="shared" si="30"/>
        <v>Error?</v>
      </c>
    </row>
    <row r="2041" spans="1:4" x14ac:dyDescent="0.2">
      <c r="A2041" s="5">
        <v>1980</v>
      </c>
      <c r="B2041" s="138">
        <f>'Cap Outlay Deprec 26'!I12</f>
        <v>5875</v>
      </c>
      <c r="D2041" s="2" t="str">
        <f t="shared" si="30"/>
        <v>Error?</v>
      </c>
    </row>
    <row r="2042" spans="1:4" x14ac:dyDescent="0.2">
      <c r="A2042" s="5">
        <v>1981</v>
      </c>
      <c r="B2042" s="138">
        <f>'Cap Outlay Deprec 26'!I13</f>
        <v>1021</v>
      </c>
      <c r="D2042" s="2" t="str">
        <f t="shared" si="30"/>
        <v>Error?</v>
      </c>
    </row>
    <row r="2043" spans="1:4" x14ac:dyDescent="0.2">
      <c r="A2043" s="5">
        <v>1982</v>
      </c>
      <c r="B2043" s="138">
        <f>'Cap Outlay Deprec 26'!I16</f>
        <v>45465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562158</v>
      </c>
      <c r="C2051" s="2" t="s">
        <v>594</v>
      </c>
      <c r="D2051" s="2" t="str">
        <f t="shared" si="31"/>
        <v>Error?</v>
      </c>
    </row>
    <row r="2052" spans="1:4" x14ac:dyDescent="0.2">
      <c r="A2052" s="5">
        <v>1991</v>
      </c>
      <c r="B2052" s="138">
        <f>'Cap Outlay Deprec 26'!K10</f>
        <v>11815</v>
      </c>
      <c r="C2052" s="2" t="s">
        <v>594</v>
      </c>
      <c r="D2052" s="2" t="str">
        <f t="shared" si="31"/>
        <v>Error?</v>
      </c>
    </row>
    <row r="2053" spans="1:4" x14ac:dyDescent="0.2">
      <c r="A2053" s="5">
        <v>1992</v>
      </c>
      <c r="B2053" s="138">
        <f>'Cap Outlay Deprec 26'!K12</f>
        <v>73684</v>
      </c>
      <c r="C2053" s="2" t="s">
        <v>594</v>
      </c>
      <c r="D2053" s="2" t="str">
        <f t="shared" si="31"/>
        <v>Error?</v>
      </c>
    </row>
    <row r="2054" spans="1:4" x14ac:dyDescent="0.2">
      <c r="A2054" s="5">
        <v>1993</v>
      </c>
      <c r="B2054" s="138">
        <f>'Cap Outlay Deprec 26'!K13</f>
        <v>1021</v>
      </c>
      <c r="C2054" s="2" t="s">
        <v>594</v>
      </c>
      <c r="D2054" s="2" t="str">
        <f t="shared" si="31"/>
        <v>Error?</v>
      </c>
    </row>
    <row r="2055" spans="1:4" x14ac:dyDescent="0.2">
      <c r="A2055" s="5">
        <v>1994</v>
      </c>
      <c r="B2055" s="138">
        <f>'Cap Outlay Deprec 26'!K16</f>
        <v>648678</v>
      </c>
      <c r="C2055" s="2" t="s">
        <v>594</v>
      </c>
      <c r="D2055" s="2" t="str">
        <f t="shared" si="31"/>
        <v>Error?</v>
      </c>
    </row>
    <row r="2056" spans="1:4" x14ac:dyDescent="0.2">
      <c r="A2056" s="5">
        <v>1995</v>
      </c>
      <c r="B2056" s="138">
        <f>'Cap Outlay Deprec 26'!L5</f>
        <v>7500</v>
      </c>
      <c r="C2056" s="2" t="s">
        <v>594</v>
      </c>
      <c r="D2056" s="2" t="str">
        <f t="shared" si="31"/>
        <v>Error?</v>
      </c>
    </row>
    <row r="2057" spans="1:4" x14ac:dyDescent="0.2">
      <c r="A2057" s="5">
        <v>1996</v>
      </c>
      <c r="B2057" s="138">
        <f>'Cap Outlay Deprec 26'!L8</f>
        <v>616658</v>
      </c>
      <c r="C2057" s="2" t="s">
        <v>594</v>
      </c>
      <c r="D2057" s="2" t="str">
        <f t="shared" si="31"/>
        <v>Error?</v>
      </c>
    </row>
    <row r="2058" spans="1:4" x14ac:dyDescent="0.2">
      <c r="A2058" s="5">
        <v>1997</v>
      </c>
      <c r="B2058" s="138">
        <f>'Cap Outlay Deprec 26'!L10</f>
        <v>15126</v>
      </c>
      <c r="C2058" s="2" t="s">
        <v>594</v>
      </c>
      <c r="D2058" s="2" t="str">
        <f t="shared" si="31"/>
        <v>Error?</v>
      </c>
    </row>
    <row r="2059" spans="1:4" x14ac:dyDescent="0.2">
      <c r="A2059" s="5">
        <v>1998</v>
      </c>
      <c r="B2059" s="138">
        <f>'Cap Outlay Deprec 26'!L12</f>
        <v>20870</v>
      </c>
      <c r="C2059" s="2" t="s">
        <v>594</v>
      </c>
      <c r="D2059" s="2" t="str">
        <f t="shared" si="31"/>
        <v>Error?</v>
      </c>
    </row>
    <row r="2060" spans="1:4" x14ac:dyDescent="0.2">
      <c r="A2060" s="5">
        <v>1999</v>
      </c>
      <c r="B2060" s="138">
        <f>'Cap Outlay Deprec 26'!L13</f>
        <v>4084</v>
      </c>
      <c r="C2060" s="2" t="s">
        <v>594</v>
      </c>
      <c r="D2060" s="2" t="str">
        <f t="shared" si="31"/>
        <v>Error?</v>
      </c>
    </row>
    <row r="2061" spans="1:4" x14ac:dyDescent="0.2">
      <c r="A2061" s="5">
        <v>2000</v>
      </c>
      <c r="B2061" s="138">
        <f>'Cap Outlay Deprec 26'!L16</f>
        <v>664238</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40881</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55359</v>
      </c>
      <c r="C2088" s="2" t="s">
        <v>594</v>
      </c>
      <c r="D2088" s="2" t="str">
        <f t="shared" si="31"/>
        <v>Error?</v>
      </c>
    </row>
    <row r="2089" spans="1:4" x14ac:dyDescent="0.2">
      <c r="A2089" s="5">
        <v>2028</v>
      </c>
      <c r="B2089" s="138">
        <f>'Expenditures 15-22'!K92</f>
        <v>69938</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454088</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134301</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27491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992972</v>
      </c>
      <c r="C2551" s="2" t="s">
        <v>594</v>
      </c>
      <c r="D2551" s="2" t="str">
        <f t="shared" si="38"/>
        <v>Error?</v>
      </c>
    </row>
    <row r="2552" spans="1:4" x14ac:dyDescent="0.2">
      <c r="A2552" s="10">
        <v>2491</v>
      </c>
      <c r="D2552" s="2" t="str">
        <f t="shared" si="38"/>
        <v>OK</v>
      </c>
    </row>
    <row r="2553" spans="1:4" x14ac:dyDescent="0.2">
      <c r="A2553" s="5">
        <v>2492</v>
      </c>
      <c r="B2553" s="138">
        <f>'Acct Summary 7-8'!C6</f>
        <v>249746</v>
      </c>
      <c r="C2553" s="2" t="s">
        <v>594</v>
      </c>
      <c r="D2553" s="2" t="str">
        <f t="shared" si="38"/>
        <v>Error?</v>
      </c>
    </row>
    <row r="2554" spans="1:4" x14ac:dyDescent="0.2">
      <c r="A2554" s="5">
        <v>2493</v>
      </c>
      <c r="B2554" s="138">
        <f>'Acct Summary 7-8'!C7</f>
        <v>119245</v>
      </c>
      <c r="C2554" s="2" t="s">
        <v>594</v>
      </c>
      <c r="D2554" s="2" t="str">
        <f t="shared" si="38"/>
        <v>Error?</v>
      </c>
    </row>
    <row r="2555" spans="1:4" x14ac:dyDescent="0.2">
      <c r="A2555" s="5">
        <v>2494</v>
      </c>
      <c r="B2555" s="138">
        <f>'Acct Summary 7-8'!C8</f>
        <v>1361963</v>
      </c>
      <c r="C2555" s="2" t="s">
        <v>594</v>
      </c>
      <c r="D2555" s="2" t="str">
        <f t="shared" si="38"/>
        <v>Error?</v>
      </c>
    </row>
    <row r="2556" spans="1:4" x14ac:dyDescent="0.2">
      <c r="A2556" s="5">
        <v>2495</v>
      </c>
      <c r="B2556" s="138">
        <f>'Acct Summary 7-8'!C12</f>
        <v>1051848</v>
      </c>
      <c r="C2556" s="2" t="s">
        <v>594</v>
      </c>
      <c r="D2556" s="2" t="str">
        <f t="shared" si="38"/>
        <v>Error?</v>
      </c>
    </row>
    <row r="2557" spans="1:4" x14ac:dyDescent="0.2">
      <c r="A2557" s="5">
        <v>2496</v>
      </c>
      <c r="B2557" s="138">
        <f>'Acct Summary 7-8'!C13</f>
        <v>337363</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125297</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1514508</v>
      </c>
      <c r="C2561" s="2" t="s">
        <v>594</v>
      </c>
      <c r="D2561" s="2" t="str">
        <f t="shared" si="39"/>
        <v>Error?</v>
      </c>
    </row>
    <row r="2562" spans="1:4" x14ac:dyDescent="0.2">
      <c r="A2562" s="5">
        <v>2501</v>
      </c>
      <c r="B2562" s="138">
        <f>'Acct Summary 7-8'!C20</f>
        <v>-152545</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167885</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167885</v>
      </c>
      <c r="C2568" s="2" t="s">
        <v>594</v>
      </c>
      <c r="D2568" s="2" t="str">
        <f t="shared" si="39"/>
        <v>Error?</v>
      </c>
    </row>
    <row r="2569" spans="1:4" x14ac:dyDescent="0.2">
      <c r="A2569" s="5">
        <v>2508</v>
      </c>
      <c r="B2569" s="138">
        <f>'Acct Summary 7-8'!D13</f>
        <v>136371</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136371</v>
      </c>
      <c r="C2573" s="2" t="s">
        <v>594</v>
      </c>
      <c r="D2573" s="2" t="str">
        <f t="shared" si="39"/>
        <v>Error?</v>
      </c>
    </row>
    <row r="2574" spans="1:4" x14ac:dyDescent="0.2">
      <c r="A2574" s="5">
        <v>2513</v>
      </c>
      <c r="B2574" s="138">
        <f>'Acct Summary 7-8'!D20</f>
        <v>31514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91248</v>
      </c>
      <c r="C2591" s="2" t="s">
        <v>594</v>
      </c>
      <c r="D2591" s="2" t="str">
        <f t="shared" si="39"/>
        <v>Error?</v>
      </c>
    </row>
    <row r="2592" spans="1:4" x14ac:dyDescent="0.2">
      <c r="A2592" s="10">
        <v>2531</v>
      </c>
      <c r="D2592" s="2" t="str">
        <f t="shared" si="39"/>
        <v>OK</v>
      </c>
    </row>
    <row r="2593" spans="1:4" x14ac:dyDescent="0.2">
      <c r="A2593" s="5">
        <v>2532</v>
      </c>
      <c r="B2593" s="138">
        <f>'Acct Summary 7-8'!F6</f>
        <v>145139</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236387</v>
      </c>
      <c r="C2595" s="2" t="s">
        <v>594</v>
      </c>
      <c r="D2595" s="2" t="str">
        <f t="shared" si="39"/>
        <v>Error?</v>
      </c>
    </row>
    <row r="2596" spans="1:4" x14ac:dyDescent="0.2">
      <c r="A2596" s="5">
        <v>2535</v>
      </c>
      <c r="B2596" s="138">
        <f>'Acct Summary 7-8'!F13</f>
        <v>183325</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183325</v>
      </c>
      <c r="C2600" s="2" t="s">
        <v>594</v>
      </c>
      <c r="D2600" s="2" t="str">
        <f t="shared" si="39"/>
        <v>Error?</v>
      </c>
    </row>
    <row r="2601" spans="1:4" x14ac:dyDescent="0.2">
      <c r="A2601" s="5">
        <v>2540</v>
      </c>
      <c r="B2601" s="138">
        <f>'Acct Summary 7-8'!F20</f>
        <v>53062</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80997</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80997</v>
      </c>
      <c r="C2606" s="2" t="s">
        <v>594</v>
      </c>
      <c r="D2606" s="2" t="str">
        <f t="shared" si="39"/>
        <v>Error?</v>
      </c>
    </row>
    <row r="2607" spans="1:4" x14ac:dyDescent="0.2">
      <c r="A2607" s="5">
        <v>2546</v>
      </c>
      <c r="B2607" s="138">
        <f>'Acct Summary 7-8'!G12</f>
        <v>27263</v>
      </c>
      <c r="C2607" s="2" t="s">
        <v>594</v>
      </c>
      <c r="D2607" s="2" t="str">
        <f t="shared" si="39"/>
        <v>Error?</v>
      </c>
    </row>
    <row r="2608" spans="1:4" x14ac:dyDescent="0.2">
      <c r="A2608" s="5">
        <v>2547</v>
      </c>
      <c r="B2608" s="138">
        <f>'Acct Summary 7-8'!G13</f>
        <v>32205</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59468</v>
      </c>
      <c r="C2612" s="2" t="s">
        <v>594</v>
      </c>
      <c r="D2612" s="2" t="str">
        <f t="shared" si="39"/>
        <v>Error?</v>
      </c>
    </row>
    <row r="2613" spans="1:4" x14ac:dyDescent="0.2">
      <c r="A2613" s="5">
        <v>2552</v>
      </c>
      <c r="B2613" s="138">
        <f>'Acct Summary 7-8'!G20</f>
        <v>21529</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457797</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457797</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458349</v>
      </c>
      <c r="C2634" s="2" t="s">
        <v>594</v>
      </c>
      <c r="D2634" s="2" t="str">
        <f t="shared" si="40"/>
        <v>Error?</v>
      </c>
    </row>
    <row r="2635" spans="1:4" x14ac:dyDescent="0.2">
      <c r="A2635" s="5">
        <v>2574</v>
      </c>
      <c r="B2635" s="138">
        <f>'Acct Summary 7-8'!E17</f>
        <v>458349</v>
      </c>
      <c r="C2635" s="2" t="s">
        <v>594</v>
      </c>
      <c r="D2635" s="2" t="str">
        <f t="shared" si="40"/>
        <v>Error?</v>
      </c>
    </row>
    <row r="2636" spans="1:4" x14ac:dyDescent="0.2">
      <c r="A2636" s="5">
        <v>2575</v>
      </c>
      <c r="B2636" s="138">
        <f>'Acct Summary 7-8'!E20</f>
        <v>-552</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14478</v>
      </c>
      <c r="C2789" s="2" t="s">
        <v>594</v>
      </c>
      <c r="D2789" s="2" t="str">
        <f t="shared" si="42"/>
        <v>Error?</v>
      </c>
    </row>
    <row r="2790" spans="1:4" x14ac:dyDescent="0.2">
      <c r="A2790" s="5">
        <v>2729</v>
      </c>
      <c r="B2790" s="138">
        <f>'Expenditures 15-22'!E102</f>
        <v>14478</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16391</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16391</v>
      </c>
      <c r="D2914" s="2" t="str">
        <f t="shared" si="44"/>
        <v>Error?</v>
      </c>
    </row>
    <row r="2915" spans="1:4" x14ac:dyDescent="0.2">
      <c r="A2915" s="10">
        <v>2854</v>
      </c>
      <c r="D2915" s="2" t="str">
        <f t="shared" si="44"/>
        <v>OK</v>
      </c>
    </row>
    <row r="2916" spans="1:4" x14ac:dyDescent="0.2">
      <c r="A2916" s="5">
        <v>2855</v>
      </c>
      <c r="B2916" s="138">
        <f>'Assets-Liab 5-6'!L34</f>
        <v>16391</v>
      </c>
      <c r="C2916" s="2" t="s">
        <v>594</v>
      </c>
      <c r="D2916" s="2" t="str">
        <f t="shared" si="44"/>
        <v>Error?</v>
      </c>
    </row>
    <row r="2917" spans="1:4" x14ac:dyDescent="0.2">
      <c r="A2917" s="5">
        <v>2856</v>
      </c>
      <c r="B2917" s="138">
        <f>'Assets-Liab 5-6'!L41</f>
        <v>16391</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14478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40881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55359</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41768</v>
      </c>
      <c r="D3055" s="2" t="str">
        <f t="shared" si="46"/>
        <v>Error?</v>
      </c>
    </row>
    <row r="3056" spans="1:4" x14ac:dyDescent="0.2">
      <c r="A3056" s="5">
        <v>2995</v>
      </c>
      <c r="B3056" s="138">
        <f>'Expenditures 15-22'!D10</f>
        <v>8320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40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50128</v>
      </c>
      <c r="C3062" s="2" t="s">
        <v>594</v>
      </c>
      <c r="D3062" s="2" t="str">
        <f t="shared" si="46"/>
        <v>Error?</v>
      </c>
    </row>
    <row r="3063" spans="1:4" x14ac:dyDescent="0.2">
      <c r="A3063" s="10">
        <v>3002</v>
      </c>
      <c r="D3063" s="2" t="str">
        <f t="shared" si="46"/>
        <v>OK</v>
      </c>
    </row>
    <row r="3064" spans="1:4" x14ac:dyDescent="0.2">
      <c r="A3064" s="5">
        <v>3003</v>
      </c>
      <c r="B3064" s="138">
        <f>'Expenditures 15-22'!D219</f>
        <v>3537</v>
      </c>
      <c r="D3064" s="2" t="str">
        <f t="shared" si="46"/>
        <v>Error?</v>
      </c>
    </row>
    <row r="3065" spans="1:4" x14ac:dyDescent="0.2">
      <c r="A3065" s="5">
        <v>3004</v>
      </c>
      <c r="B3065" s="138">
        <f>'Expenditures 15-22'!K219</f>
        <v>3537</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27604</v>
      </c>
      <c r="C3225" s="2" t="s">
        <v>594</v>
      </c>
      <c r="D3225" s="2" t="str">
        <f t="shared" si="49"/>
        <v>Error?</v>
      </c>
    </row>
    <row r="3226" spans="1:4" x14ac:dyDescent="0.2">
      <c r="A3226" s="5">
        <v>3165</v>
      </c>
      <c r="B3226" s="138">
        <f>'Acct Summary 7-8'!I8</f>
        <v>27604</v>
      </c>
      <c r="C3226" s="2" t="s">
        <v>594</v>
      </c>
      <c r="D3226" s="2" t="str">
        <f t="shared" si="49"/>
        <v>Error?</v>
      </c>
    </row>
    <row r="3227" spans="1:4" x14ac:dyDescent="0.2">
      <c r="A3227" s="5">
        <v>3166</v>
      </c>
      <c r="B3227" s="138">
        <f>'Acct Summary 7-8'!I20</f>
        <v>27604</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453536</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453536</v>
      </c>
      <c r="C3232" s="2" t="s">
        <v>594</v>
      </c>
      <c r="D3232" s="2" t="str">
        <f t="shared" si="49"/>
        <v>Error?</v>
      </c>
    </row>
    <row r="3233" spans="1:4" x14ac:dyDescent="0.2">
      <c r="A3233" s="5">
        <v>3172</v>
      </c>
      <c r="B3233" s="138">
        <f>'Acct Summary 7-8'!C78</f>
        <v>300991</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31514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53062</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21529</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552</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552</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450000</v>
      </c>
      <c r="C3317" s="2" t="s">
        <v>594</v>
      </c>
      <c r="D3317" s="2" t="str">
        <f t="shared" si="50"/>
        <v>Error?</v>
      </c>
    </row>
    <row r="3318" spans="1:4" x14ac:dyDescent="0.2">
      <c r="A3318" s="5">
        <v>3257</v>
      </c>
      <c r="B3318" s="138">
        <f>'Acct Summary 7-8'!I76</f>
        <v>477604</v>
      </c>
      <c r="C3318" s="2" t="s">
        <v>594</v>
      </c>
      <c r="D3318" s="2" t="str">
        <f t="shared" si="50"/>
        <v>Error?</v>
      </c>
    </row>
    <row r="3319" spans="1:4" x14ac:dyDescent="0.2">
      <c r="A3319" s="5">
        <v>3258</v>
      </c>
      <c r="B3319" s="138">
        <f>'Acct Summary 7-8'!I77</f>
        <v>-27604</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119147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17499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12422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992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119</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150179</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15084</v>
      </c>
      <c r="D3387" s="2" t="str">
        <f t="shared" si="51"/>
        <v>Error?</v>
      </c>
    </row>
    <row r="3388" spans="1:4" x14ac:dyDescent="0.2">
      <c r="A3388" s="5">
        <v>3327</v>
      </c>
      <c r="B3388" s="138">
        <f>'Expenditures 15-22'!D217</f>
        <v>7978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15084</v>
      </c>
      <c r="C3390" s="2" t="s">
        <v>594</v>
      </c>
      <c r="D3390" s="2" t="str">
        <f t="shared" si="51"/>
        <v>Error?</v>
      </c>
    </row>
    <row r="3391" spans="1:4" x14ac:dyDescent="0.2">
      <c r="A3391" s="5">
        <v>3330</v>
      </c>
      <c r="B3391" s="138">
        <f>'Expenditures 15-22'!K217</f>
        <v>7978</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915056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182618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143799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77854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16391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49997</v>
      </c>
      <c r="C3446" s="2" t="s">
        <v>594</v>
      </c>
      <c r="D3446" s="2" t="str">
        <f t="shared" si="52"/>
        <v>Error?</v>
      </c>
    </row>
    <row r="3447" spans="1:4" x14ac:dyDescent="0.2">
      <c r="A3447" s="5">
        <v>3386</v>
      </c>
      <c r="B3447" s="138">
        <f>'Tax Sched 23'!D16</f>
        <v>49997</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51005</v>
      </c>
      <c r="C3449" s="2" t="s">
        <v>594</v>
      </c>
      <c r="D3449" s="2" t="str">
        <f t="shared" si="52"/>
        <v>Error?</v>
      </c>
    </row>
    <row r="3450" spans="1:4" x14ac:dyDescent="0.2">
      <c r="A3450" s="5">
        <v>3389</v>
      </c>
      <c r="B3450" s="138">
        <f>'Tax Sched 23'!E16</f>
        <v>51005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101473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101473</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101473</v>
      </c>
      <c r="D3567" s="2" t="str">
        <f t="shared" si="54"/>
        <v>Error?</v>
      </c>
    </row>
    <row r="3568" spans="1:4" x14ac:dyDescent="0.2">
      <c r="A3568" s="5">
        <v>3507</v>
      </c>
      <c r="B3568" s="138">
        <f>'Assets-Liab 5-6'!K41</f>
        <v>101473</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7325</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7325</v>
      </c>
      <c r="C3575" s="2" t="s">
        <v>594</v>
      </c>
      <c r="D3575" s="2" t="str">
        <f t="shared" si="54"/>
        <v>Error?</v>
      </c>
    </row>
    <row r="3576" spans="1:4" x14ac:dyDescent="0.2">
      <c r="A3576" s="5">
        <v>3515</v>
      </c>
      <c r="B3576" s="138">
        <f>'Acct Summary 7-8'!K20</f>
        <v>-7325</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-7325</v>
      </c>
      <c r="C3588" s="2" t="s">
        <v>594</v>
      </c>
      <c r="D3588" s="2" t="str">
        <f t="shared" si="55"/>
        <v>Error?</v>
      </c>
    </row>
    <row r="3589" spans="1:4" x14ac:dyDescent="0.2">
      <c r="A3589" s="5">
        <v>3528</v>
      </c>
      <c r="B3589" s="138">
        <f>'Acct Summary 7-8'!K79</f>
        <v>108798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101473</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2985</v>
      </c>
      <c r="D3645" s="2" t="str">
        <f t="shared" si="55"/>
        <v>Error?</v>
      </c>
    </row>
    <row r="3646" spans="1:4" x14ac:dyDescent="0.2">
      <c r="A3646" s="5">
        <v>3585</v>
      </c>
      <c r="B3646" s="138">
        <f>'Expenditures 15-22'!G349</f>
        <v>4340</v>
      </c>
      <c r="D3646" s="2" t="str">
        <f t="shared" si="55"/>
        <v>Error?</v>
      </c>
    </row>
    <row r="3647" spans="1:4" x14ac:dyDescent="0.2">
      <c r="A3647" s="5">
        <v>3586</v>
      </c>
      <c r="B3647" s="138">
        <f>'Expenditures 15-22'!G350</f>
        <v>7325</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7325</v>
      </c>
      <c r="C3649" s="2" t="s">
        <v>594</v>
      </c>
      <c r="D3649" s="2" t="str">
        <f t="shared" si="56"/>
        <v>Error?</v>
      </c>
    </row>
    <row r="3650" spans="1:4" x14ac:dyDescent="0.2">
      <c r="A3650" s="5">
        <v>3589</v>
      </c>
      <c r="B3650" s="138">
        <f>'Expenditures 15-22'!G367</f>
        <v>7325</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2985</v>
      </c>
      <c r="C3668" s="2" t="s">
        <v>594</v>
      </c>
      <c r="D3668" s="2" t="str">
        <f t="shared" si="56"/>
        <v>Error?</v>
      </c>
    </row>
    <row r="3669" spans="1:4" x14ac:dyDescent="0.2">
      <c r="A3669" s="5">
        <v>3608</v>
      </c>
      <c r="B3669" s="138">
        <f>'Expenditures 15-22'!K349</f>
        <v>4340</v>
      </c>
      <c r="C3669" s="2" t="s">
        <v>594</v>
      </c>
      <c r="D3669" s="2" t="str">
        <f t="shared" si="56"/>
        <v>Error?</v>
      </c>
    </row>
    <row r="3670" spans="1:4" x14ac:dyDescent="0.2">
      <c r="A3670" s="5">
        <v>3609</v>
      </c>
      <c r="B3670" s="138">
        <f>'Expenditures 15-22'!K350</f>
        <v>7325</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7325</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7325</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-7325</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17209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99868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1461831</v>
      </c>
      <c r="C4122" s="2" t="s">
        <v>594</v>
      </c>
      <c r="D4122" s="2" t="str">
        <f t="shared" si="63"/>
        <v>Error?</v>
      </c>
    </row>
    <row r="4123" spans="1:4" x14ac:dyDescent="0.2">
      <c r="A4123" s="5">
        <v>4062</v>
      </c>
      <c r="B4123" s="138">
        <f>'Acct Summary 7-8'!D10</f>
        <v>167885</v>
      </c>
      <c r="C4123" s="2" t="s">
        <v>594</v>
      </c>
      <c r="D4123" s="2" t="str">
        <f t="shared" si="63"/>
        <v>Error?</v>
      </c>
    </row>
    <row r="4124" spans="1:4" x14ac:dyDescent="0.2">
      <c r="A4124" s="5">
        <v>4063</v>
      </c>
      <c r="B4124" s="138">
        <f>'Acct Summary 7-8'!E10</f>
        <v>457797</v>
      </c>
      <c r="C4124" s="2" t="s">
        <v>594</v>
      </c>
      <c r="D4124" s="2" t="str">
        <f t="shared" si="63"/>
        <v>Error?</v>
      </c>
    </row>
    <row r="4125" spans="1:4" x14ac:dyDescent="0.2">
      <c r="A4125" s="5">
        <v>4064</v>
      </c>
      <c r="B4125" s="138">
        <f>'Acct Summary 7-8'!F10</f>
        <v>236387</v>
      </c>
      <c r="C4125" s="2" t="s">
        <v>594</v>
      </c>
      <c r="D4125" s="2" t="str">
        <f t="shared" si="63"/>
        <v>Error?</v>
      </c>
    </row>
    <row r="4126" spans="1:4" x14ac:dyDescent="0.2">
      <c r="A4126" s="5">
        <v>4065</v>
      </c>
      <c r="B4126" s="138">
        <f>'Acct Summary 7-8'!G10</f>
        <v>80997</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27604</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99868</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1614376</v>
      </c>
      <c r="C4136" s="2" t="s">
        <v>594</v>
      </c>
      <c r="D4136" s="2" t="str">
        <f t="shared" si="63"/>
        <v>Error?</v>
      </c>
    </row>
    <row r="4137" spans="1:4" x14ac:dyDescent="0.2">
      <c r="A4137" s="5">
        <v>4076</v>
      </c>
      <c r="B4137" s="138">
        <f>'Acct Summary 7-8'!D19</f>
        <v>136371</v>
      </c>
      <c r="C4137" s="2" t="s">
        <v>594</v>
      </c>
      <c r="D4137" s="2" t="str">
        <f t="shared" si="63"/>
        <v>Error?</v>
      </c>
    </row>
    <row r="4138" spans="1:4" x14ac:dyDescent="0.2">
      <c r="A4138" s="5">
        <v>4077</v>
      </c>
      <c r="B4138" s="138">
        <f>'Acct Summary 7-8'!E19</f>
        <v>458349</v>
      </c>
      <c r="C4138" s="2" t="s">
        <v>594</v>
      </c>
      <c r="D4138" s="2" t="str">
        <f t="shared" si="63"/>
        <v>Error?</v>
      </c>
    </row>
    <row r="4139" spans="1:4" x14ac:dyDescent="0.2">
      <c r="A4139" s="5">
        <v>4078</v>
      </c>
      <c r="B4139" s="138">
        <f>'Acct Summary 7-8'!F19</f>
        <v>183325</v>
      </c>
      <c r="C4139" s="2" t="s">
        <v>594</v>
      </c>
      <c r="D4139" s="2" t="str">
        <f t="shared" si="63"/>
        <v>Error?</v>
      </c>
    </row>
    <row r="4140" spans="1:4" x14ac:dyDescent="0.2">
      <c r="A4140" s="5">
        <v>4079</v>
      </c>
      <c r="B4140" s="138">
        <f>'Acct Summary 7-8'!G19</f>
        <v>59468</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7325</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450000</v>
      </c>
      <c r="C4171" s="2" t="s">
        <v>594</v>
      </c>
      <c r="D4171" s="2" t="str">
        <f t="shared" si="64"/>
        <v>Error?</v>
      </c>
    </row>
    <row r="4172" spans="1:4" x14ac:dyDescent="0.2">
      <c r="A4172" s="5">
        <v>4111</v>
      </c>
      <c r="B4172" s="138">
        <f>'Short-Term Long-Term Debt 24'!J49</f>
        <v>450000</v>
      </c>
      <c r="C4172" s="2" t="s">
        <v>594</v>
      </c>
      <c r="D4172" s="2" t="str">
        <f t="shared" si="64"/>
        <v>Error?</v>
      </c>
    </row>
    <row r="4173" spans="1:4" x14ac:dyDescent="0.2">
      <c r="A4173" s="5">
        <v>4112</v>
      </c>
      <c r="B4173" s="138">
        <f>'Short-Term Long-Term Debt 24'!H49</f>
        <v>450000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1270</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1640.0000000000002</v>
      </c>
      <c r="C4268" s="2" t="s">
        <v>594</v>
      </c>
      <c r="D4268" s="2" t="str">
        <f t="shared" si="65"/>
        <v>Error?</v>
      </c>
    </row>
    <row r="4269" spans="1:5" x14ac:dyDescent="0.2">
      <c r="A4269" s="12">
        <v>4208</v>
      </c>
      <c r="B4269" s="138">
        <f>'FP Info 3'!J16</f>
        <v>1241473</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13385</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8437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750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21772</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56622101</v>
      </c>
      <c r="D4995" s="2" t="str">
        <f t="shared" si="77"/>
        <v>Error?</v>
      </c>
    </row>
    <row r="4996" spans="1:4" x14ac:dyDescent="0.2">
      <c r="A4996" s="12">
        <v>4935</v>
      </c>
      <c r="B4996" s="138">
        <f>'FP Info 3'!H31</f>
        <v>3906924.9690000005</v>
      </c>
      <c r="D4996" s="2" t="str">
        <f t="shared" si="77"/>
        <v>Error?</v>
      </c>
    </row>
    <row r="4997" spans="1:4" x14ac:dyDescent="0.2">
      <c r="A4997" s="12">
        <v>4936</v>
      </c>
      <c r="B4997" s="138">
        <f>'FP Info 3'!H37</f>
        <v>450000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701110</v>
      </c>
      <c r="D5061" s="2" t="str">
        <f t="shared" si="78"/>
        <v>Error?</v>
      </c>
    </row>
    <row r="5062" spans="1:4" x14ac:dyDescent="0.2">
      <c r="A5062" s="10">
        <v>5001</v>
      </c>
      <c r="D5062" s="2" t="str">
        <f t="shared" si="78"/>
        <v>OK</v>
      </c>
    </row>
    <row r="5063" spans="1:4" x14ac:dyDescent="0.2">
      <c r="A5063" s="5">
        <v>5002</v>
      </c>
      <c r="B5063" s="138">
        <f>'Revenues 9-14'!C7</f>
        <v>11381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712491</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23514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23514</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18260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18260</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1275</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34543</v>
      </c>
      <c r="C5096" s="2" t="s">
        <v>594</v>
      </c>
      <c r="D5096" s="2" t="str">
        <f t="shared" si="78"/>
        <v>Error?</v>
      </c>
    </row>
    <row r="5097" spans="1:4" x14ac:dyDescent="0.2">
      <c r="A5097" s="5">
        <v>5036</v>
      </c>
      <c r="B5097" s="138">
        <f>'Revenues 9-14'!C77</f>
        <v>5529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3120</v>
      </c>
      <c r="D5101" s="2" t="str">
        <f t="shared" si="78"/>
        <v>Error?</v>
      </c>
    </row>
    <row r="5102" spans="1:4" x14ac:dyDescent="0.2">
      <c r="A5102" s="5">
        <v>5041</v>
      </c>
      <c r="B5102" s="138">
        <f>'Revenues 9-14'!C82</f>
        <v>8649</v>
      </c>
      <c r="C5102" s="2" t="s">
        <v>594</v>
      </c>
      <c r="D5102" s="2" t="str">
        <f t="shared" si="78"/>
        <v>Error?</v>
      </c>
    </row>
    <row r="5103" spans="1:4" x14ac:dyDescent="0.2">
      <c r="A5103" s="5">
        <v>5042</v>
      </c>
      <c r="B5103" s="138">
        <f>'Revenues 9-14'!C84</f>
        <v>15403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15403</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163085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8595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8432</v>
      </c>
      <c r="D5119" s="2" t="str">
        <f t="shared" ref="D5119:D5182" si="79">IF(ISBLANK(B5119),"OK",IF(A5119-B5119=0,"OK","Error?"))</f>
        <v>Error?</v>
      </c>
    </row>
    <row r="5120" spans="1:4" x14ac:dyDescent="0.2">
      <c r="A5120" s="5">
        <v>5059</v>
      </c>
      <c r="B5120" s="138">
        <f>'Revenues 9-14'!C108</f>
        <v>180112</v>
      </c>
      <c r="C5120" s="2" t="s">
        <v>594</v>
      </c>
      <c r="D5120" s="2" t="str">
        <f t="shared" si="79"/>
        <v>Error?</v>
      </c>
    </row>
    <row r="5121" spans="1:4" x14ac:dyDescent="0.2">
      <c r="A5121" s="5">
        <v>5060</v>
      </c>
      <c r="B5121" s="138">
        <f>'Revenues 9-14'!C109</f>
        <v>992972</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192190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192190</v>
      </c>
      <c r="C5132" s="2" t="s">
        <v>594</v>
      </c>
      <c r="D5132" s="2" t="str">
        <f t="shared" si="79"/>
        <v>Error?</v>
      </c>
    </row>
    <row r="5133" spans="1:4" x14ac:dyDescent="0.2">
      <c r="A5133" s="5">
        <v>5072</v>
      </c>
      <c r="B5133" s="138">
        <f>'Revenues 9-14'!C124</f>
        <v>23443</v>
      </c>
      <c r="D5133" s="2" t="str">
        <f t="shared" si="79"/>
        <v>Error?</v>
      </c>
    </row>
    <row r="5134" spans="1:4" x14ac:dyDescent="0.2">
      <c r="A5134" s="5">
        <v>5073</v>
      </c>
      <c r="B5134" s="138">
        <f>'Revenues 9-14'!C125</f>
        <v>12793</v>
      </c>
      <c r="D5134" s="2" t="str">
        <f t="shared" si="79"/>
        <v>Error?</v>
      </c>
    </row>
    <row r="5135" spans="1:4" x14ac:dyDescent="0.2">
      <c r="A5135" s="5">
        <v>5074</v>
      </c>
      <c r="B5135" s="138">
        <f>'Revenues 9-14'!C126</f>
        <v>20220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86</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56542</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264</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57556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249746</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21772</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17209</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17209</v>
      </c>
      <c r="C5246" s="2" t="s">
        <v>594</v>
      </c>
      <c r="D5246" s="2" t="str">
        <f t="shared" si="80"/>
        <v>Error?</v>
      </c>
    </row>
    <row r="5247" spans="1:4" x14ac:dyDescent="0.2">
      <c r="A5247" s="5">
        <v>5186</v>
      </c>
      <c r="B5247" s="138">
        <f>'Revenues 9-14'!C203</f>
        <v>30750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30750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27692</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27692</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97473</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119245</v>
      </c>
      <c r="C5326" s="2" t="s">
        <v>594</v>
      </c>
      <c r="D5326" s="2" t="str">
        <f t="shared" si="82"/>
        <v>Error?</v>
      </c>
    </row>
    <row r="5327" spans="1:4" x14ac:dyDescent="0.2">
      <c r="A5327" s="5">
        <v>5266</v>
      </c>
      <c r="B5327" s="138">
        <f>'Revenues 9-14'!C275</f>
        <v>1361963</v>
      </c>
      <c r="C5327" s="2" t="s">
        <v>594</v>
      </c>
      <c r="D5327" s="2" t="str">
        <f t="shared" si="82"/>
        <v>Error?</v>
      </c>
    </row>
    <row r="5328" spans="1:4" x14ac:dyDescent="0.2">
      <c r="A5328" s="5">
        <v>5267</v>
      </c>
      <c r="B5328" s="138">
        <f>'Revenues 9-14'!D5</f>
        <v>138016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138016</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25000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4320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549</v>
      </c>
      <c r="D5354" s="2" t="str">
        <f t="shared" si="82"/>
        <v>Error?</v>
      </c>
    </row>
    <row r="5355" spans="1:4" x14ac:dyDescent="0.2">
      <c r="A5355" s="5">
        <v>5294</v>
      </c>
      <c r="B5355" s="138">
        <f>'Revenues 9-14'!D108</f>
        <v>29869</v>
      </c>
      <c r="C5355" s="2" t="s">
        <v>594</v>
      </c>
      <c r="D5355" s="2" t="str">
        <f t="shared" si="82"/>
        <v>Error?</v>
      </c>
    </row>
    <row r="5356" spans="1:4" x14ac:dyDescent="0.2">
      <c r="A5356" s="5">
        <v>5295</v>
      </c>
      <c r="B5356" s="138">
        <f>'Revenues 9-14'!D109</f>
        <v>167885</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167885</v>
      </c>
      <c r="C5508" s="2" t="s">
        <v>594</v>
      </c>
      <c r="D5508" s="2" t="str">
        <f t="shared" si="85"/>
        <v>Error?</v>
      </c>
    </row>
    <row r="5509" spans="1:4" x14ac:dyDescent="0.2">
      <c r="A5509" s="5">
        <v>5448</v>
      </c>
      <c r="B5509" s="138">
        <f>'Revenues 9-14'!E5</f>
        <v>457797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457797</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457797</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457797</v>
      </c>
      <c r="C5552" s="2" t="s">
        <v>594</v>
      </c>
      <c r="D5552" s="2" t="str">
        <f t="shared" si="85"/>
        <v>Error?</v>
      </c>
    </row>
    <row r="5553" spans="1:4" x14ac:dyDescent="0.2">
      <c r="A5553" s="5">
        <v>5492</v>
      </c>
      <c r="B5553" s="138">
        <f>'Revenues 9-14'!F5</f>
        <v>66248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66248</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25000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25000</v>
      </c>
      <c r="C5587" s="2" t="s">
        <v>594</v>
      </c>
      <c r="D5587" s="2" t="str">
        <f t="shared" si="86"/>
        <v>Error?</v>
      </c>
    </row>
    <row r="5588" spans="1:4" x14ac:dyDescent="0.2">
      <c r="A5588" s="5">
        <v>5527</v>
      </c>
      <c r="B5588" s="138">
        <f>'Revenues 9-14'!F109</f>
        <v>91248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84055</v>
      </c>
      <c r="D5615" s="2" t="str">
        <f t="shared" si="86"/>
        <v>Error?</v>
      </c>
    </row>
    <row r="5616" spans="1:4" x14ac:dyDescent="0.2">
      <c r="A5616" s="10">
        <v>5555</v>
      </c>
      <c r="D5616" s="2" t="str">
        <f t="shared" si="86"/>
        <v>OK</v>
      </c>
    </row>
    <row r="5617" spans="1:4" x14ac:dyDescent="0.2">
      <c r="A5617" s="5">
        <v>5556</v>
      </c>
      <c r="B5617" s="138">
        <f>'Revenues 9-14'!F152</f>
        <v>61084</v>
      </c>
      <c r="D5617" s="2" t="str">
        <f t="shared" si="86"/>
        <v>Error?</v>
      </c>
    </row>
    <row r="5618" spans="1:4" x14ac:dyDescent="0.2">
      <c r="A5618" s="5">
        <v>5557</v>
      </c>
      <c r="B5618" s="138">
        <f>'Revenues 9-14'!F154</f>
        <v>145139</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145139</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145139</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236387</v>
      </c>
      <c r="C5720" s="2" t="s">
        <v>594</v>
      </c>
      <c r="D5720" s="2" t="str">
        <f t="shared" si="88"/>
        <v>Error?</v>
      </c>
    </row>
    <row r="5721" spans="1:4" x14ac:dyDescent="0.2">
      <c r="A5721" s="5">
        <v>5660</v>
      </c>
      <c r="B5721" s="138">
        <f>'Revenues 9-14'!G5</f>
        <v>31000</v>
      </c>
      <c r="D5721" s="2" t="str">
        <f t="shared" si="88"/>
        <v>Error?</v>
      </c>
    </row>
    <row r="5722" spans="1:4" x14ac:dyDescent="0.2">
      <c r="A5722" s="5">
        <v>5661</v>
      </c>
      <c r="B5722" s="138">
        <f>'Revenues 9-14'!G7</f>
        <v>0</v>
      </c>
      <c r="D5722" s="2" t="str">
        <f t="shared" si="88"/>
        <v>Error?</v>
      </c>
    </row>
    <row r="5723" spans="1:4" x14ac:dyDescent="0.2">
      <c r="A5723" s="5">
        <v>5662</v>
      </c>
      <c r="B5723" s="138">
        <f>'Revenues 9-14'!G8</f>
        <v>49997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80997</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80997</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27604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27604</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27604</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80997</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27604</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33268</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5674</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179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120205</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120205</v>
      </c>
      <c r="D6215" s="2" t="str">
        <f t="shared" si="96"/>
        <v>Error?</v>
      </c>
      <c r="E6215" s="2" t="s">
        <v>199</v>
      </c>
    </row>
    <row r="6216" spans="1:5" x14ac:dyDescent="0.2">
      <c r="A6216">
        <v>6155</v>
      </c>
      <c r="B6216" s="138">
        <f>'Assets-Liab 5-6'!J41</f>
        <v>120205</v>
      </c>
      <c r="D6216" s="2" t="str">
        <f t="shared" si="96"/>
        <v>Error?</v>
      </c>
      <c r="E6216" s="2" t="s">
        <v>199</v>
      </c>
    </row>
    <row r="6217" spans="1:5" x14ac:dyDescent="0.2">
      <c r="A6217">
        <v>6156</v>
      </c>
      <c r="B6217" s="138">
        <f>'Assets-Liab 5-6'!J4</f>
        <v>120205</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72994</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72994</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72994</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74655</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74655</v>
      </c>
      <c r="D6229" s="2" t="str">
        <f t="shared" si="96"/>
        <v>Error?</v>
      </c>
      <c r="E6229" s="2" t="s">
        <v>199</v>
      </c>
    </row>
    <row r="6230" spans="1:5" x14ac:dyDescent="0.2">
      <c r="A6230">
        <v>6169</v>
      </c>
      <c r="B6230" s="138">
        <f>'Acct Summary 7-8'!J20</f>
        <v>-1661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23516</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-1661</v>
      </c>
      <c r="D6263" s="2" t="str">
        <f t="shared" si="96"/>
        <v>Error?</v>
      </c>
      <c r="E6263" s="2" t="s">
        <v>199</v>
      </c>
    </row>
    <row r="6264" spans="1:5" x14ac:dyDescent="0.2">
      <c r="A6264">
        <v>6203</v>
      </c>
      <c r="B6264" s="138">
        <f>'Acct Summary 7-8'!J79</f>
        <v>121866</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120205</v>
      </c>
      <c r="D6266" s="2" t="str">
        <f t="shared" si="96"/>
        <v>Error?</v>
      </c>
      <c r="E6266" s="2" t="s">
        <v>199</v>
      </c>
    </row>
    <row r="6267" spans="1:5" x14ac:dyDescent="0.2">
      <c r="A6267">
        <v>6206</v>
      </c>
      <c r="B6267" s="138">
        <f>'Acct Summary 7-8'!C82</f>
        <v>300991</v>
      </c>
      <c r="D6267" s="2" t="str">
        <f t="shared" si="96"/>
        <v>Error?</v>
      </c>
      <c r="E6267" s="2" t="s">
        <v>199</v>
      </c>
    </row>
    <row r="6268" spans="1:5" x14ac:dyDescent="0.2">
      <c r="A6268">
        <v>6207</v>
      </c>
      <c r="B6268" s="138">
        <f>'Acct Summary 7-8'!D82</f>
        <v>31514</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53062</v>
      </c>
      <c r="D6270" s="2" t="str">
        <f t="shared" si="96"/>
        <v>Error?</v>
      </c>
      <c r="E6270" s="2" t="s">
        <v>199</v>
      </c>
    </row>
    <row r="6271" spans="1:5" x14ac:dyDescent="0.2">
      <c r="A6271">
        <v>6210</v>
      </c>
      <c r="B6271" s="138">
        <f>'Acct Summary 7-8'!G82</f>
        <v>21529</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-1661</v>
      </c>
      <c r="D6274" s="2" t="str">
        <f t="shared" si="97"/>
        <v>Error?</v>
      </c>
      <c r="E6274" s="2" t="s">
        <v>199</v>
      </c>
    </row>
    <row r="6275" spans="1:5" x14ac:dyDescent="0.2">
      <c r="A6275">
        <v>6214</v>
      </c>
      <c r="B6275" s="138">
        <f>'Acct Summary 7-8'!K82</f>
        <v>-7325</v>
      </c>
      <c r="D6275" s="2" t="str">
        <f t="shared" si="97"/>
        <v>Error?</v>
      </c>
      <c r="E6275" s="2" t="s">
        <v>199</v>
      </c>
    </row>
    <row r="6276" spans="1:5" x14ac:dyDescent="0.2">
      <c r="A6276">
        <v>6215</v>
      </c>
      <c r="B6276" s="138">
        <f>'Acct Summary 7-8'!C83</f>
        <v>0.32893178122431849</v>
      </c>
      <c r="D6276" s="2" t="str">
        <f t="shared" si="97"/>
        <v>Error?</v>
      </c>
      <c r="E6276" s="2" t="s">
        <v>199</v>
      </c>
    </row>
    <row r="6277" spans="1:5" x14ac:dyDescent="0.2">
      <c r="A6277">
        <v>6216</v>
      </c>
      <c r="B6277" s="138">
        <f>'Acct Summary 7-8'!D83</f>
        <v>0.17256787392261441</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0.36900117525156645</v>
      </c>
      <c r="D6279" s="2" t="str">
        <f t="shared" si="97"/>
        <v>Error?</v>
      </c>
      <c r="E6279" s="2" t="s">
        <v>199</v>
      </c>
    </row>
    <row r="6280" spans="1:5" x14ac:dyDescent="0.2">
      <c r="A6280">
        <v>6219</v>
      </c>
      <c r="B6280" s="138">
        <f>'Acct Summary 7-8'!G83</f>
        <v>0.27653042875125233</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f>'Acct Summary 7-8'!J83</f>
        <v>-1.3818060812778171E-2</v>
      </c>
      <c r="D6283" s="2" t="str">
        <f t="shared" si="97"/>
        <v>Error?</v>
      </c>
      <c r="E6283" s="2" t="s">
        <v>199</v>
      </c>
    </row>
    <row r="6284" spans="1:5" x14ac:dyDescent="0.2">
      <c r="A6284">
        <v>6223</v>
      </c>
      <c r="B6284" s="138">
        <f>'Acct Summary 7-8'!K83</f>
        <v>-7.2186690055482741E-2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72994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72994</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72994</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280</v>
      </c>
      <c r="D6880" s="2" t="str">
        <f t="shared" si="106"/>
        <v>Error?</v>
      </c>
    </row>
    <row r="6881" spans="1:4" x14ac:dyDescent="0.2">
      <c r="A6881">
        <v>6820</v>
      </c>
      <c r="B6881" s="138">
        <f>'Expenditures 15-22'!K22</f>
        <v>280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69938</v>
      </c>
      <c r="D6983" s="2" t="str">
        <f t="shared" si="108"/>
        <v>Error?</v>
      </c>
    </row>
    <row r="6984" spans="1:4" x14ac:dyDescent="0.2">
      <c r="A6984">
        <v>6923</v>
      </c>
      <c r="B6984" s="138">
        <f>'Expenditures 15-22'!K86</f>
        <v>69938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69938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74655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72994</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3141</v>
      </c>
      <c r="D7093" s="2" t="str">
        <f t="shared" si="109"/>
        <v>Error?</v>
      </c>
    </row>
    <row r="7094" spans="1:4" x14ac:dyDescent="0.2">
      <c r="A7094">
        <v>7033</v>
      </c>
      <c r="B7094" s="138">
        <f>'Expenditures 15-22'!K254</f>
        <v>3141</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10220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10220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2439</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2439</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26717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26717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32001</v>
      </c>
      <c r="D7172" s="2" t="str">
        <f t="shared" si="111"/>
        <v>Error?</v>
      </c>
    </row>
    <row r="7173" spans="1:4" x14ac:dyDescent="0.2">
      <c r="A7173">
        <v>7112</v>
      </c>
      <c r="B7173" s="138">
        <f>'Expenditures 15-22'!D325</f>
        <v>2636</v>
      </c>
      <c r="D7173" s="2" t="str">
        <f t="shared" si="111"/>
        <v>Error?</v>
      </c>
    </row>
    <row r="7174" spans="1:4" x14ac:dyDescent="0.2">
      <c r="A7174">
        <v>7113</v>
      </c>
      <c r="B7174" s="138">
        <f>'Expenditures 15-22'!E325</f>
        <v>642</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35279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32001</v>
      </c>
      <c r="D7199" s="2" t="str">
        <f t="shared" si="111"/>
        <v>Error?</v>
      </c>
    </row>
    <row r="7200" spans="1:4" x14ac:dyDescent="0.2">
      <c r="A7200">
        <v>7139</v>
      </c>
      <c r="B7200" s="138">
        <f>'Expenditures 15-22'!D330</f>
        <v>2636</v>
      </c>
      <c r="D7200" s="2" t="str">
        <f t="shared" si="111"/>
        <v>Error?</v>
      </c>
    </row>
    <row r="7201" spans="1:4" x14ac:dyDescent="0.2">
      <c r="A7201">
        <v>7140</v>
      </c>
      <c r="B7201" s="138">
        <f>'Expenditures 15-22'!E330</f>
        <v>40018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74655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32001</v>
      </c>
      <c r="D7216" s="2" t="str">
        <f t="shared" si="111"/>
        <v>Error?</v>
      </c>
    </row>
    <row r="7217" spans="1:4" x14ac:dyDescent="0.2">
      <c r="A7217">
        <v>7156</v>
      </c>
      <c r="B7217" s="138">
        <f>'Expenditures 15-22'!D342</f>
        <v>2636</v>
      </c>
      <c r="D7217" s="2" t="str">
        <f t="shared" si="111"/>
        <v>Error?</v>
      </c>
    </row>
    <row r="7218" spans="1:4" x14ac:dyDescent="0.2">
      <c r="A7218">
        <v>7157</v>
      </c>
      <c r="B7218" s="138">
        <f>'Expenditures 15-22'!E342</f>
        <v>40018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74655</v>
      </c>
      <c r="D7224" s="2" t="str">
        <f t="shared" si="111"/>
        <v>Error?</v>
      </c>
    </row>
    <row r="7225" spans="1:4" x14ac:dyDescent="0.2">
      <c r="A7225">
        <v>7164</v>
      </c>
      <c r="B7225" s="138">
        <f>'Expenditures 15-22'!K343</f>
        <v>-1661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45465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11381</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552</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36289</v>
      </c>
      <c r="D7797" s="2" t="str">
        <f t="shared" si="127"/>
        <v>Error?</v>
      </c>
      <c r="E7797" s="4" t="s">
        <v>2019</v>
      </c>
    </row>
    <row r="7798" spans="1:5" x14ac:dyDescent="0.2">
      <c r="A7798">
        <v>7737</v>
      </c>
      <c r="B7798" s="138">
        <f>'Contracts Paid in CY 29'!F141</f>
        <v>36289</v>
      </c>
      <c r="D7798" s="2" t="str">
        <f t="shared" si="127"/>
        <v>Error?</v>
      </c>
      <c r="E7798" s="4" t="s">
        <v>2019</v>
      </c>
    </row>
    <row r="7799" spans="1:5" x14ac:dyDescent="0.2">
      <c r="A7799">
        <v>7738</v>
      </c>
      <c r="B7799" s="138">
        <f>'Contracts Paid in CY 29'!G141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2" t="s">
        <v>1253</v>
      </c>
      <c r="B2" s="2422"/>
      <c r="C2" s="2422"/>
      <c r="D2" s="2422"/>
      <c r="E2" s="2422"/>
      <c r="F2" s="2422"/>
      <c r="G2" s="2422"/>
      <c r="H2" s="2422"/>
      <c r="I2" s="2422"/>
      <c r="J2" s="2422"/>
      <c r="K2" s="2422"/>
      <c r="L2" s="2422"/>
    </row>
    <row r="3" spans="1:29" ht="13.5" customHeight="1" x14ac:dyDescent="0.2">
      <c r="A3" s="2408" t="s">
        <v>1252</v>
      </c>
      <c r="B3" s="2408"/>
      <c r="C3" s="2408"/>
      <c r="D3" s="2408"/>
      <c r="E3" s="2408"/>
      <c r="F3" s="2408"/>
      <c r="G3" s="2408"/>
      <c r="H3" s="2408"/>
      <c r="I3" s="2408"/>
      <c r="J3" s="2408"/>
      <c r="K3" s="2408"/>
      <c r="L3" s="2408"/>
    </row>
    <row r="4" spans="1:29" ht="13.5" customHeight="1" x14ac:dyDescent="0.2">
      <c r="A4" s="2422" t="s">
        <v>1799</v>
      </c>
      <c r="B4" s="2439"/>
      <c r="C4" s="2439"/>
      <c r="D4" s="2439"/>
      <c r="E4" s="2439"/>
      <c r="F4" s="2439"/>
      <c r="G4" s="2439"/>
      <c r="H4" s="2439"/>
      <c r="I4" s="2439"/>
      <c r="J4" s="2439"/>
      <c r="K4" s="2439"/>
      <c r="L4" s="243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2" t="str">
        <f>COVER!A17</f>
        <v>Miller Township Community Consolidated School District 210</v>
      </c>
      <c r="B7" s="2403"/>
      <c r="C7" s="2403"/>
      <c r="D7" s="2440"/>
      <c r="E7" s="2441">
        <f>COVER!A13</f>
        <v>35050210004</v>
      </c>
      <c r="F7" s="2442"/>
      <c r="G7" s="2409" t="str">
        <f>COVER!T23</f>
        <v>066-005100</v>
      </c>
      <c r="H7" s="2410"/>
      <c r="I7" s="2410"/>
      <c r="J7" s="2410"/>
      <c r="K7" s="2410"/>
      <c r="L7" s="241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2"/>
      <c r="B9" s="2413"/>
      <c r="C9" s="2413"/>
      <c r="D9" s="2413"/>
      <c r="E9" s="2413"/>
      <c r="F9" s="2414"/>
      <c r="G9" s="2415" t="str">
        <f>COVER!T13</f>
        <v>Mack &amp; Associates, P.C.</v>
      </c>
      <c r="H9" s="2416"/>
      <c r="I9" s="2416"/>
      <c r="J9" s="2416"/>
      <c r="K9" s="2416"/>
      <c r="L9" s="2417"/>
    </row>
    <row r="10" spans="1:29" ht="13.5" customHeight="1" x14ac:dyDescent="0.2">
      <c r="A10" s="2399" t="str">
        <f>COVER!A38</f>
        <v>Dave Hermann</v>
      </c>
      <c r="B10" s="2400"/>
      <c r="C10" s="2400"/>
      <c r="D10" s="2400"/>
      <c r="E10" s="2400"/>
      <c r="F10" s="2401"/>
      <c r="G10" s="2415" t="str">
        <f>COVER!T17</f>
        <v>116 E. Washington Street, Suite One</v>
      </c>
      <c r="H10" s="2428"/>
      <c r="I10" s="2428"/>
      <c r="J10" s="2428"/>
      <c r="K10" s="2428"/>
      <c r="L10" s="2429"/>
    </row>
    <row r="11" spans="1:29" ht="13.5" customHeight="1" x14ac:dyDescent="0.2">
      <c r="A11" s="1185" t="s">
        <v>1599</v>
      </c>
      <c r="B11" s="1186"/>
      <c r="C11" s="1187"/>
      <c r="D11" s="1192"/>
      <c r="E11" s="1187"/>
      <c r="F11" s="1191"/>
      <c r="G11" s="2415" t="str">
        <f>COVER!T19</f>
        <v>Morris</v>
      </c>
      <c r="H11" s="2428"/>
      <c r="I11" s="2428"/>
      <c r="J11" s="2428"/>
      <c r="K11" s="2428"/>
      <c r="L11" s="2429"/>
    </row>
    <row r="12" spans="1:29" ht="13.5" customHeight="1" x14ac:dyDescent="0.2">
      <c r="A12" s="2433" t="s">
        <v>1598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1600</v>
      </c>
      <c r="H13" s="2424"/>
      <c r="I13" s="2436" t="str">
        <f>COVER!T25</f>
        <v>tmack@mackcpas.com</v>
      </c>
      <c r="J13" s="2437"/>
      <c r="K13" s="2437"/>
      <c r="L13" s="2438"/>
    </row>
    <row r="14" spans="1:29" ht="13.5" customHeight="1" x14ac:dyDescent="0.2">
      <c r="A14" s="2415" t="str">
        <f>COVER!A19</f>
        <v>3197 E. 28th Road</v>
      </c>
      <c r="B14" s="2428"/>
      <c r="C14" s="2428"/>
      <c r="D14" s="2428"/>
      <c r="E14" s="2428"/>
      <c r="F14" s="2429"/>
      <c r="G14" s="1196" t="s">
        <v>1247</v>
      </c>
      <c r="H14" s="1194"/>
      <c r="I14" s="1194"/>
      <c r="J14" s="1194"/>
      <c r="K14" s="1194"/>
      <c r="L14" s="1195"/>
    </row>
    <row r="15" spans="1:29" ht="13.5" customHeight="1" x14ac:dyDescent="0.2">
      <c r="A15" s="2415" t="str">
        <f>COVER!A21</f>
        <v>Marseilles</v>
      </c>
      <c r="B15" s="2428"/>
      <c r="C15" s="2428"/>
      <c r="D15" s="2428"/>
      <c r="E15" s="2428"/>
      <c r="F15" s="2429"/>
      <c r="G15" s="2425" t="str">
        <f>COVER!T15</f>
        <v>Tawnya Mack, CPA</v>
      </c>
      <c r="H15" s="2426"/>
      <c r="I15" s="2426"/>
      <c r="J15" s="2426"/>
      <c r="K15" s="2426"/>
      <c r="L15" s="2427"/>
    </row>
    <row r="16" spans="1:29" ht="12.2" customHeight="1" x14ac:dyDescent="0.2">
      <c r="A16" s="2405">
        <f>COVER!A25</f>
        <v>61341</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6" t="s">
        <v>1246</v>
      </c>
      <c r="H17" s="1194"/>
      <c r="I17" s="1194"/>
      <c r="J17" s="1194"/>
      <c r="K17" s="1198" t="s">
        <v>1245</v>
      </c>
      <c r="L17" s="1191"/>
      <c r="M17" s="1184"/>
    </row>
    <row r="18" spans="1:13" ht="12.2" customHeight="1" x14ac:dyDescent="0.2">
      <c r="A18" s="2399"/>
      <c r="B18" s="2400"/>
      <c r="C18" s="2400"/>
      <c r="D18" s="2400"/>
      <c r="E18" s="2400"/>
      <c r="F18" s="2401"/>
      <c r="G18" s="2402" t="str">
        <f>COVER!T21</f>
        <v>(815) 942-3306</v>
      </c>
      <c r="H18" s="2403"/>
      <c r="I18" s="2403"/>
      <c r="J18" s="2403"/>
      <c r="K18" s="2402" t="str">
        <f>COVER!X21</f>
        <v>(815) 942-9430</v>
      </c>
      <c r="L18" s="240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Miller Township Community Consolidated School District 210</v>
      </c>
      <c r="B1" s="2439"/>
      <c r="C1" s="2439"/>
      <c r="D1" s="2439"/>
    </row>
    <row r="2" spans="1:11" s="1215" customFormat="1" ht="12.75" x14ac:dyDescent="0.2">
      <c r="A2" s="2444">
        <f>'Single Audit Cover'!E7</f>
        <v>35050210004</v>
      </c>
      <c r="B2" s="2445"/>
      <c r="C2" s="2445"/>
      <c r="D2" s="2445"/>
    </row>
    <row r="3" spans="1:11" s="1215" customFormat="1" ht="12.75" x14ac:dyDescent="0.2">
      <c r="A3" s="2443" t="s">
        <v>1593</v>
      </c>
      <c r="B3" s="2439"/>
      <c r="C3" s="2439"/>
      <c r="D3" s="243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Miller Township Community Consolidated School District 210</v>
      </c>
      <c r="B1" s="2447"/>
      <c r="C1" s="2447"/>
      <c r="D1" s="2447"/>
      <c r="E1" s="2447"/>
    </row>
    <row r="2" spans="1:5" x14ac:dyDescent="0.2">
      <c r="A2" s="2448">
        <f>'Single Audit Cover'!E7</f>
        <v>35050210004</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119245</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5674</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-13385</v>
      </c>
    </row>
    <row r="19" spans="1:4" ht="13.5" thickBot="1" x14ac:dyDescent="0.25">
      <c r="A19" s="1265" t="s">
        <v>1297</v>
      </c>
      <c r="D19" s="1266">
        <f>SUM(D10:D17)</f>
        <v>111534</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111534</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111534</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Miller Township Community Consolidated School District 210</v>
      </c>
      <c r="B1" s="2452"/>
      <c r="C1" s="2452"/>
      <c r="D1" s="2452"/>
      <c r="E1" s="2452"/>
      <c r="F1" s="2452"/>
    </row>
    <row r="2" spans="1:7" ht="13.5" customHeight="1" x14ac:dyDescent="0.2">
      <c r="A2" s="2453">
        <f>'Single Audit Cover'!E7</f>
        <v>35050210004</v>
      </c>
      <c r="B2" s="2453"/>
      <c r="C2" s="2453"/>
      <c r="D2" s="2453"/>
      <c r="E2" s="2453"/>
      <c r="F2" s="2453"/>
      <c r="G2" s="1275"/>
    </row>
    <row r="3" spans="1:7" ht="15.75" customHeight="1" x14ac:dyDescent="0.2">
      <c r="A3" s="2454" t="s">
        <v>1333</v>
      </c>
      <c r="B3" s="2454"/>
      <c r="C3" s="2454"/>
      <c r="D3" s="2454"/>
      <c r="E3" s="2454"/>
      <c r="F3" s="2454"/>
    </row>
    <row r="4" spans="1:7" ht="13.5" customHeight="1" x14ac:dyDescent="0.2">
      <c r="A4" s="2455" t="str">
        <f>'Single Audit Cover'!A4</f>
        <v>Year Ending June 30, 2018</v>
      </c>
      <c r="B4" s="2455"/>
      <c r="C4" s="2455"/>
      <c r="D4" s="2455"/>
      <c r="E4" s="2455"/>
      <c r="F4" s="2455"/>
    </row>
    <row r="5" spans="1:7" ht="8.25" customHeight="1" x14ac:dyDescent="0.2">
      <c r="C5" s="317"/>
      <c r="D5" s="317"/>
    </row>
    <row r="6" spans="1:7" ht="13.5" customHeight="1" x14ac:dyDescent="0.2">
      <c r="A6" s="1276" t="s">
        <v>1831</v>
      </c>
      <c r="C6" s="317"/>
      <c r="D6" s="317"/>
    </row>
    <row r="7" spans="1:7" ht="60.95" customHeight="1" x14ac:dyDescent="0.2">
      <c r="A7" s="2451" t="s">
        <v>1832</v>
      </c>
      <c r="B7" s="2451"/>
      <c r="C7" s="2451"/>
      <c r="D7" s="2451"/>
      <c r="E7" s="2451"/>
      <c r="F7" s="2451"/>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1" t="s">
        <v>1834</v>
      </c>
      <c r="B13" s="2451"/>
      <c r="C13" s="2451"/>
      <c r="D13" s="2451"/>
      <c r="E13" s="2451"/>
      <c r="F13" s="2451"/>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c r="C17" s="1285"/>
      <c r="D17" s="2456"/>
      <c r="E17" s="2456"/>
      <c r="F17" s="2456"/>
    </row>
    <row r="18" spans="1:6" ht="20.65" customHeight="1" x14ac:dyDescent="0.2">
      <c r="A18" s="1283"/>
      <c r="B18" s="1284"/>
      <c r="C18" s="1285"/>
      <c r="D18" s="2456"/>
      <c r="E18" s="2456"/>
      <c r="F18" s="2456"/>
    </row>
    <row r="19" spans="1:6" ht="20.65" customHeight="1" x14ac:dyDescent="0.2">
      <c r="A19" s="1283"/>
      <c r="B19" s="1284"/>
      <c r="C19" s="1285"/>
      <c r="D19" s="2456"/>
      <c r="E19" s="2456"/>
      <c r="F19" s="2456"/>
    </row>
    <row r="20" spans="1:6" ht="20.65" customHeight="1" x14ac:dyDescent="0.2">
      <c r="A20" s="1283"/>
      <c r="B20" s="1284"/>
      <c r="C20" s="1285"/>
      <c r="D20" s="2456"/>
      <c r="E20" s="2456"/>
      <c r="F20" s="2456"/>
    </row>
    <row r="21" spans="1:6" ht="20.65" customHeight="1" x14ac:dyDescent="0.2">
      <c r="A21" s="1283"/>
      <c r="B21" s="1284"/>
      <c r="C21" s="1285"/>
      <c r="D21" s="2456"/>
      <c r="E21" s="2456"/>
      <c r="F21" s="2456"/>
    </row>
    <row r="22" spans="1:6" ht="20.65" customHeight="1" x14ac:dyDescent="0.2">
      <c r="A22" s="1283"/>
      <c r="B22" s="1284"/>
      <c r="C22" s="1285"/>
      <c r="D22" s="2456"/>
      <c r="E22" s="2456"/>
      <c r="F22" s="2456"/>
    </row>
    <row r="23" spans="1:6" ht="20.65" customHeight="1" x14ac:dyDescent="0.2">
      <c r="A23" s="1283"/>
      <c r="B23" s="1284"/>
      <c r="C23" s="1285"/>
      <c r="D23" s="2456"/>
      <c r="E23" s="2456"/>
      <c r="F23" s="2456"/>
    </row>
    <row r="24" spans="1:6" ht="20.65" customHeight="1" x14ac:dyDescent="0.2">
      <c r="A24" s="1283"/>
      <c r="B24" s="1284"/>
      <c r="C24" s="1285"/>
      <c r="D24" s="2456"/>
      <c r="E24" s="2456"/>
      <c r="F24" s="2456"/>
    </row>
    <row r="25" spans="1:6" ht="20.65" customHeight="1" x14ac:dyDescent="0.2">
      <c r="A25" s="1283"/>
      <c r="B25" s="1284"/>
      <c r="C25" s="1285"/>
      <c r="D25" s="2456"/>
      <c r="E25" s="2456"/>
      <c r="F25" s="2456"/>
    </row>
    <row r="26" spans="1:6" ht="20.65" customHeight="1" x14ac:dyDescent="0.2">
      <c r="A26" s="1283"/>
      <c r="B26" s="1284"/>
      <c r="C26" s="1285"/>
      <c r="D26" s="2456"/>
      <c r="E26" s="2456"/>
      <c r="F26" s="2456"/>
    </row>
    <row r="27" spans="1:6" ht="20.65" customHeight="1" x14ac:dyDescent="0.2">
      <c r="A27" s="1283"/>
      <c r="B27" s="1284"/>
      <c r="C27" s="1285"/>
      <c r="D27" s="2456"/>
      <c r="E27" s="2456"/>
      <c r="F27" s="2456"/>
    </row>
    <row r="28" spans="1:6" ht="20.65" customHeight="1" x14ac:dyDescent="0.2">
      <c r="A28" s="1283"/>
      <c r="B28" s="1284"/>
      <c r="C28" s="1285"/>
      <c r="D28" s="2456"/>
      <c r="E28" s="2456"/>
      <c r="F28" s="2456"/>
    </row>
    <row r="29" spans="1:6" ht="20.65" customHeight="1" x14ac:dyDescent="0.2">
      <c r="A29" s="1283"/>
      <c r="B29" s="1284"/>
      <c r="C29" s="1285"/>
      <c r="D29" s="2456"/>
      <c r="E29" s="2456"/>
      <c r="F29" s="2456"/>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0" t="s">
        <v>1835</v>
      </c>
      <c r="B32" s="2460"/>
      <c r="C32" s="2460"/>
      <c r="D32" s="2460"/>
      <c r="E32" s="2460"/>
      <c r="F32" s="2460"/>
    </row>
    <row r="33" spans="1:6" ht="13.5" customHeight="1" x14ac:dyDescent="0.2">
      <c r="A33" s="328" t="s">
        <v>1509</v>
      </c>
      <c r="B33" s="328"/>
      <c r="C33" s="1288">
        <v>0</v>
      </c>
      <c r="D33" s="1928"/>
      <c r="E33" s="1286"/>
    </row>
    <row r="34" spans="1:6" ht="13.5" customHeight="1" x14ac:dyDescent="0.2">
      <c r="A34" s="328" t="s">
        <v>1948</v>
      </c>
      <c r="B34" s="328"/>
      <c r="C34" s="1289">
        <v>0</v>
      </c>
      <c r="D34" s="1928" t="s">
        <v>1671</v>
      </c>
      <c r="E34" s="2461">
        <f>+C33+C34</f>
        <v>0</v>
      </c>
      <c r="F34" s="2462"/>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3" t="s">
        <v>1672</v>
      </c>
      <c r="C49" s="2463"/>
      <c r="D49" s="2463"/>
      <c r="E49" s="1399"/>
    </row>
    <row r="50" spans="1:5" s="1300" customFormat="1" ht="3.75" customHeight="1" x14ac:dyDescent="0.2">
      <c r="A50" s="1299"/>
      <c r="B50" s="1870"/>
      <c r="C50" s="1870"/>
      <c r="D50" s="1870"/>
      <c r="E50" s="1399"/>
    </row>
    <row r="51" spans="1:5" s="1300" customFormat="1" ht="20.25" customHeight="1" x14ac:dyDescent="0.2">
      <c r="A51" s="1301">
        <v>6</v>
      </c>
      <c r="B51" s="2459" t="s">
        <v>1632</v>
      </c>
      <c r="C51" s="2459"/>
      <c r="D51" s="2459"/>
    </row>
    <row r="52" spans="1:5" ht="14.25" customHeight="1" x14ac:dyDescent="0.2">
      <c r="A52" s="1301"/>
      <c r="B52" s="2459"/>
      <c r="C52" s="2459"/>
      <c r="D52" s="245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Miller Township Community Consolidated School District 210</v>
      </c>
      <c r="C1" s="2464"/>
      <c r="D1" s="2464"/>
      <c r="E1" s="2464"/>
      <c r="F1" s="2464"/>
      <c r="G1" s="2464"/>
      <c r="H1" s="2464"/>
      <c r="I1" s="2464"/>
      <c r="J1" s="2464"/>
      <c r="K1" s="2464"/>
      <c r="L1" s="2464"/>
      <c r="M1" s="2464"/>
    </row>
    <row r="2" spans="2:14" ht="15" x14ac:dyDescent="0.2">
      <c r="B2" s="2453">
        <f>'Single Audit Cover'!E7</f>
        <v>35050210004</v>
      </c>
      <c r="C2" s="2453"/>
      <c r="D2" s="2453"/>
      <c r="E2" s="2453"/>
      <c r="F2" s="2453"/>
      <c r="G2" s="2453"/>
      <c r="H2" s="2453"/>
      <c r="I2" s="2453"/>
      <c r="J2" s="2453"/>
      <c r="K2" s="2453"/>
      <c r="L2" s="2453"/>
      <c r="M2" s="2453"/>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9" colorId="8" zoomScale="110" zoomScaleNormal="110" workbookViewId="0">
      <selection activeCell="D119" sqref="D11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2088</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t="s">
        <v>2106</v>
      </c>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Miller Township Community Consolidated School District 210</v>
      </c>
      <c r="C1" s="2472"/>
      <c r="D1" s="2472"/>
      <c r="E1" s="2472"/>
      <c r="F1" s="2472"/>
      <c r="G1" s="2472"/>
      <c r="H1" s="2472"/>
      <c r="I1" s="2472"/>
      <c r="J1" s="1422"/>
    </row>
    <row r="2" spans="2:10" s="317" customFormat="1" ht="12.75" customHeight="1" x14ac:dyDescent="0.2">
      <c r="B2" s="2473">
        <f>'Single Audit Cover'!E7</f>
        <v>35050210004</v>
      </c>
      <c r="C2" s="2474"/>
      <c r="D2" s="2474"/>
      <c r="E2" s="2474"/>
      <c r="F2" s="2474"/>
      <c r="G2" s="2474"/>
      <c r="H2" s="2474"/>
      <c r="I2" s="2474"/>
      <c r="J2" s="1422"/>
    </row>
    <row r="3" spans="2:10" s="317" customFormat="1" ht="12.75" customHeight="1" x14ac:dyDescent="0.2">
      <c r="B3" s="2475" t="s">
        <v>1347</v>
      </c>
      <c r="C3" s="2476"/>
      <c r="D3" s="2476"/>
      <c r="E3" s="2476"/>
      <c r="F3" s="2476"/>
      <c r="G3" s="2476"/>
      <c r="H3" s="2476"/>
      <c r="I3" s="2476"/>
      <c r="J3" s="1423"/>
    </row>
    <row r="4" spans="2:10" s="317" customFormat="1" ht="12.75" customHeight="1" x14ac:dyDescent="0.2">
      <c r="B4" s="2475" t="str">
        <f>'Single Audit Cover'!A4</f>
        <v>Year Ending June 30, 2018</v>
      </c>
      <c r="C4" s="2476"/>
      <c r="D4" s="2476"/>
      <c r="E4" s="2476"/>
      <c r="F4" s="2476"/>
      <c r="G4" s="2476"/>
      <c r="H4" s="2476"/>
      <c r="I4" s="2476"/>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5" t="s">
        <v>1346</v>
      </c>
      <c r="C7" s="2476"/>
      <c r="D7" s="2476"/>
      <c r="E7" s="2476"/>
      <c r="F7" s="2476"/>
      <c r="G7" s="2476"/>
      <c r="H7" s="2476"/>
      <c r="I7" s="2476"/>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7"/>
      <c r="D11" s="2477"/>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8"/>
      <c r="E29" s="2478"/>
      <c r="F29" s="2478"/>
      <c r="G29" s="2478"/>
      <c r="H29" s="2478"/>
      <c r="I29" s="2478"/>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9" t="s">
        <v>1854</v>
      </c>
      <c r="D37" s="2480"/>
      <c r="E37" s="2480"/>
      <c r="F37" s="2481"/>
      <c r="G37" s="2479" t="s">
        <v>1674</v>
      </c>
      <c r="H37" s="2480"/>
      <c r="I37" s="2481"/>
    </row>
    <row r="38" spans="2:9" ht="16.5" customHeight="1" x14ac:dyDescent="0.2">
      <c r="B38" s="1444"/>
      <c r="C38" s="2467"/>
      <c r="D38" s="2468"/>
      <c r="E38" s="2468"/>
      <c r="F38" s="2469"/>
      <c r="G38" s="2482"/>
      <c r="H38" s="2483"/>
      <c r="I38" s="2484"/>
    </row>
    <row r="39" spans="2:9" ht="16.5" customHeight="1" x14ac:dyDescent="0.2">
      <c r="B39" s="1444"/>
      <c r="C39" s="2467"/>
      <c r="D39" s="2468"/>
      <c r="E39" s="2468"/>
      <c r="F39" s="2469"/>
      <c r="G39" s="2470"/>
      <c r="H39" s="2470"/>
      <c r="I39" s="2470"/>
    </row>
    <row r="40" spans="2:9" ht="16.5" customHeight="1" x14ac:dyDescent="0.2">
      <c r="B40" s="1444"/>
      <c r="C40" s="2467"/>
      <c r="D40" s="2468"/>
      <c r="E40" s="2468"/>
      <c r="F40" s="2469"/>
      <c r="G40" s="2470"/>
      <c r="H40" s="2470"/>
      <c r="I40" s="2470"/>
    </row>
    <row r="41" spans="2:9" ht="16.5" customHeight="1" x14ac:dyDescent="0.2">
      <c r="B41" s="1444"/>
      <c r="C41" s="2467"/>
      <c r="D41" s="2468"/>
      <c r="E41" s="2468"/>
      <c r="F41" s="2469"/>
      <c r="G41" s="2470"/>
      <c r="H41" s="2470"/>
      <c r="I41" s="2470"/>
    </row>
    <row r="42" spans="2:9" ht="16.5" customHeight="1" x14ac:dyDescent="0.2">
      <c r="B42" s="1444"/>
      <c r="C42" s="2467"/>
      <c r="D42" s="2468"/>
      <c r="E42" s="2468"/>
      <c r="F42" s="2469"/>
      <c r="G42" s="2470"/>
      <c r="H42" s="2470"/>
      <c r="I42" s="2470"/>
    </row>
    <row r="43" spans="2:9" ht="16.5" customHeight="1" x14ac:dyDescent="0.2">
      <c r="B43" s="1444"/>
      <c r="C43" s="2485" t="s">
        <v>1675</v>
      </c>
      <c r="D43" s="2486"/>
      <c r="E43" s="2486"/>
      <c r="F43" s="2487"/>
      <c r="G43" s="2488">
        <f>SUM(G38:I42)</f>
        <v>0</v>
      </c>
      <c r="H43" s="2488"/>
      <c r="I43" s="2488"/>
    </row>
    <row r="44" spans="2:9" ht="12.75" customHeight="1" x14ac:dyDescent="0.2"/>
    <row r="45" spans="2:9" ht="12.75" customHeight="1" x14ac:dyDescent="0.2">
      <c r="B45" s="1435" t="s">
        <v>1951</v>
      </c>
      <c r="D45" s="2489">
        <v>0</v>
      </c>
      <c r="E45" s="2490"/>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1"/>
      <c r="F49" s="2491"/>
      <c r="G49" s="2491"/>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Miller Township Community Consolidated School District 210</v>
      </c>
      <c r="C1" s="2471"/>
      <c r="D1" s="2471"/>
      <c r="E1" s="2471"/>
      <c r="F1" s="2471"/>
      <c r="G1" s="2471"/>
      <c r="H1" s="2471"/>
      <c r="I1" s="2471"/>
      <c r="J1" s="2471"/>
      <c r="K1" s="2471"/>
      <c r="L1" s="1374"/>
      <c r="M1" s="1374"/>
    </row>
    <row r="2" spans="1:13" ht="12" customHeight="1" x14ac:dyDescent="0.2">
      <c r="B2" s="2473">
        <f>'Single Audit Cover'!E7</f>
        <v>35050210004</v>
      </c>
      <c r="C2" s="2473"/>
      <c r="D2" s="2473"/>
      <c r="E2" s="2473"/>
      <c r="F2" s="2473"/>
      <c r="G2" s="2473"/>
      <c r="H2" s="2473"/>
      <c r="I2" s="2473"/>
      <c r="J2" s="2473"/>
      <c r="K2" s="2473"/>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Miller Township Community Consolidated School District 210</v>
      </c>
      <c r="C1" s="2498"/>
      <c r="D1" s="2498"/>
      <c r="E1" s="2498"/>
      <c r="F1" s="2498"/>
      <c r="G1" s="2498"/>
      <c r="H1" s="2498"/>
      <c r="I1" s="2498"/>
      <c r="J1" s="2498"/>
      <c r="K1" s="2498"/>
      <c r="L1" s="1465"/>
    </row>
    <row r="2" spans="1:12" ht="12.75" customHeight="1" x14ac:dyDescent="0.2">
      <c r="B2" s="2499">
        <f>'Single Audit Cover'!E7</f>
        <v>35050210004</v>
      </c>
      <c r="C2" s="2499"/>
      <c r="D2" s="2499"/>
      <c r="E2" s="2499"/>
      <c r="F2" s="2499"/>
      <c r="G2" s="2499"/>
      <c r="H2" s="2499"/>
      <c r="I2" s="2499"/>
      <c r="J2" s="2499"/>
      <c r="K2" s="2499"/>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8"/>
      <c r="G12" s="2478"/>
      <c r="H12" s="2478"/>
      <c r="I12" s="2478"/>
      <c r="J12" s="2478"/>
      <c r="K12" s="247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1"/>
      <c r="E14" s="2501"/>
      <c r="F14" s="2501"/>
      <c r="H14" s="1475" t="s">
        <v>1370</v>
      </c>
      <c r="I14" s="2502"/>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2"/>
      <c r="E16" s="2502"/>
      <c r="F16" s="2502"/>
      <c r="G16" s="2502"/>
      <c r="H16" s="2502"/>
      <c r="I16" s="2502"/>
      <c r="J16" s="2502"/>
      <c r="K16" s="2502"/>
      <c r="L16" s="322"/>
    </row>
    <row r="17" spans="2:12" ht="13.5" customHeight="1" x14ac:dyDescent="0.2">
      <c r="B17" s="1387" t="s">
        <v>1368</v>
      </c>
      <c r="C17" s="1387"/>
      <c r="D17" s="2503"/>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1" t="str">
        <f>'Single Audit Cover'!A7</f>
        <v>Miller Township Community Consolidated School District 210</v>
      </c>
      <c r="C1" s="2471"/>
      <c r="D1" s="2471"/>
      <c r="E1" s="1491"/>
    </row>
    <row r="2" spans="2:5" s="1282" customFormat="1" ht="12.75" customHeight="1" x14ac:dyDescent="0.2">
      <c r="B2" s="2473">
        <f>'Single Audit Cover'!E7</f>
        <v>35050210004</v>
      </c>
      <c r="C2" s="2473"/>
      <c r="D2" s="2473"/>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7" colorId="8" zoomScale="110" zoomScaleNormal="110" workbookViewId="0">
      <selection activeCell="L11" sqref="L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56622101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1.2699999999999999E-2</v>
      </c>
      <c r="E10" s="356" t="s">
        <v>1062</v>
      </c>
      <c r="F10" s="355">
        <v>2.5000000000000001E-3</v>
      </c>
      <c r="G10" s="356" t="s">
        <v>1062</v>
      </c>
      <c r="H10" s="355">
        <v>1.1999999999999999E-3</v>
      </c>
      <c r="I10" s="356" t="s">
        <v>1063</v>
      </c>
      <c r="J10" s="1754">
        <f>ROUND(D10+F10+H10,5)</f>
        <v>1.6400000000000001E-2</v>
      </c>
      <c r="K10" s="222"/>
      <c r="L10" s="355">
        <v>5.0000000000000001E-4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1793839</v>
      </c>
      <c r="E16" s="356"/>
      <c r="F16" s="1755">
        <f>SUM('Acct Summary 7-8'!C17,'Acct Summary 7-8'!D17,'Acct Summary 7-8'!F17)</f>
        <v>1834204</v>
      </c>
      <c r="G16" s="356"/>
      <c r="H16" s="1755">
        <f>SUM(D16-F16)</f>
        <v>-40365</v>
      </c>
      <c r="I16" s="222"/>
      <c r="J16" s="1755">
        <f>SUM('Acct Summary 7-8'!C81,'Acct Summary 7-8'!D81,'Acct Summary 7-8'!F81,'Acct Summary 7-8'!I81)</f>
        <v>1241473</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3906924.9690000005</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450000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Miller Township Community Consolidated School District 210</v>
      </c>
      <c r="E7" s="391"/>
      <c r="G7" s="252"/>
      <c r="H7" s="387"/>
      <c r="I7" s="387"/>
      <c r="J7" s="387"/>
      <c r="K7" s="387"/>
      <c r="L7" s="329"/>
      <c r="M7" s="329"/>
      <c r="N7" s="329"/>
      <c r="O7" s="329"/>
      <c r="P7" s="329"/>
    </row>
    <row r="8" spans="1:18" ht="12.75" x14ac:dyDescent="0.2">
      <c r="A8" s="329"/>
      <c r="B8" s="329"/>
      <c r="C8" s="389" t="s">
        <v>1187</v>
      </c>
      <c r="D8" s="392">
        <f>COVER!A13</f>
        <v>35050210004</v>
      </c>
      <c r="E8" s="393"/>
      <c r="G8" s="329"/>
      <c r="H8" s="329"/>
      <c r="I8" s="329"/>
      <c r="J8" s="329"/>
      <c r="K8" s="329"/>
      <c r="L8" s="329"/>
      <c r="M8" s="329"/>
      <c r="N8" s="329"/>
      <c r="O8" s="329"/>
      <c r="P8" s="329"/>
    </row>
    <row r="9" spans="1:18" ht="12.75" x14ac:dyDescent="0.2">
      <c r="A9" s="329"/>
      <c r="B9" s="329"/>
      <c r="C9" s="389" t="s">
        <v>737</v>
      </c>
      <c r="D9" s="394" t="str">
        <f>COVER!A15</f>
        <v>LaSalle and Grundy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1241473</v>
      </c>
      <c r="I12" s="404"/>
      <c r="J12" s="404"/>
      <c r="K12" s="405">
        <f>TRUNC((H12/H13*100000),5)/100000</f>
        <v>0.69207604470000006</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1793839</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1834204</v>
      </c>
      <c r="I17" s="404"/>
      <c r="J17" s="416"/>
      <c r="K17" s="405">
        <f>TRUNC((H17/H18*100000),5)/100000</f>
        <v>1.0225020194000001</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1793839</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26.312129300000002</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1241473</v>
      </c>
      <c r="I24" s="422"/>
      <c r="J24" s="422"/>
      <c r="K24" s="423">
        <f>TRUNC(((H24/H25*100000)/100000),2)</f>
        <v>243.66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5095.0111100000004</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789312.08794</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450000</v>
      </c>
      <c r="I32" s="420"/>
      <c r="J32" s="420"/>
      <c r="K32" s="423">
        <f>TRUNC(100-((((H32/H33*100))*100)/100),2)</f>
        <v>88.48</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3906924.9690000005</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3.6499999999999995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N41" sqref="N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915056</v>
      </c>
      <c r="D4" s="466">
        <v>182618</v>
      </c>
      <c r="E4" s="466"/>
      <c r="F4" s="466">
        <v>143799</v>
      </c>
      <c r="G4" s="466">
        <v>77854</v>
      </c>
      <c r="H4" s="466"/>
      <c r="I4" s="466"/>
      <c r="J4" s="467">
        <v>120205</v>
      </c>
      <c r="K4" s="466">
        <v>101473</v>
      </c>
      <c r="L4" s="466">
        <v>16391</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915056</v>
      </c>
      <c r="D13" s="1759">
        <f t="shared" ref="D13:L13" si="0">SUM(D4:D12)</f>
        <v>182618</v>
      </c>
      <c r="E13" s="1759">
        <f t="shared" si="0"/>
        <v>0</v>
      </c>
      <c r="F13" s="1759">
        <f t="shared" si="0"/>
        <v>143799</v>
      </c>
      <c r="G13" s="1759">
        <f t="shared" si="0"/>
        <v>77854</v>
      </c>
      <c r="H13" s="1759">
        <f t="shared" si="0"/>
        <v>0</v>
      </c>
      <c r="I13" s="1759">
        <f t="shared" si="0"/>
        <v>0</v>
      </c>
      <c r="J13" s="1759">
        <f t="shared" si="0"/>
        <v>120205</v>
      </c>
      <c r="K13" s="1759">
        <f t="shared" si="0"/>
        <v>101473</v>
      </c>
      <c r="L13" s="1759">
        <f t="shared" si="0"/>
        <v>16391</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7500</v>
      </c>
      <c r="N16" s="484"/>
    </row>
    <row r="17" spans="1:14" s="485" customFormat="1" ht="12.75" customHeight="1" x14ac:dyDescent="0.2">
      <c r="A17" s="482" t="s">
        <v>1470</v>
      </c>
      <c r="B17" s="483">
        <v>230</v>
      </c>
      <c r="C17" s="477"/>
      <c r="D17" s="477"/>
      <c r="E17" s="477"/>
      <c r="F17" s="477"/>
      <c r="G17" s="477"/>
      <c r="H17" s="477"/>
      <c r="I17" s="477"/>
      <c r="J17" s="477"/>
      <c r="K17" s="477"/>
      <c r="L17" s="477"/>
      <c r="M17" s="467">
        <v>616658</v>
      </c>
      <c r="N17" s="484"/>
    </row>
    <row r="18" spans="1:14" s="485" customFormat="1" ht="12.75" customHeight="1" x14ac:dyDescent="0.2">
      <c r="A18" s="482" t="s">
        <v>1471</v>
      </c>
      <c r="B18" s="483">
        <v>240</v>
      </c>
      <c r="C18" s="477"/>
      <c r="D18" s="477"/>
      <c r="E18" s="477"/>
      <c r="F18" s="477"/>
      <c r="G18" s="477"/>
      <c r="H18" s="477"/>
      <c r="I18" s="477"/>
      <c r="J18" s="477"/>
      <c r="K18" s="477"/>
      <c r="L18" s="477"/>
      <c r="M18" s="467">
        <v>15126</v>
      </c>
      <c r="N18" s="484"/>
    </row>
    <row r="19" spans="1:14" s="485" customFormat="1" ht="12.75" customHeight="1" x14ac:dyDescent="0.2">
      <c r="A19" s="482" t="s">
        <v>1472</v>
      </c>
      <c r="B19" s="483">
        <v>250</v>
      </c>
      <c r="C19" s="477"/>
      <c r="D19" s="477"/>
      <c r="E19" s="477"/>
      <c r="F19" s="477"/>
      <c r="G19" s="477"/>
      <c r="H19" s="477"/>
      <c r="I19" s="477"/>
      <c r="J19" s="477"/>
      <c r="K19" s="477"/>
      <c r="L19" s="477"/>
      <c r="M19" s="467">
        <v>24954</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450000</v>
      </c>
    </row>
    <row r="23" spans="1:14" ht="13.5" customHeight="1" thickBot="1" x14ac:dyDescent="0.25">
      <c r="A23" s="1758" t="s">
        <v>664</v>
      </c>
      <c r="B23" s="1763"/>
      <c r="C23" s="468"/>
      <c r="D23" s="468"/>
      <c r="E23" s="468"/>
      <c r="F23" s="468"/>
      <c r="G23" s="468"/>
      <c r="H23" s="468"/>
      <c r="I23" s="468"/>
      <c r="J23" s="468"/>
      <c r="K23" s="468"/>
      <c r="L23" s="468"/>
      <c r="M23" s="1710">
        <f>SUM(M15:M22)</f>
        <v>664238</v>
      </c>
      <c r="N23" s="1710">
        <f>SUM(N21:N22)</f>
        <v>450000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16391</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16391</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450000</v>
      </c>
    </row>
    <row r="37" spans="1:14" ht="13.5" thickBot="1" x14ac:dyDescent="0.25">
      <c r="A37" s="1758" t="s">
        <v>674</v>
      </c>
      <c r="B37" s="1763"/>
      <c r="C37" s="477"/>
      <c r="D37" s="477"/>
      <c r="E37" s="477"/>
      <c r="F37" s="477"/>
      <c r="G37" s="477"/>
      <c r="H37" s="477"/>
      <c r="I37" s="477"/>
      <c r="J37" s="477"/>
      <c r="K37" s="477"/>
      <c r="L37" s="480"/>
      <c r="M37" s="468"/>
      <c r="N37" s="1710">
        <f>SUM(N36:N36)</f>
        <v>450000</v>
      </c>
    </row>
    <row r="38" spans="1:14" s="329" customFormat="1" ht="13.5" customHeight="1" thickTop="1" x14ac:dyDescent="0.2">
      <c r="A38" s="496" t="s">
        <v>440</v>
      </c>
      <c r="B38" s="483">
        <v>714</v>
      </c>
      <c r="C38" s="466">
        <v>134301</v>
      </c>
      <c r="D38" s="466"/>
      <c r="E38" s="466"/>
      <c r="F38" s="466"/>
      <c r="G38" s="466">
        <v>27491</v>
      </c>
      <c r="H38" s="466"/>
      <c r="I38" s="466"/>
      <c r="J38" s="467"/>
      <c r="K38" s="466"/>
      <c r="L38" s="481"/>
      <c r="M38" s="497"/>
      <c r="N38" s="497"/>
    </row>
    <row r="39" spans="1:14" s="329" customFormat="1" ht="13.5" customHeight="1" x14ac:dyDescent="0.2">
      <c r="A39" s="496" t="s">
        <v>360</v>
      </c>
      <c r="B39" s="483">
        <v>730</v>
      </c>
      <c r="C39" s="466">
        <v>780755</v>
      </c>
      <c r="D39" s="466">
        <v>182618</v>
      </c>
      <c r="E39" s="466"/>
      <c r="F39" s="466">
        <v>143799</v>
      </c>
      <c r="G39" s="466">
        <v>50363</v>
      </c>
      <c r="H39" s="466"/>
      <c r="I39" s="466"/>
      <c r="J39" s="467">
        <v>120205</v>
      </c>
      <c r="K39" s="466">
        <v>101473</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664238</v>
      </c>
      <c r="N40" s="497"/>
    </row>
    <row r="41" spans="1:14" ht="13.5" customHeight="1" thickBot="1" x14ac:dyDescent="0.25">
      <c r="A41" s="1758" t="s">
        <v>676</v>
      </c>
      <c r="B41" s="1728"/>
      <c r="C41" s="1710">
        <f>(SUM(C34,C37,C38,C39))</f>
        <v>915056</v>
      </c>
      <c r="D41" s="1710">
        <f t="shared" ref="D41:L41" si="2">SUM(D34,D37,D38:D39)</f>
        <v>182618</v>
      </c>
      <c r="E41" s="1710">
        <f t="shared" si="2"/>
        <v>0</v>
      </c>
      <c r="F41" s="1710">
        <f t="shared" si="2"/>
        <v>143799</v>
      </c>
      <c r="G41" s="1710">
        <f t="shared" si="2"/>
        <v>77854</v>
      </c>
      <c r="H41" s="1710">
        <f t="shared" si="2"/>
        <v>0</v>
      </c>
      <c r="I41" s="1710">
        <f t="shared" si="2"/>
        <v>0</v>
      </c>
      <c r="J41" s="1710">
        <f t="shared" si="2"/>
        <v>120205</v>
      </c>
      <c r="K41" s="1710">
        <f t="shared" si="2"/>
        <v>101473</v>
      </c>
      <c r="L41" s="1710">
        <f t="shared" si="2"/>
        <v>16391</v>
      </c>
      <c r="M41" s="1710">
        <f>SUM(M40)</f>
        <v>664238</v>
      </c>
      <c r="N41" s="1710">
        <f>SUM(N37)</f>
        <v>450000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K79" sqref="K7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992972</v>
      </c>
      <c r="D4" s="1764">
        <f>'Revenues 9-14'!D109</f>
        <v>167885</v>
      </c>
      <c r="E4" s="1764">
        <f>'Revenues 9-14'!E109</f>
        <v>457797</v>
      </c>
      <c r="F4" s="1764">
        <f>'Revenues 9-14'!F109</f>
        <v>91248</v>
      </c>
      <c r="G4" s="1764">
        <f>'Revenues 9-14'!G109</f>
        <v>80997</v>
      </c>
      <c r="H4" s="1764">
        <f>'Revenues 9-14'!H109</f>
        <v>0</v>
      </c>
      <c r="I4" s="1764">
        <f>'Revenues 9-14'!I109</f>
        <v>27604</v>
      </c>
      <c r="J4" s="1764">
        <f>'Revenues 9-14'!J109</f>
        <v>72994</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249746</v>
      </c>
      <c r="D6" s="1765">
        <f>'Revenues 9-14'!D173</f>
        <v>0</v>
      </c>
      <c r="E6" s="1765">
        <f>'Revenues 9-14'!E173</f>
        <v>0</v>
      </c>
      <c r="F6" s="1765">
        <f>'Revenues 9-14'!F173</f>
        <v>145139</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119245</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1361963</v>
      </c>
      <c r="D8" s="1710">
        <f t="shared" ref="D8:K8" si="0">SUM(D4:D7)</f>
        <v>167885</v>
      </c>
      <c r="E8" s="1710">
        <f t="shared" si="0"/>
        <v>457797</v>
      </c>
      <c r="F8" s="1710">
        <f t="shared" si="0"/>
        <v>236387</v>
      </c>
      <c r="G8" s="1710">
        <f t="shared" si="0"/>
        <v>80997</v>
      </c>
      <c r="H8" s="1710">
        <f t="shared" si="0"/>
        <v>0</v>
      </c>
      <c r="I8" s="1710">
        <f t="shared" si="0"/>
        <v>27604</v>
      </c>
      <c r="J8" s="1710">
        <f t="shared" si="0"/>
        <v>72994</v>
      </c>
      <c r="K8" s="1710">
        <f t="shared" si="0"/>
        <v>0</v>
      </c>
      <c r="L8" s="347"/>
    </row>
    <row r="9" spans="1:13" ht="15.75" thickTop="1" x14ac:dyDescent="0.2">
      <c r="A9" s="514" t="s">
        <v>1752</v>
      </c>
      <c r="B9" s="515">
        <v>3998</v>
      </c>
      <c r="C9" s="481">
        <v>99868</v>
      </c>
      <c r="D9" s="516"/>
      <c r="E9" s="481"/>
      <c r="F9" s="481"/>
      <c r="G9" s="517"/>
      <c r="H9" s="481"/>
      <c r="I9" s="509" t="s">
        <v>1231</v>
      </c>
      <c r="J9" s="478"/>
      <c r="K9" s="481"/>
      <c r="L9" s="347"/>
    </row>
    <row r="10" spans="1:13" s="519" customFormat="1" ht="13.5" thickBot="1" x14ac:dyDescent="0.25">
      <c r="A10" s="1758" t="s">
        <v>1235</v>
      </c>
      <c r="B10" s="1731"/>
      <c r="C10" s="1710">
        <f>SUM(C8:C9)</f>
        <v>1461831</v>
      </c>
      <c r="D10" s="1710">
        <f t="shared" ref="D10:K10" si="1">SUM(D8:D9)</f>
        <v>167885</v>
      </c>
      <c r="E10" s="1710">
        <f t="shared" si="1"/>
        <v>457797</v>
      </c>
      <c r="F10" s="1710">
        <f t="shared" si="1"/>
        <v>236387</v>
      </c>
      <c r="G10" s="1710">
        <f t="shared" si="1"/>
        <v>80997</v>
      </c>
      <c r="H10" s="1710">
        <f t="shared" si="1"/>
        <v>0</v>
      </c>
      <c r="I10" s="1710">
        <f t="shared" si="1"/>
        <v>27604</v>
      </c>
      <c r="J10" s="1710">
        <f t="shared" si="1"/>
        <v>72994</v>
      </c>
      <c r="K10" s="1710">
        <f t="shared" si="1"/>
        <v>0</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1051848</v>
      </c>
      <c r="D12" s="520" t="s">
        <v>1231</v>
      </c>
      <c r="E12" s="468" t="s">
        <v>1231</v>
      </c>
      <c r="F12" s="468" t="s">
        <v>1231</v>
      </c>
      <c r="G12" s="1764">
        <f>'Expenditures 15-22'!K229</f>
        <v>27263</v>
      </c>
      <c r="H12" s="521"/>
      <c r="I12" s="468" t="s">
        <v>1231</v>
      </c>
      <c r="J12" s="468" t="s">
        <v>1231</v>
      </c>
      <c r="K12" s="521" t="s">
        <v>1231</v>
      </c>
      <c r="L12" s="347"/>
    </row>
    <row r="13" spans="1:13" ht="15.75" customHeight="1" x14ac:dyDescent="0.2">
      <c r="A13" s="1598" t="s">
        <v>477</v>
      </c>
      <c r="B13" s="1600">
        <v>2000</v>
      </c>
      <c r="C13" s="1765">
        <f>'Expenditures 15-22'!K74</f>
        <v>337363</v>
      </c>
      <c r="D13" s="1765">
        <f>'Expenditures 15-22'!K129</f>
        <v>136371</v>
      </c>
      <c r="E13" s="469" t="s">
        <v>1231</v>
      </c>
      <c r="F13" s="1765">
        <f>'Expenditures 15-22'!K184</f>
        <v>183325</v>
      </c>
      <c r="G13" s="1765">
        <f>'Expenditures 15-22'!K279</f>
        <v>32205</v>
      </c>
      <c r="H13" s="1765">
        <f>'Expenditures 15-22'!K303</f>
        <v>0</v>
      </c>
      <c r="I13" s="468" t="s">
        <v>1231</v>
      </c>
      <c r="J13" s="1765">
        <f>'Expenditures 15-22'!K330</f>
        <v>74655</v>
      </c>
      <c r="K13" s="1769">
        <f>'Expenditures 15-22'!K352</f>
        <v>7325</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125297</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458349</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1514508</v>
      </c>
      <c r="D17" s="1710">
        <f t="shared" si="2"/>
        <v>136371</v>
      </c>
      <c r="E17" s="1710">
        <f t="shared" si="2"/>
        <v>458349</v>
      </c>
      <c r="F17" s="1710">
        <f t="shared" si="2"/>
        <v>183325</v>
      </c>
      <c r="G17" s="1710">
        <f t="shared" si="2"/>
        <v>59468</v>
      </c>
      <c r="H17" s="1710">
        <f t="shared" si="2"/>
        <v>0</v>
      </c>
      <c r="I17" s="468"/>
      <c r="J17" s="1710">
        <f>SUM(J12:J16)</f>
        <v>74655</v>
      </c>
      <c r="K17" s="1710">
        <f>SUM(K12:K16)</f>
        <v>7325</v>
      </c>
      <c r="L17" s="347"/>
    </row>
    <row r="18" spans="1:12" ht="15" customHeight="1" thickTop="1" x14ac:dyDescent="0.2">
      <c r="A18" s="1766" t="s">
        <v>1753</v>
      </c>
      <c r="B18" s="1767">
        <v>4180</v>
      </c>
      <c r="C18" s="1764">
        <f t="shared" ref="C18:H18" si="3">C9</f>
        <v>99868</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1614376</v>
      </c>
      <c r="D19" s="1710">
        <f t="shared" si="4"/>
        <v>136371</v>
      </c>
      <c r="E19" s="1710">
        <f t="shared" si="4"/>
        <v>458349</v>
      </c>
      <c r="F19" s="1710">
        <f t="shared" si="4"/>
        <v>183325</v>
      </c>
      <c r="G19" s="1710">
        <f t="shared" si="4"/>
        <v>59468</v>
      </c>
      <c r="H19" s="1710">
        <f t="shared" si="4"/>
        <v>0</v>
      </c>
      <c r="I19" s="468"/>
      <c r="J19" s="1710">
        <f>SUM(J17:J18)</f>
        <v>74655</v>
      </c>
      <c r="K19" s="1710">
        <f>SUM(K17:K18)</f>
        <v>7325</v>
      </c>
      <c r="L19" s="347"/>
    </row>
    <row r="20" spans="1:12" ht="16.5" thickTop="1" thickBot="1" x14ac:dyDescent="0.25">
      <c r="A20" s="2144" t="s">
        <v>1754</v>
      </c>
      <c r="B20" s="2145"/>
      <c r="C20" s="1768">
        <f>C8-C17</f>
        <v>-152545</v>
      </c>
      <c r="D20" s="1768">
        <f t="shared" ref="D20:K20" si="5">D8-D17</f>
        <v>31514</v>
      </c>
      <c r="E20" s="1768">
        <f t="shared" si="5"/>
        <v>-552</v>
      </c>
      <c r="F20" s="1768">
        <f t="shared" si="5"/>
        <v>53062</v>
      </c>
      <c r="G20" s="1768">
        <f t="shared" si="5"/>
        <v>21529</v>
      </c>
      <c r="H20" s="1768">
        <f t="shared" si="5"/>
        <v>0</v>
      </c>
      <c r="I20" s="1768">
        <f t="shared" si="5"/>
        <v>27604</v>
      </c>
      <c r="J20" s="1768">
        <f t="shared" si="5"/>
        <v>-1661</v>
      </c>
      <c r="K20" s="1768">
        <f t="shared" si="5"/>
        <v>-7325</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v>453536</v>
      </c>
      <c r="D24" s="477"/>
      <c r="E24" s="477"/>
      <c r="F24" s="477"/>
      <c r="G24" s="477"/>
      <c r="H24" s="477"/>
      <c r="I24" s="477"/>
      <c r="J24" s="477"/>
      <c r="K24" s="477"/>
      <c r="L24" s="524"/>
    </row>
    <row r="25" spans="1:12" s="485" customFormat="1" ht="13.5" customHeight="1" x14ac:dyDescent="0.2">
      <c r="A25" s="1511" t="s">
        <v>1756</v>
      </c>
      <c r="B25" s="525">
        <v>7110</v>
      </c>
      <c r="C25" s="467"/>
      <c r="D25" s="467"/>
      <c r="E25" s="467">
        <v>552</v>
      </c>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v>450000</v>
      </c>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453536</v>
      </c>
      <c r="D44" s="1725">
        <f t="shared" ref="D44:K44" si="6">SUM(D24:D43)</f>
        <v>0</v>
      </c>
      <c r="E44" s="1725">
        <f t="shared" si="6"/>
        <v>552</v>
      </c>
      <c r="F44" s="1725">
        <f t="shared" si="6"/>
        <v>0</v>
      </c>
      <c r="G44" s="1725">
        <f t="shared" si="6"/>
        <v>0</v>
      </c>
      <c r="H44" s="1725">
        <f t="shared" si="6"/>
        <v>0</v>
      </c>
      <c r="I44" s="1725">
        <f t="shared" si="6"/>
        <v>450000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454088</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v>23516</v>
      </c>
      <c r="J75" s="530"/>
      <c r="K75" s="532"/>
      <c r="L75" s="524"/>
    </row>
    <row r="76" spans="1:12" s="485" customFormat="1" ht="14.25" thickTop="1" thickBot="1" x14ac:dyDescent="0.25">
      <c r="A76" s="2134" t="s">
        <v>460</v>
      </c>
      <c r="B76" s="2135"/>
      <c r="C76" s="1725">
        <f t="shared" ref="C76:K76" si="7">SUM(C47:C75)</f>
        <v>0</v>
      </c>
      <c r="D76" s="1725">
        <f t="shared" si="7"/>
        <v>0</v>
      </c>
      <c r="E76" s="1725">
        <f t="shared" si="7"/>
        <v>0</v>
      </c>
      <c r="F76" s="1725">
        <f t="shared" si="7"/>
        <v>0</v>
      </c>
      <c r="G76" s="1725">
        <f t="shared" si="7"/>
        <v>0</v>
      </c>
      <c r="H76" s="1725">
        <f t="shared" si="7"/>
        <v>0</v>
      </c>
      <c r="I76" s="1725">
        <f t="shared" si="7"/>
        <v>477604</v>
      </c>
      <c r="J76" s="1725">
        <f t="shared" si="7"/>
        <v>0</v>
      </c>
      <c r="K76" s="1725">
        <f t="shared" si="7"/>
        <v>0</v>
      </c>
      <c r="L76" s="524"/>
    </row>
    <row r="77" spans="1:12" ht="14.25" thickTop="1" thickBot="1" x14ac:dyDescent="0.25">
      <c r="A77" s="2136" t="s">
        <v>1239</v>
      </c>
      <c r="B77" s="2137"/>
      <c r="C77" s="1725">
        <f t="shared" ref="C77:K77" si="8">C44-C76</f>
        <v>453536</v>
      </c>
      <c r="D77" s="1725">
        <f t="shared" si="8"/>
        <v>0</v>
      </c>
      <c r="E77" s="1725">
        <f t="shared" si="8"/>
        <v>552</v>
      </c>
      <c r="F77" s="1725">
        <f t="shared" si="8"/>
        <v>0</v>
      </c>
      <c r="G77" s="1725">
        <f t="shared" si="8"/>
        <v>0</v>
      </c>
      <c r="H77" s="1725">
        <f t="shared" si="8"/>
        <v>0</v>
      </c>
      <c r="I77" s="1725">
        <f t="shared" si="8"/>
        <v>-27604</v>
      </c>
      <c r="J77" s="1725">
        <f t="shared" si="8"/>
        <v>0</v>
      </c>
      <c r="K77" s="1725">
        <f t="shared" si="8"/>
        <v>0</v>
      </c>
      <c r="L77" s="347"/>
    </row>
    <row r="78" spans="1:12" ht="21.75" customHeight="1" thickTop="1" thickBot="1" x14ac:dyDescent="0.25">
      <c r="A78" s="2140" t="s">
        <v>618</v>
      </c>
      <c r="B78" s="2141"/>
      <c r="C78" s="1724">
        <f t="shared" ref="C78:K78" si="9">C20+C77</f>
        <v>300991</v>
      </c>
      <c r="D78" s="1724">
        <f t="shared" si="9"/>
        <v>31514</v>
      </c>
      <c r="E78" s="1724">
        <f t="shared" si="9"/>
        <v>0</v>
      </c>
      <c r="F78" s="1724">
        <f t="shared" si="9"/>
        <v>53062</v>
      </c>
      <c r="G78" s="1724">
        <f t="shared" si="9"/>
        <v>21529</v>
      </c>
      <c r="H78" s="1724">
        <f t="shared" si="9"/>
        <v>0</v>
      </c>
      <c r="I78" s="1724">
        <f t="shared" si="9"/>
        <v>0</v>
      </c>
      <c r="J78" s="1724">
        <f t="shared" si="9"/>
        <v>-1661</v>
      </c>
      <c r="K78" s="1724">
        <f t="shared" si="9"/>
        <v>-7325</v>
      </c>
      <c r="L78" s="533"/>
    </row>
    <row r="79" spans="1:12" ht="13.5" thickTop="1" x14ac:dyDescent="0.2">
      <c r="A79" s="1516" t="s">
        <v>2071</v>
      </c>
      <c r="B79" s="534"/>
      <c r="C79" s="478">
        <v>614065</v>
      </c>
      <c r="D79" s="535">
        <v>151104</v>
      </c>
      <c r="E79" s="535"/>
      <c r="F79" s="535">
        <v>90737</v>
      </c>
      <c r="G79" s="535">
        <v>56325</v>
      </c>
      <c r="H79" s="535"/>
      <c r="I79" s="535"/>
      <c r="J79" s="535">
        <v>121866</v>
      </c>
      <c r="K79" s="535">
        <v>108798</v>
      </c>
      <c r="L79" s="347"/>
    </row>
    <row r="80" spans="1:12" x14ac:dyDescent="0.2">
      <c r="A80" s="2146" t="s">
        <v>1898</v>
      </c>
      <c r="B80" s="2147"/>
      <c r="C80" s="467"/>
      <c r="D80" s="467"/>
      <c r="E80" s="467"/>
      <c r="F80" s="467"/>
      <c r="G80" s="467"/>
      <c r="H80" s="467"/>
      <c r="I80" s="467"/>
      <c r="J80" s="467"/>
      <c r="K80" s="467"/>
      <c r="L80" s="347"/>
    </row>
    <row r="81" spans="1:12" ht="13.5" thickBot="1" x14ac:dyDescent="0.25">
      <c r="A81" s="2138" t="s">
        <v>2072</v>
      </c>
      <c r="B81" s="2139"/>
      <c r="C81" s="1710">
        <f>(SUM(C78:C80))</f>
        <v>915056</v>
      </c>
      <c r="D81" s="1710">
        <f>SUM(D78:D80)</f>
        <v>182618</v>
      </c>
      <c r="E81" s="1710">
        <f t="shared" ref="E81:K81" si="10">SUM(E78:E80)</f>
        <v>0</v>
      </c>
      <c r="F81" s="1710">
        <f t="shared" si="10"/>
        <v>143799</v>
      </c>
      <c r="G81" s="1710">
        <f t="shared" si="10"/>
        <v>77854</v>
      </c>
      <c r="H81" s="1710">
        <f t="shared" si="10"/>
        <v>0</v>
      </c>
      <c r="I81" s="1710">
        <f t="shared" si="10"/>
        <v>0</v>
      </c>
      <c r="J81" s="1710">
        <f t="shared" si="10"/>
        <v>120205</v>
      </c>
      <c r="K81" s="1710">
        <f t="shared" si="10"/>
        <v>101473</v>
      </c>
      <c r="L81" s="347"/>
    </row>
    <row r="82" spans="1:12" ht="0.75" customHeight="1" thickTop="1" thickBot="1" x14ac:dyDescent="0.25">
      <c r="A82" s="536" t="s">
        <v>361</v>
      </c>
      <c r="B82" s="537"/>
      <c r="C82" s="538">
        <f>(C81-C79)</f>
        <v>300991</v>
      </c>
      <c r="D82" s="538">
        <f t="shared" ref="D82:K82" si="11">(D81-D79)</f>
        <v>31514</v>
      </c>
      <c r="E82" s="538">
        <f t="shared" si="11"/>
        <v>0</v>
      </c>
      <c r="F82" s="538">
        <f t="shared" si="11"/>
        <v>53062</v>
      </c>
      <c r="G82" s="538">
        <f t="shared" si="11"/>
        <v>21529</v>
      </c>
      <c r="H82" s="538">
        <f t="shared" si="11"/>
        <v>0</v>
      </c>
      <c r="I82" s="538">
        <f t="shared" si="11"/>
        <v>0</v>
      </c>
      <c r="J82" s="538">
        <f t="shared" si="11"/>
        <v>-1661</v>
      </c>
      <c r="K82" s="538">
        <f t="shared" si="11"/>
        <v>-7325</v>
      </c>
    </row>
    <row r="83" spans="1:12" ht="14.25" hidden="1" thickTop="1" thickBot="1" x14ac:dyDescent="0.25">
      <c r="A83" s="539" t="s">
        <v>362</v>
      </c>
      <c r="B83" s="464"/>
      <c r="C83" s="540">
        <f>C82/C81</f>
        <v>0.32893178122431849</v>
      </c>
      <c r="D83" s="540">
        <f t="shared" ref="D83:K83" si="12">D82/D81</f>
        <v>0.17256787392261441</v>
      </c>
      <c r="E83" s="540" t="e">
        <f t="shared" si="12"/>
        <v>#DIV/0!</v>
      </c>
      <c r="F83" s="540">
        <f t="shared" si="12"/>
        <v>0.36900117525156645</v>
      </c>
      <c r="G83" s="540">
        <f t="shared" si="12"/>
        <v>0.27653042875125233</v>
      </c>
      <c r="H83" s="540" t="e">
        <f t="shared" si="12"/>
        <v>#DIV/0!</v>
      </c>
      <c r="I83" s="540" t="e">
        <f t="shared" si="12"/>
        <v>#DIV/0!</v>
      </c>
      <c r="J83" s="540">
        <f t="shared" si="12"/>
        <v>-1.3818060812778171E-2</v>
      </c>
      <c r="K83" s="540">
        <f t="shared" si="12"/>
        <v>-7.2186690055482741E-2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186" activePane="bottomLeft" state="frozen"/>
      <selection activeCell="A47" sqref="A47"/>
      <selection pane="bottomLeft" activeCell="C203" sqref="C20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701110</v>
      </c>
      <c r="D5" s="481">
        <v>138016</v>
      </c>
      <c r="E5" s="466">
        <v>457797</v>
      </c>
      <c r="F5" s="548">
        <v>66248</v>
      </c>
      <c r="G5" s="466">
        <v>31000</v>
      </c>
      <c r="H5" s="466"/>
      <c r="I5" s="466">
        <v>27604</v>
      </c>
      <c r="J5" s="467">
        <v>72994</v>
      </c>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v>11381</v>
      </c>
      <c r="D7" s="466"/>
      <c r="E7" s="468"/>
      <c r="F7" s="467"/>
      <c r="G7" s="467"/>
      <c r="H7" s="467"/>
      <c r="I7" s="468"/>
      <c r="J7" s="468"/>
      <c r="K7" s="468"/>
    </row>
    <row r="8" spans="1:12" x14ac:dyDescent="0.2">
      <c r="A8" s="463" t="s">
        <v>433</v>
      </c>
      <c r="B8" s="470">
        <v>1150</v>
      </c>
      <c r="C8" s="475"/>
      <c r="D8" s="475"/>
      <c r="E8" s="477"/>
      <c r="F8" s="477"/>
      <c r="G8" s="481">
        <v>49997</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712491</v>
      </c>
      <c r="D12" s="1729">
        <f t="shared" si="0"/>
        <v>138016</v>
      </c>
      <c r="E12" s="1729">
        <f t="shared" si="0"/>
        <v>457797</v>
      </c>
      <c r="F12" s="1729">
        <f t="shared" si="0"/>
        <v>66248</v>
      </c>
      <c r="G12" s="1729">
        <f t="shared" si="0"/>
        <v>80997</v>
      </c>
      <c r="H12" s="1729">
        <f t="shared" si="0"/>
        <v>0</v>
      </c>
      <c r="I12" s="1729">
        <f t="shared" si="0"/>
        <v>27604</v>
      </c>
      <c r="J12" s="1729">
        <f t="shared" si="0"/>
        <v>72994</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23514</v>
      </c>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23514</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18260</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18260</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33268</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1275</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34543</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5529</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3120</v>
      </c>
      <c r="D81" s="466"/>
      <c r="E81" s="468"/>
      <c r="F81" s="468"/>
      <c r="G81" s="468"/>
      <c r="H81" s="468"/>
      <c r="I81" s="468"/>
      <c r="J81" s="468"/>
      <c r="K81" s="468"/>
    </row>
    <row r="82" spans="1:11" ht="12.75" customHeight="1" thickBot="1" x14ac:dyDescent="0.25">
      <c r="A82" s="1730" t="s">
        <v>259</v>
      </c>
      <c r="B82" s="1731"/>
      <c r="C82" s="1729">
        <f>SUM(C77:C81)</f>
        <v>8649</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15403</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15403</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163085</v>
      </c>
      <c r="D96" s="551">
        <v>25000</v>
      </c>
      <c r="E96" s="479"/>
      <c r="F96" s="478">
        <v>25000</v>
      </c>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8595</v>
      </c>
      <c r="D99" s="466">
        <v>4320</v>
      </c>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8432</v>
      </c>
      <c r="D107" s="466">
        <v>549</v>
      </c>
      <c r="E107" s="466"/>
      <c r="F107" s="466"/>
      <c r="G107" s="466"/>
      <c r="H107" s="466"/>
      <c r="I107" s="466"/>
      <c r="J107" s="467"/>
      <c r="K107" s="466"/>
    </row>
    <row r="108" spans="1:12" ht="12.75" customHeight="1" thickBot="1" x14ac:dyDescent="0.25">
      <c r="A108" s="1730" t="s">
        <v>508</v>
      </c>
      <c r="B108" s="1734"/>
      <c r="C108" s="1729">
        <f>SUM(C95:C107)</f>
        <v>180112</v>
      </c>
      <c r="D108" s="1729">
        <f t="shared" ref="D108:K108" si="3">SUM(D95:D107)</f>
        <v>29869</v>
      </c>
      <c r="E108" s="1729">
        <f t="shared" si="3"/>
        <v>0</v>
      </c>
      <c r="F108" s="1729">
        <f t="shared" si="3"/>
        <v>25000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992972</v>
      </c>
      <c r="D109" s="1737">
        <f t="shared" si="4"/>
        <v>167885</v>
      </c>
      <c r="E109" s="1737">
        <f t="shared" si="4"/>
        <v>457797</v>
      </c>
      <c r="F109" s="1737">
        <f t="shared" si="4"/>
        <v>91248</v>
      </c>
      <c r="G109" s="1737">
        <f t="shared" si="4"/>
        <v>80997</v>
      </c>
      <c r="H109" s="1737">
        <f t="shared" si="4"/>
        <v>0</v>
      </c>
      <c r="I109" s="1737">
        <f t="shared" si="4"/>
        <v>27604</v>
      </c>
      <c r="J109" s="1737">
        <f t="shared" si="4"/>
        <v>72994</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192190</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192190</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23443</v>
      </c>
      <c r="D124" s="561"/>
      <c r="E124" s="468"/>
      <c r="F124" s="548"/>
      <c r="G124" s="468"/>
      <c r="H124" s="468"/>
      <c r="I124" s="468"/>
      <c r="J124" s="468"/>
      <c r="K124" s="468"/>
    </row>
    <row r="125" spans="1:11" ht="12.75" customHeight="1" x14ac:dyDescent="0.2">
      <c r="A125" s="463" t="s">
        <v>1521</v>
      </c>
      <c r="B125" s="562">
        <v>3105</v>
      </c>
      <c r="C125" s="466">
        <v>12793</v>
      </c>
      <c r="D125" s="561"/>
      <c r="E125" s="468"/>
      <c r="F125" s="466"/>
      <c r="G125" s="468"/>
      <c r="H125" s="468"/>
      <c r="I125" s="468"/>
      <c r="J125" s="468"/>
      <c r="K125" s="468"/>
    </row>
    <row r="126" spans="1:11" ht="12.75" customHeight="1" x14ac:dyDescent="0.2">
      <c r="A126" s="463" t="s">
        <v>922</v>
      </c>
      <c r="B126" s="562">
        <v>3110</v>
      </c>
      <c r="C126" s="551">
        <v>20220</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86</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56542</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264</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84055</v>
      </c>
      <c r="G151" s="467"/>
      <c r="H151" s="468"/>
      <c r="I151" s="468"/>
      <c r="J151" s="468"/>
      <c r="K151" s="468"/>
    </row>
    <row r="152" spans="1:11" ht="12.75" customHeight="1" x14ac:dyDescent="0.2">
      <c r="A152" s="463" t="s">
        <v>1117</v>
      </c>
      <c r="B152" s="562">
        <v>3510</v>
      </c>
      <c r="C152" s="551"/>
      <c r="D152" s="466"/>
      <c r="E152" s="561"/>
      <c r="F152" s="466">
        <v>61084</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145139</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750</v>
      </c>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57556</v>
      </c>
      <c r="D172" s="1744">
        <f t="shared" si="6"/>
        <v>0</v>
      </c>
      <c r="E172" s="1744">
        <f t="shared" si="6"/>
        <v>0</v>
      </c>
      <c r="F172" s="1744">
        <f t="shared" si="6"/>
        <v>145139</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249746</v>
      </c>
      <c r="D173" s="1737">
        <f>SUM(D121,D172)</f>
        <v>0</v>
      </c>
      <c r="E173" s="1737">
        <f>SUM(E121,E172)</f>
        <v>0</v>
      </c>
      <c r="F173" s="1737">
        <f t="shared" ref="F173:K173" si="7">SUM(F121,F172)</f>
        <v>145139</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v>21772</v>
      </c>
      <c r="D183" s="466"/>
      <c r="E183" s="468"/>
      <c r="F183" s="466"/>
      <c r="G183" s="466"/>
      <c r="H183" s="466"/>
      <c r="I183" s="468"/>
      <c r="J183" s="468"/>
      <c r="K183" s="466"/>
    </row>
    <row r="184" spans="1:11" ht="13.5" thickBot="1" x14ac:dyDescent="0.25">
      <c r="A184" s="2170" t="s">
        <v>818</v>
      </c>
      <c r="B184" s="2171"/>
      <c r="C184" s="1729">
        <f>SUM(C180:C183)</f>
        <v>21772</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17209</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17209</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30750</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30750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27692</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27692</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8437</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v>13385</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97473</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119245</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1361963</v>
      </c>
      <c r="D275" s="1737">
        <f t="shared" si="12"/>
        <v>167885</v>
      </c>
      <c r="E275" s="1737">
        <f t="shared" si="12"/>
        <v>457797</v>
      </c>
      <c r="F275" s="1737">
        <f t="shared" si="12"/>
        <v>236387</v>
      </c>
      <c r="G275" s="1737">
        <f t="shared" si="12"/>
        <v>80997</v>
      </c>
      <c r="H275" s="1737">
        <f t="shared" si="12"/>
        <v>0</v>
      </c>
      <c r="I275" s="1737">
        <f t="shared" si="12"/>
        <v>27604</v>
      </c>
      <c r="J275" s="1737">
        <f t="shared" si="12"/>
        <v>72994</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7" sqref="A47"/>
      <selection pane="bottomLeft" activeCell="K385" sqref="K38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606242</v>
      </c>
      <c r="D5" s="466">
        <v>116858</v>
      </c>
      <c r="E5" s="466">
        <v>27236</v>
      </c>
      <c r="F5" s="466">
        <v>66568</v>
      </c>
      <c r="G5" s="466"/>
      <c r="H5" s="466">
        <v>414</v>
      </c>
      <c r="I5" s="467"/>
      <c r="J5" s="467"/>
      <c r="K5" s="1693">
        <f>SUM(C5:J5)</f>
        <v>817318</v>
      </c>
      <c r="L5" s="466">
        <v>835950</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119147</v>
      </c>
      <c r="D8" s="466">
        <v>17499</v>
      </c>
      <c r="E8" s="466">
        <v>12422</v>
      </c>
      <c r="F8" s="466">
        <v>992</v>
      </c>
      <c r="G8" s="466"/>
      <c r="H8" s="466">
        <v>119</v>
      </c>
      <c r="I8" s="467"/>
      <c r="J8" s="467"/>
      <c r="K8" s="1693">
        <f t="shared" si="0"/>
        <v>150179</v>
      </c>
      <c r="L8" s="466">
        <v>152445</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41768</v>
      </c>
      <c r="D10" s="466">
        <v>8320</v>
      </c>
      <c r="E10" s="466"/>
      <c r="F10" s="466">
        <v>40</v>
      </c>
      <c r="G10" s="466"/>
      <c r="H10" s="466"/>
      <c r="I10" s="467"/>
      <c r="J10" s="467"/>
      <c r="K10" s="1693">
        <f t="shared" si="0"/>
        <v>50128</v>
      </c>
      <c r="L10" s="466">
        <v>59680</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21022</v>
      </c>
      <c r="D14" s="466">
        <v>1940</v>
      </c>
      <c r="E14" s="466">
        <v>5755</v>
      </c>
      <c r="F14" s="466">
        <v>2900</v>
      </c>
      <c r="G14" s="466"/>
      <c r="H14" s="466">
        <v>2326</v>
      </c>
      <c r="I14" s="467"/>
      <c r="J14" s="467"/>
      <c r="K14" s="1693">
        <f t="shared" si="0"/>
        <v>33943</v>
      </c>
      <c r="L14" s="466">
        <v>44000</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v>280</v>
      </c>
      <c r="I22" s="617"/>
      <c r="J22" s="477"/>
      <c r="K22" s="1693">
        <f t="shared" si="0"/>
        <v>280</v>
      </c>
      <c r="L22" s="471">
        <v>1000</v>
      </c>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788179</v>
      </c>
      <c r="D33" s="1692">
        <f t="shared" ref="D33:L33" si="1">SUM(D5:D32)</f>
        <v>144617</v>
      </c>
      <c r="E33" s="1692">
        <f t="shared" si="1"/>
        <v>45413</v>
      </c>
      <c r="F33" s="1692">
        <f t="shared" si="1"/>
        <v>70500</v>
      </c>
      <c r="G33" s="1692">
        <f t="shared" si="1"/>
        <v>0</v>
      </c>
      <c r="H33" s="1692">
        <f t="shared" si="1"/>
        <v>3139</v>
      </c>
      <c r="I33" s="1692">
        <f t="shared" si="1"/>
        <v>0</v>
      </c>
      <c r="J33" s="1692">
        <f t="shared" si="1"/>
        <v>0</v>
      </c>
      <c r="K33" s="1692">
        <f t="shared" si="1"/>
        <v>1051848</v>
      </c>
      <c r="L33" s="1692">
        <f t="shared" si="1"/>
        <v>1093075</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c r="D38" s="466"/>
      <c r="E38" s="466"/>
      <c r="F38" s="466">
        <v>406</v>
      </c>
      <c r="G38" s="466"/>
      <c r="H38" s="466"/>
      <c r="I38" s="467"/>
      <c r="J38" s="467"/>
      <c r="K38" s="1693">
        <f t="shared" si="2"/>
        <v>406</v>
      </c>
      <c r="L38" s="466">
        <v>425</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v>33303</v>
      </c>
      <c r="D40" s="466">
        <v>3828</v>
      </c>
      <c r="E40" s="466"/>
      <c r="F40" s="466"/>
      <c r="G40" s="466"/>
      <c r="H40" s="466"/>
      <c r="I40" s="467"/>
      <c r="J40" s="467"/>
      <c r="K40" s="1693">
        <f t="shared" si="2"/>
        <v>37131</v>
      </c>
      <c r="L40" s="466">
        <v>39585</v>
      </c>
    </row>
    <row r="41" spans="1:14" x14ac:dyDescent="0.2">
      <c r="A41" s="1526" t="s">
        <v>1768</v>
      </c>
      <c r="B41" s="615">
        <v>2190</v>
      </c>
      <c r="C41" s="466"/>
      <c r="D41" s="466"/>
      <c r="E41" s="466"/>
      <c r="F41" s="466"/>
      <c r="G41" s="466">
        <v>10625</v>
      </c>
      <c r="H41" s="466"/>
      <c r="I41" s="467"/>
      <c r="J41" s="467"/>
      <c r="K41" s="1693">
        <f t="shared" si="2"/>
        <v>10625</v>
      </c>
      <c r="L41" s="466">
        <v>10500</v>
      </c>
    </row>
    <row r="42" spans="1:14" ht="12.75" customHeight="1" thickBot="1" x14ac:dyDescent="0.25">
      <c r="A42" s="1690" t="s">
        <v>581</v>
      </c>
      <c r="B42" s="1691" t="s">
        <v>740</v>
      </c>
      <c r="C42" s="1692">
        <f>SUM(C36:C41)</f>
        <v>33303</v>
      </c>
      <c r="D42" s="1692">
        <f t="shared" ref="D42:L42" si="3">SUM(D36:D41)</f>
        <v>3828</v>
      </c>
      <c r="E42" s="1692">
        <f t="shared" si="3"/>
        <v>0</v>
      </c>
      <c r="F42" s="1692">
        <f t="shared" si="3"/>
        <v>406</v>
      </c>
      <c r="G42" s="1692">
        <f t="shared" si="3"/>
        <v>10625</v>
      </c>
      <c r="H42" s="1692">
        <f t="shared" si="3"/>
        <v>0</v>
      </c>
      <c r="I42" s="1692">
        <f t="shared" si="3"/>
        <v>0</v>
      </c>
      <c r="J42" s="1692">
        <f t="shared" si="3"/>
        <v>0</v>
      </c>
      <c r="K42" s="1692">
        <f t="shared" si="3"/>
        <v>48162</v>
      </c>
      <c r="L42" s="1692">
        <f t="shared" si="3"/>
        <v>50510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v>2130</v>
      </c>
      <c r="E44" s="481"/>
      <c r="F44" s="481"/>
      <c r="G44" s="481"/>
      <c r="H44" s="481"/>
      <c r="I44" s="467"/>
      <c r="J44" s="467"/>
      <c r="K44" s="1694">
        <f>SUM(C44:J44)</f>
        <v>2130</v>
      </c>
      <c r="L44" s="481">
        <v>3150</v>
      </c>
    </row>
    <row r="45" spans="1:14" x14ac:dyDescent="0.2">
      <c r="A45" s="1526" t="s">
        <v>869</v>
      </c>
      <c r="B45" s="615">
        <v>2220</v>
      </c>
      <c r="C45" s="466"/>
      <c r="D45" s="466"/>
      <c r="E45" s="466"/>
      <c r="F45" s="466">
        <v>773</v>
      </c>
      <c r="G45" s="466"/>
      <c r="H45" s="466"/>
      <c r="I45" s="467"/>
      <c r="J45" s="467"/>
      <c r="K45" s="1694">
        <f>SUM(C45:J45)</f>
        <v>773</v>
      </c>
      <c r="L45" s="466">
        <v>900</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0</v>
      </c>
      <c r="D47" s="1692">
        <f t="shared" ref="D47:K47" si="4">SUM(D44:D46)</f>
        <v>2130</v>
      </c>
      <c r="E47" s="1692">
        <f t="shared" si="4"/>
        <v>0</v>
      </c>
      <c r="F47" s="1692">
        <f t="shared" si="4"/>
        <v>773</v>
      </c>
      <c r="G47" s="1692">
        <f t="shared" si="4"/>
        <v>0</v>
      </c>
      <c r="H47" s="1692">
        <f t="shared" si="4"/>
        <v>0</v>
      </c>
      <c r="I47" s="1692">
        <f t="shared" si="4"/>
        <v>0</v>
      </c>
      <c r="J47" s="1692">
        <f t="shared" si="4"/>
        <v>0</v>
      </c>
      <c r="K47" s="1692">
        <f t="shared" si="4"/>
        <v>2903</v>
      </c>
      <c r="L47" s="1692">
        <f>SUM(L44:L46)</f>
        <v>4050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4050</v>
      </c>
      <c r="D49" s="481"/>
      <c r="E49" s="481">
        <v>15015</v>
      </c>
      <c r="F49" s="481">
        <v>8871</v>
      </c>
      <c r="G49" s="481"/>
      <c r="H49" s="481">
        <v>4063</v>
      </c>
      <c r="I49" s="467"/>
      <c r="J49" s="467"/>
      <c r="K49" s="1694">
        <f>SUM(C49:J49)</f>
        <v>31999</v>
      </c>
      <c r="L49" s="481">
        <v>34100</v>
      </c>
    </row>
    <row r="50" spans="1:14" x14ac:dyDescent="0.2">
      <c r="A50" s="1526" t="s">
        <v>872</v>
      </c>
      <c r="B50" s="615">
        <v>2320</v>
      </c>
      <c r="C50" s="466">
        <v>45150</v>
      </c>
      <c r="D50" s="466">
        <v>171</v>
      </c>
      <c r="E50" s="466"/>
      <c r="F50" s="466"/>
      <c r="G50" s="466"/>
      <c r="H50" s="466">
        <v>623</v>
      </c>
      <c r="I50" s="467"/>
      <c r="J50" s="467"/>
      <c r="K50" s="1694">
        <f>SUM(C50:J50)</f>
        <v>45944</v>
      </c>
      <c r="L50" s="466">
        <v>46080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49200</v>
      </c>
      <c r="D53" s="1692">
        <f t="shared" ref="D53:L53" si="5">SUM(D49:D52)</f>
        <v>171</v>
      </c>
      <c r="E53" s="1692">
        <f t="shared" si="5"/>
        <v>15015</v>
      </c>
      <c r="F53" s="1692">
        <f t="shared" si="5"/>
        <v>8871</v>
      </c>
      <c r="G53" s="1692">
        <f t="shared" si="5"/>
        <v>0</v>
      </c>
      <c r="H53" s="1692">
        <f t="shared" si="5"/>
        <v>4686</v>
      </c>
      <c r="I53" s="1692">
        <f t="shared" si="5"/>
        <v>0</v>
      </c>
      <c r="J53" s="1692">
        <f t="shared" si="5"/>
        <v>0</v>
      </c>
      <c r="K53" s="1692">
        <f t="shared" si="5"/>
        <v>77943</v>
      </c>
      <c r="L53" s="1692">
        <f t="shared" si="5"/>
        <v>80180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94511</v>
      </c>
      <c r="D55" s="481">
        <v>18583</v>
      </c>
      <c r="E55" s="481">
        <v>712</v>
      </c>
      <c r="F55" s="481">
        <v>2584</v>
      </c>
      <c r="G55" s="481"/>
      <c r="H55" s="481">
        <v>100</v>
      </c>
      <c r="I55" s="467"/>
      <c r="J55" s="467"/>
      <c r="K55" s="1694">
        <f>SUM(C55:J55)</f>
        <v>116490</v>
      </c>
      <c r="L55" s="481">
        <v>118125</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94511</v>
      </c>
      <c r="D57" s="1696">
        <f t="shared" ref="D57:K57" si="6">SUM(D55:D56)</f>
        <v>18583</v>
      </c>
      <c r="E57" s="1696">
        <f t="shared" si="6"/>
        <v>712</v>
      </c>
      <c r="F57" s="1696">
        <f t="shared" si="6"/>
        <v>2584</v>
      </c>
      <c r="G57" s="1696">
        <f t="shared" si="6"/>
        <v>0</v>
      </c>
      <c r="H57" s="1696">
        <f t="shared" si="6"/>
        <v>100</v>
      </c>
      <c r="I57" s="1696">
        <f t="shared" si="6"/>
        <v>0</v>
      </c>
      <c r="J57" s="1696">
        <f t="shared" si="6"/>
        <v>0</v>
      </c>
      <c r="K57" s="1696">
        <f t="shared" si="6"/>
        <v>116490</v>
      </c>
      <c r="L57" s="1692">
        <f>SUM(L55:L56)</f>
        <v>118125</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c r="D60" s="466"/>
      <c r="E60" s="466">
        <v>15174</v>
      </c>
      <c r="F60" s="466"/>
      <c r="G60" s="466"/>
      <c r="H60" s="466"/>
      <c r="I60" s="467"/>
      <c r="J60" s="467"/>
      <c r="K60" s="1694">
        <f t="shared" si="7"/>
        <v>15174</v>
      </c>
      <c r="L60" s="466">
        <v>15250</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43670</v>
      </c>
      <c r="D63" s="466"/>
      <c r="E63" s="466">
        <v>183</v>
      </c>
      <c r="F63" s="466">
        <v>32580</v>
      </c>
      <c r="G63" s="466"/>
      <c r="H63" s="466">
        <v>258</v>
      </c>
      <c r="I63" s="467"/>
      <c r="J63" s="467"/>
      <c r="K63" s="1694">
        <f t="shared" si="7"/>
        <v>76691</v>
      </c>
      <c r="L63" s="466">
        <v>77600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43670</v>
      </c>
      <c r="D65" s="1692">
        <f t="shared" ref="D65:L65" si="8">SUM(D59:D64)</f>
        <v>0</v>
      </c>
      <c r="E65" s="1692">
        <f t="shared" si="8"/>
        <v>15357</v>
      </c>
      <c r="F65" s="1692">
        <f t="shared" si="8"/>
        <v>32580</v>
      </c>
      <c r="G65" s="1692">
        <f t="shared" si="8"/>
        <v>0</v>
      </c>
      <c r="H65" s="1692">
        <f t="shared" si="8"/>
        <v>258</v>
      </c>
      <c r="I65" s="1692">
        <f t="shared" si="8"/>
        <v>0</v>
      </c>
      <c r="J65" s="1692">
        <f t="shared" si="8"/>
        <v>0</v>
      </c>
      <c r="K65" s="1692">
        <f t="shared" si="8"/>
        <v>91865</v>
      </c>
      <c r="L65" s="1692">
        <f t="shared" si="8"/>
        <v>92850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220684</v>
      </c>
      <c r="D74" s="1699">
        <f t="shared" ref="D74:K74" si="10">SUM(D42,D47,D53,D57,D65,D72,D73)</f>
        <v>24712</v>
      </c>
      <c r="E74" s="1699">
        <f t="shared" si="10"/>
        <v>31084</v>
      </c>
      <c r="F74" s="1699">
        <f t="shared" si="10"/>
        <v>45214</v>
      </c>
      <c r="G74" s="1699">
        <f t="shared" si="10"/>
        <v>10625</v>
      </c>
      <c r="H74" s="1699">
        <f t="shared" si="10"/>
        <v>5044</v>
      </c>
      <c r="I74" s="1699">
        <f t="shared" si="10"/>
        <v>0</v>
      </c>
      <c r="J74" s="1699">
        <f t="shared" si="10"/>
        <v>0</v>
      </c>
      <c r="K74" s="1699">
        <f t="shared" si="10"/>
        <v>337363</v>
      </c>
      <c r="L74" s="1699">
        <f>SUM(L42,L47,L53,L57,L65,L72,L73)</f>
        <v>345715</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14478</v>
      </c>
      <c r="F79" s="617"/>
      <c r="G79" s="617"/>
      <c r="H79" s="466">
        <v>40881</v>
      </c>
      <c r="I79" s="477"/>
      <c r="J79" s="477"/>
      <c r="K79" s="1693">
        <f t="shared" si="11"/>
        <v>55359</v>
      </c>
      <c r="L79" s="466">
        <v>56500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14478</v>
      </c>
      <c r="F84" s="617"/>
      <c r="G84" s="617"/>
      <c r="H84" s="1692">
        <f>SUM(H78:H83)</f>
        <v>40881</v>
      </c>
      <c r="I84" s="477"/>
      <c r="J84" s="477"/>
      <c r="K84" s="1692">
        <f>SUM(K78:K83)</f>
        <v>55359</v>
      </c>
      <c r="L84" s="1692">
        <f>SUM(L78:L83)</f>
        <v>56500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v>69938</v>
      </c>
      <c r="I86" s="477"/>
      <c r="J86" s="477"/>
      <c r="K86" s="1699">
        <f t="shared" ref="K86:K98" si="12">H86</f>
        <v>69938</v>
      </c>
      <c r="L86" s="530">
        <v>70000</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69938</v>
      </c>
      <c r="I92" s="477"/>
      <c r="J92" s="477"/>
      <c r="K92" s="1699">
        <f t="shared" si="12"/>
        <v>69938</v>
      </c>
      <c r="L92" s="1692">
        <f>SUM(L85:L91)</f>
        <v>70000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14478</v>
      </c>
      <c r="F102" s="617"/>
      <c r="G102" s="617"/>
      <c r="H102" s="1699">
        <f>SUM(H84,H92,H100,H101)</f>
        <v>110819</v>
      </c>
      <c r="I102" s="477"/>
      <c r="J102" s="477"/>
      <c r="K102" s="1699">
        <f>SUM(K84,K92,K100,K101)</f>
        <v>125297</v>
      </c>
      <c r="L102" s="1699">
        <f>SUM(L84,L92,L100,L101)</f>
        <v>126500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1008863</v>
      </c>
      <c r="D114" s="1692">
        <f t="shared" ref="D114:K114" si="13">SUM(D33,D74,D75,D102,D112,D113)</f>
        <v>169329</v>
      </c>
      <c r="E114" s="1692">
        <f t="shared" si="13"/>
        <v>90975</v>
      </c>
      <c r="F114" s="1692">
        <f t="shared" si="13"/>
        <v>115714</v>
      </c>
      <c r="G114" s="1692">
        <f t="shared" si="13"/>
        <v>10625</v>
      </c>
      <c r="H114" s="1692">
        <f>SUM(H33,H74,H75,H102,H112,H113)</f>
        <v>119002</v>
      </c>
      <c r="I114" s="1692">
        <f t="shared" si="13"/>
        <v>0</v>
      </c>
      <c r="J114" s="1692">
        <f t="shared" si="13"/>
        <v>0</v>
      </c>
      <c r="K114" s="1692">
        <f t="shared" si="13"/>
        <v>1514508</v>
      </c>
      <c r="L114" s="1692">
        <f>SUM(L33,L74,L75,L102,L112,L113)</f>
        <v>1565290</v>
      </c>
    </row>
    <row r="115" spans="1:14" ht="13.5" thickTop="1" x14ac:dyDescent="0.2">
      <c r="A115" s="2174" t="s">
        <v>1053</v>
      </c>
      <c r="B115" s="2175"/>
      <c r="C115" s="619"/>
      <c r="D115" s="619"/>
      <c r="E115" s="619"/>
      <c r="F115" s="619"/>
      <c r="G115" s="619"/>
      <c r="H115" s="619"/>
      <c r="I115" s="619"/>
      <c r="J115" s="619"/>
      <c r="K115" s="1706">
        <f>'Revenues 9-14'!C275-'Expenditures 15-22'!K114</f>
        <v>-152545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43547</v>
      </c>
      <c r="D124" s="466">
        <v>65</v>
      </c>
      <c r="E124" s="466">
        <v>51930</v>
      </c>
      <c r="F124" s="466">
        <v>40829</v>
      </c>
      <c r="G124" s="466"/>
      <c r="H124" s="466"/>
      <c r="I124" s="467"/>
      <c r="J124" s="467"/>
      <c r="K124" s="1692">
        <f>SUM(C124:J124)</f>
        <v>136371</v>
      </c>
      <c r="L124" s="466">
        <v>146050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43547</v>
      </c>
      <c r="D127" s="1692">
        <f t="shared" ref="D127:L127" si="14">SUM(D122:D126)</f>
        <v>65</v>
      </c>
      <c r="E127" s="1692">
        <f t="shared" si="14"/>
        <v>51930</v>
      </c>
      <c r="F127" s="1692">
        <f t="shared" si="14"/>
        <v>40829</v>
      </c>
      <c r="G127" s="1692">
        <f t="shared" si="14"/>
        <v>0</v>
      </c>
      <c r="H127" s="1692">
        <f t="shared" si="14"/>
        <v>0</v>
      </c>
      <c r="I127" s="1692">
        <f t="shared" si="14"/>
        <v>0</v>
      </c>
      <c r="J127" s="1692">
        <f t="shared" si="14"/>
        <v>0</v>
      </c>
      <c r="K127" s="1692">
        <f t="shared" si="14"/>
        <v>136371</v>
      </c>
      <c r="L127" s="1692">
        <f t="shared" si="14"/>
        <v>146050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43547</v>
      </c>
      <c r="D129" s="1699">
        <f t="shared" ref="D129:L129" si="15">SUM(D120,D127,D128)</f>
        <v>65</v>
      </c>
      <c r="E129" s="1699">
        <f t="shared" si="15"/>
        <v>51930</v>
      </c>
      <c r="F129" s="1699">
        <f t="shared" si="15"/>
        <v>40829</v>
      </c>
      <c r="G129" s="1699">
        <f t="shared" si="15"/>
        <v>0</v>
      </c>
      <c r="H129" s="1699">
        <f t="shared" si="15"/>
        <v>0</v>
      </c>
      <c r="I129" s="1699">
        <f t="shared" si="15"/>
        <v>0</v>
      </c>
      <c r="J129" s="1699">
        <f t="shared" si="15"/>
        <v>0</v>
      </c>
      <c r="K129" s="1699">
        <f t="shared" si="15"/>
        <v>136371</v>
      </c>
      <c r="L129" s="1699">
        <f t="shared" si="15"/>
        <v>146050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1" t="s">
        <v>641</v>
      </c>
      <c r="B151" s="2171"/>
      <c r="C151" s="1692">
        <f>SUM(C129,C130,C139,C149,C150)</f>
        <v>43547</v>
      </c>
      <c r="D151" s="1692">
        <f t="shared" ref="D151:K151" si="16">SUM(D129,D130,D139,D149,D150)</f>
        <v>65</v>
      </c>
      <c r="E151" s="1692">
        <f t="shared" si="16"/>
        <v>51930</v>
      </c>
      <c r="F151" s="1692">
        <f t="shared" si="16"/>
        <v>40829</v>
      </c>
      <c r="G151" s="1692">
        <f t="shared" si="16"/>
        <v>0</v>
      </c>
      <c r="H151" s="1692">
        <f t="shared" si="16"/>
        <v>0</v>
      </c>
      <c r="I151" s="1692">
        <f t="shared" si="16"/>
        <v>0</v>
      </c>
      <c r="J151" s="1692">
        <f t="shared" si="16"/>
        <v>0</v>
      </c>
      <c r="K151" s="1692">
        <f t="shared" si="16"/>
        <v>136371</v>
      </c>
      <c r="L151" s="1692">
        <f>SUM(L129,L130,L139,L149,L150)</f>
        <v>146050</v>
      </c>
    </row>
    <row r="152" spans="1:14" ht="12.75" customHeight="1" thickTop="1" x14ac:dyDescent="0.2">
      <c r="A152" s="2194" t="s">
        <v>1240</v>
      </c>
      <c r="B152" s="2195"/>
      <c r="C152" s="619"/>
      <c r="D152" s="619"/>
      <c r="E152" s="619"/>
      <c r="F152" s="619"/>
      <c r="G152" s="619"/>
      <c r="H152" s="619"/>
      <c r="I152" s="619"/>
      <c r="J152" s="617"/>
      <c r="K152" s="1706">
        <f>'Revenues 9-14'!D275-'Expenditures 15-22'!K151</f>
        <v>31514</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7849</v>
      </c>
      <c r="I169" s="617"/>
      <c r="J169" s="617"/>
      <c r="K169" s="1693">
        <f>SUM(C169:H169)</f>
        <v>7849</v>
      </c>
      <c r="L169" s="657">
        <v>8000</v>
      </c>
    </row>
    <row r="170" spans="1:14" ht="33.75" customHeight="1" x14ac:dyDescent="0.2">
      <c r="A170" s="670" t="s">
        <v>1769</v>
      </c>
      <c r="B170" s="672" t="s">
        <v>31</v>
      </c>
      <c r="C170" s="617"/>
      <c r="D170" s="617"/>
      <c r="E170" s="617"/>
      <c r="F170" s="617"/>
      <c r="G170" s="617"/>
      <c r="H170" s="569">
        <v>450000</v>
      </c>
      <c r="I170" s="617"/>
      <c r="J170" s="617"/>
      <c r="K170" s="1693">
        <f>SUM(C170:J170)</f>
        <v>450000</v>
      </c>
      <c r="L170" s="569">
        <v>450000</v>
      </c>
    </row>
    <row r="171" spans="1:14" ht="15.75" customHeight="1" x14ac:dyDescent="0.2">
      <c r="A171" s="622" t="s">
        <v>790</v>
      </c>
      <c r="B171" s="673" t="s">
        <v>86</v>
      </c>
      <c r="C171" s="617"/>
      <c r="D171" s="617"/>
      <c r="E171" s="466"/>
      <c r="F171" s="617"/>
      <c r="G171" s="617"/>
      <c r="H171" s="569">
        <v>500</v>
      </c>
      <c r="I171" s="477"/>
      <c r="J171" s="617"/>
      <c r="K171" s="1693">
        <f>SUM(C171:J171)</f>
        <v>500</v>
      </c>
      <c r="L171" s="569"/>
    </row>
    <row r="172" spans="1:14" ht="12.75" customHeight="1" thickBot="1" x14ac:dyDescent="0.25">
      <c r="A172" s="1690" t="s">
        <v>659</v>
      </c>
      <c r="B172" s="1691" t="s">
        <v>513</v>
      </c>
      <c r="C172" s="617"/>
      <c r="D172" s="617"/>
      <c r="E172" s="1699">
        <f>SUM(E168,E169,E170,E171)</f>
        <v>0</v>
      </c>
      <c r="F172" s="617"/>
      <c r="G172" s="617"/>
      <c r="H172" s="1699">
        <f>SUM(H168,H169,H170,H171)</f>
        <v>458349</v>
      </c>
      <c r="I172" s="639"/>
      <c r="J172" s="617"/>
      <c r="K172" s="1699">
        <f>SUM(K168,K169,K170,K171)</f>
        <v>458349</v>
      </c>
      <c r="L172" s="1699">
        <f>SUM(L168,L169,L170,L171)</f>
        <v>458000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458349</v>
      </c>
      <c r="I174" s="639"/>
      <c r="J174" s="617"/>
      <c r="K174" s="1699">
        <f>SUM(K160,K172,K173)</f>
        <v>458349</v>
      </c>
      <c r="L174" s="1699">
        <f>SUM(L160,L172,L173)</f>
        <v>458000</v>
      </c>
    </row>
    <row r="175" spans="1:14" ht="13.5" thickTop="1" x14ac:dyDescent="0.2">
      <c r="A175" s="2174" t="s">
        <v>1053</v>
      </c>
      <c r="B175" s="2175"/>
      <c r="C175" s="617"/>
      <c r="D175" s="617"/>
      <c r="E175" s="617"/>
      <c r="F175" s="617"/>
      <c r="G175" s="617"/>
      <c r="H175" s="619"/>
      <c r="I175" s="617"/>
      <c r="J175" s="617"/>
      <c r="K175" s="1706">
        <f>'Revenues 9-14'!E275-'Expenditures 15-22'!K174</f>
        <v>-552</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60160</v>
      </c>
      <c r="D182" s="466">
        <v>7</v>
      </c>
      <c r="E182" s="466">
        <v>82474</v>
      </c>
      <c r="F182" s="466">
        <v>13885</v>
      </c>
      <c r="G182" s="466">
        <v>5434</v>
      </c>
      <c r="H182" s="466">
        <v>21365</v>
      </c>
      <c r="I182" s="467"/>
      <c r="J182" s="467"/>
      <c r="K182" s="1693">
        <f>SUM(C182:J182)</f>
        <v>183325</v>
      </c>
      <c r="L182" s="466">
        <v>187360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60160</v>
      </c>
      <c r="D184" s="1699">
        <f t="shared" ref="D184:J184" si="17">SUM(D180,D182,D183)</f>
        <v>7</v>
      </c>
      <c r="E184" s="1699">
        <f t="shared" si="17"/>
        <v>82474</v>
      </c>
      <c r="F184" s="1699">
        <f t="shared" si="17"/>
        <v>13885</v>
      </c>
      <c r="G184" s="1699">
        <f t="shared" si="17"/>
        <v>5434</v>
      </c>
      <c r="H184" s="1699">
        <f t="shared" si="17"/>
        <v>21365</v>
      </c>
      <c r="I184" s="1699">
        <f t="shared" si="17"/>
        <v>0</v>
      </c>
      <c r="J184" s="1699">
        <f t="shared" si="17"/>
        <v>0</v>
      </c>
      <c r="K184" s="1699">
        <f>SUM(K180,K182,K183)</f>
        <v>183325</v>
      </c>
      <c r="L184" s="1699">
        <f>SUM(L180, L182:L183)</f>
        <v>187360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60160</v>
      </c>
      <c r="D210" s="1692">
        <f>SUM(D184,D185)</f>
        <v>7</v>
      </c>
      <c r="E210" s="1692">
        <f>SUM(E184,E185,E196)</f>
        <v>82474</v>
      </c>
      <c r="F210" s="1692">
        <f>SUM(F184,F185)</f>
        <v>13885</v>
      </c>
      <c r="G210" s="1692">
        <f>SUM(G184,G185)</f>
        <v>5434</v>
      </c>
      <c r="H210" s="1692">
        <f>SUM(H184,H185,H196,H208,H209)</f>
        <v>21365</v>
      </c>
      <c r="I210" s="1692">
        <f>SUM(I184,I185)</f>
        <v>0</v>
      </c>
      <c r="J210" s="1692">
        <f>SUM(J184,J185)</f>
        <v>0</v>
      </c>
      <c r="K210" s="1693">
        <f>SUM(K184,K185,K196,K208,K209)</f>
        <v>183325</v>
      </c>
      <c r="L210" s="1692">
        <f>SUM(L184,L185,L196,L208,L209)</f>
        <v>187360</v>
      </c>
    </row>
    <row r="211" spans="1:14" ht="13.5" thickTop="1" x14ac:dyDescent="0.2">
      <c r="A211" s="2174" t="s">
        <v>1053</v>
      </c>
      <c r="B211" s="2175"/>
      <c r="C211" s="619"/>
      <c r="D211" s="619"/>
      <c r="E211" s="619"/>
      <c r="F211" s="619"/>
      <c r="G211" s="619"/>
      <c r="H211" s="619"/>
      <c r="I211" s="617"/>
      <c r="J211" s="617"/>
      <c r="K211" s="1706">
        <f>'Revenues 9-14'!F275-'Expenditures 15-22'!K210</f>
        <v>53062</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15084</v>
      </c>
      <c r="E215" s="617"/>
      <c r="F215" s="617"/>
      <c r="G215" s="617"/>
      <c r="H215" s="617"/>
      <c r="I215" s="617"/>
      <c r="J215" s="617"/>
      <c r="K215" s="1693">
        <f>D215</f>
        <v>15084</v>
      </c>
      <c r="L215" s="466">
        <v>18750</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7978</v>
      </c>
      <c r="E217" s="617"/>
      <c r="F217" s="617"/>
      <c r="G217" s="617"/>
      <c r="H217" s="617"/>
      <c r="I217" s="617"/>
      <c r="J217" s="617"/>
      <c r="K217" s="1693">
        <f t="shared" si="19"/>
        <v>7978</v>
      </c>
      <c r="L217" s="466">
        <v>9200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3537</v>
      </c>
      <c r="E219" s="617"/>
      <c r="F219" s="617"/>
      <c r="G219" s="617"/>
      <c r="H219" s="617"/>
      <c r="I219" s="617"/>
      <c r="J219" s="617"/>
      <c r="K219" s="1693">
        <f t="shared" si="19"/>
        <v>3537</v>
      </c>
      <c r="L219" s="466">
        <v>3650</v>
      </c>
    </row>
    <row r="220" spans="1:14" x14ac:dyDescent="0.2">
      <c r="A220" s="1526" t="s">
        <v>298</v>
      </c>
      <c r="B220" s="615" t="s">
        <v>163</v>
      </c>
      <c r="C220" s="617"/>
      <c r="D220" s="467"/>
      <c r="E220" s="617"/>
      <c r="F220" s="617"/>
      <c r="G220" s="617"/>
      <c r="H220" s="617"/>
      <c r="I220" s="617"/>
      <c r="J220" s="617"/>
      <c r="K220" s="1693">
        <f t="shared" si="19"/>
        <v>0</v>
      </c>
      <c r="L220" s="466">
        <v>200</v>
      </c>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664</v>
      </c>
      <c r="E223" s="617"/>
      <c r="F223" s="617"/>
      <c r="G223" s="617"/>
      <c r="H223" s="617"/>
      <c r="I223" s="617"/>
      <c r="J223" s="617"/>
      <c r="K223" s="1693">
        <f t="shared" si="19"/>
        <v>664</v>
      </c>
      <c r="L223" s="466">
        <v>900</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27263</v>
      </c>
      <c r="E229" s="617"/>
      <c r="F229" s="617"/>
      <c r="G229" s="617"/>
      <c r="H229" s="617"/>
      <c r="I229" s="617"/>
      <c r="J229" s="617"/>
      <c r="K229" s="1692">
        <f>SUM(K215:K228)</f>
        <v>27263</v>
      </c>
      <c r="L229" s="1692">
        <f>SUM(L215:L228)</f>
        <v>32700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v>535</v>
      </c>
      <c r="E236" s="617"/>
      <c r="F236" s="617"/>
      <c r="G236" s="617"/>
      <c r="H236" s="617"/>
      <c r="I236" s="617"/>
      <c r="J236" s="617"/>
      <c r="K236" s="1693">
        <f t="shared" si="20"/>
        <v>535</v>
      </c>
      <c r="L236" s="466">
        <v>550</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535</v>
      </c>
      <c r="E238" s="617"/>
      <c r="F238" s="617"/>
      <c r="G238" s="617"/>
      <c r="H238" s="617"/>
      <c r="I238" s="617"/>
      <c r="J238" s="617"/>
      <c r="K238" s="1692">
        <f>SUM(K232:K237)</f>
        <v>535</v>
      </c>
      <c r="L238" s="1692">
        <f>SUM(L232:L237)</f>
        <v>550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391</v>
      </c>
      <c r="E245" s="617"/>
      <c r="F245" s="617"/>
      <c r="G245" s="617"/>
      <c r="H245" s="617"/>
      <c r="I245" s="617"/>
      <c r="J245" s="617"/>
      <c r="K245" s="1694">
        <f>D245</f>
        <v>391</v>
      </c>
      <c r="L245" s="481">
        <v>475</v>
      </c>
    </row>
    <row r="246" spans="1:12" x14ac:dyDescent="0.2">
      <c r="A246" s="1526" t="s">
        <v>872</v>
      </c>
      <c r="B246" s="615">
        <v>2320</v>
      </c>
      <c r="C246" s="617"/>
      <c r="D246" s="466">
        <v>656</v>
      </c>
      <c r="E246" s="617"/>
      <c r="F246" s="617"/>
      <c r="G246" s="617"/>
      <c r="H246" s="617"/>
      <c r="I246" s="617"/>
      <c r="J246" s="617"/>
      <c r="K246" s="1694">
        <f t="shared" ref="K246:K256" si="21">D246</f>
        <v>656</v>
      </c>
      <c r="L246" s="466">
        <v>700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v>3141</v>
      </c>
      <c r="E254" s="617"/>
      <c r="F254" s="617"/>
      <c r="G254" s="617"/>
      <c r="H254" s="617"/>
      <c r="I254" s="617"/>
      <c r="J254" s="617"/>
      <c r="K254" s="1694">
        <f t="shared" si="21"/>
        <v>3141</v>
      </c>
      <c r="L254" s="466">
        <v>3100</v>
      </c>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4188</v>
      </c>
      <c r="E257" s="617"/>
      <c r="F257" s="617"/>
      <c r="G257" s="617"/>
      <c r="H257" s="617"/>
      <c r="I257" s="617"/>
      <c r="J257" s="617"/>
      <c r="K257" s="1692">
        <f>SUM(K245:K256)</f>
        <v>4188</v>
      </c>
      <c r="L257" s="1692">
        <f>SUM(L245:L256)</f>
        <v>4275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11982</v>
      </c>
      <c r="E259" s="617"/>
      <c r="F259" s="617"/>
      <c r="G259" s="617"/>
      <c r="H259" s="617"/>
      <c r="I259" s="617"/>
      <c r="J259" s="617"/>
      <c r="K259" s="1694">
        <f>D259</f>
        <v>11982</v>
      </c>
      <c r="L259" s="481">
        <v>8250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11982</v>
      </c>
      <c r="E261" s="617"/>
      <c r="F261" s="617"/>
      <c r="G261" s="617"/>
      <c r="H261" s="617"/>
      <c r="I261" s="617"/>
      <c r="J261" s="617"/>
      <c r="K261" s="1692">
        <f>SUM(K259:K260)</f>
        <v>11982</v>
      </c>
      <c r="L261" s="1692">
        <f>SUM(L259:L260)</f>
        <v>8250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3331</v>
      </c>
      <c r="E266" s="617"/>
      <c r="F266" s="617"/>
      <c r="G266" s="617"/>
      <c r="H266" s="617"/>
      <c r="I266" s="617"/>
      <c r="J266" s="617"/>
      <c r="K266" s="1694">
        <f t="shared" si="22"/>
        <v>3331</v>
      </c>
      <c r="L266" s="466">
        <v>7930</v>
      </c>
    </row>
    <row r="267" spans="1:14" x14ac:dyDescent="0.2">
      <c r="A267" s="1526" t="s">
        <v>1010</v>
      </c>
      <c r="B267" s="615">
        <v>2550</v>
      </c>
      <c r="C267" s="617"/>
      <c r="D267" s="466">
        <v>4479</v>
      </c>
      <c r="E267" s="617"/>
      <c r="F267" s="617"/>
      <c r="G267" s="617"/>
      <c r="H267" s="617"/>
      <c r="I267" s="617"/>
      <c r="J267" s="617"/>
      <c r="K267" s="1694">
        <f t="shared" si="22"/>
        <v>4479</v>
      </c>
      <c r="L267" s="466">
        <v>5000</v>
      </c>
    </row>
    <row r="268" spans="1:14" x14ac:dyDescent="0.2">
      <c r="A268" s="1526" t="s">
        <v>102</v>
      </c>
      <c r="B268" s="615">
        <v>2560</v>
      </c>
      <c r="C268" s="617"/>
      <c r="D268" s="466">
        <v>7690</v>
      </c>
      <c r="E268" s="617"/>
      <c r="F268" s="617"/>
      <c r="G268" s="617"/>
      <c r="H268" s="617"/>
      <c r="I268" s="617"/>
      <c r="J268" s="617"/>
      <c r="K268" s="1694">
        <f t="shared" si="22"/>
        <v>7690</v>
      </c>
      <c r="L268" s="466">
        <v>8250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15500</v>
      </c>
      <c r="E270" s="617"/>
      <c r="F270" s="617"/>
      <c r="G270" s="617"/>
      <c r="H270" s="617"/>
      <c r="I270" s="617"/>
      <c r="J270" s="617"/>
      <c r="K270" s="1692">
        <f>SUM(K263:K269)</f>
        <v>15500</v>
      </c>
      <c r="L270" s="1692">
        <f>SUM(L263:L269)</f>
        <v>21180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32205</v>
      </c>
      <c r="E279" s="617"/>
      <c r="F279" s="617"/>
      <c r="G279" s="617"/>
      <c r="H279" s="617"/>
      <c r="I279" s="617"/>
      <c r="J279" s="617"/>
      <c r="K279" s="1699">
        <f>SUM(K238,K243,K257,K261,K270,K277,K278)</f>
        <v>32205</v>
      </c>
      <c r="L279" s="1699">
        <f>SUM(L238,L243,L257,L261,L270,L277,L278)</f>
        <v>34255</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2" t="s">
        <v>526</v>
      </c>
      <c r="B295" s="2193"/>
      <c r="C295" s="617"/>
      <c r="D295" s="1692">
        <f>SUM(D229,D279,D280,D285)</f>
        <v>59468</v>
      </c>
      <c r="E295" s="617"/>
      <c r="F295" s="617"/>
      <c r="G295" s="617"/>
      <c r="H295" s="1692">
        <f>H293</f>
        <v>0</v>
      </c>
      <c r="I295" s="617"/>
      <c r="J295" s="617"/>
      <c r="K295" s="1692">
        <f>SUM(K229,K279,K280,K285,K293,K294)</f>
        <v>59468</v>
      </c>
      <c r="L295" s="1692">
        <f>SUM(L229,L279,L280,L285,L293,L294)</f>
        <v>66955</v>
      </c>
    </row>
    <row r="296" spans="1:14" ht="13.5" thickTop="1" x14ac:dyDescent="0.2">
      <c r="A296" s="2174" t="s">
        <v>1053</v>
      </c>
      <c r="B296" s="2175"/>
      <c r="C296" s="617"/>
      <c r="D296" s="619"/>
      <c r="E296" s="617"/>
      <c r="F296" s="617"/>
      <c r="G296" s="617"/>
      <c r="H296" s="688"/>
      <c r="I296" s="617"/>
      <c r="J296" s="617"/>
      <c r="K296" s="1706">
        <f>'Revenues 9-14'!G275-'Expenditures 15-22'!K295</f>
        <v>21529</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9" t="s">
        <v>295</v>
      </c>
      <c r="B312" s="2190"/>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5" t="s">
        <v>1053</v>
      </c>
      <c r="B313" s="2186"/>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10220</v>
      </c>
      <c r="F320" s="467"/>
      <c r="G320" s="467"/>
      <c r="H320" s="467"/>
      <c r="I320" s="467"/>
      <c r="J320" s="467"/>
      <c r="K320" s="1693">
        <f t="shared" ref="K320:K327" si="24">SUM(C320:J320)</f>
        <v>10220</v>
      </c>
      <c r="L320" s="467">
        <v>11000</v>
      </c>
      <c r="M320" s="666"/>
      <c r="N320" s="666"/>
    </row>
    <row r="321" spans="1:14" s="675" customFormat="1" x14ac:dyDescent="0.2">
      <c r="A321" s="1541" t="s">
        <v>318</v>
      </c>
      <c r="B321" s="698" t="s">
        <v>301</v>
      </c>
      <c r="C321" s="467"/>
      <c r="D321" s="467"/>
      <c r="E321" s="467">
        <v>2439</v>
      </c>
      <c r="F321" s="467"/>
      <c r="G321" s="467"/>
      <c r="H321" s="467"/>
      <c r="I321" s="467"/>
      <c r="J321" s="467"/>
      <c r="K321" s="1693">
        <f t="shared" si="24"/>
        <v>2439</v>
      </c>
      <c r="L321" s="467">
        <v>2500</v>
      </c>
      <c r="M321" s="666"/>
      <c r="N321" s="666"/>
    </row>
    <row r="322" spans="1:14" s="675" customFormat="1" x14ac:dyDescent="0.2">
      <c r="A322" s="1541" t="s">
        <v>256</v>
      </c>
      <c r="B322" s="698" t="s">
        <v>302</v>
      </c>
      <c r="C322" s="467"/>
      <c r="D322" s="467"/>
      <c r="E322" s="467">
        <v>26717</v>
      </c>
      <c r="F322" s="467"/>
      <c r="G322" s="467"/>
      <c r="H322" s="467"/>
      <c r="I322" s="467"/>
      <c r="J322" s="467"/>
      <c r="K322" s="1693">
        <f t="shared" si="24"/>
        <v>26717</v>
      </c>
      <c r="L322" s="467">
        <v>27000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32001</v>
      </c>
      <c r="D325" s="467">
        <v>2636</v>
      </c>
      <c r="E325" s="467">
        <v>642</v>
      </c>
      <c r="F325" s="467"/>
      <c r="G325" s="467"/>
      <c r="H325" s="467"/>
      <c r="I325" s="467"/>
      <c r="J325" s="467"/>
      <c r="K325" s="1693">
        <f t="shared" si="24"/>
        <v>35279</v>
      </c>
      <c r="L325" s="467">
        <v>36250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32001</v>
      </c>
      <c r="D330" s="1692">
        <f t="shared" ref="D330:J330" si="25">SUM(D319:D329)</f>
        <v>2636</v>
      </c>
      <c r="E330" s="1692">
        <f t="shared" si="25"/>
        <v>40018</v>
      </c>
      <c r="F330" s="1692">
        <f t="shared" si="25"/>
        <v>0</v>
      </c>
      <c r="G330" s="1692">
        <f t="shared" si="25"/>
        <v>0</v>
      </c>
      <c r="H330" s="1692">
        <f t="shared" si="25"/>
        <v>0</v>
      </c>
      <c r="I330" s="1692">
        <f t="shared" si="25"/>
        <v>0</v>
      </c>
      <c r="J330" s="1692">
        <f t="shared" si="25"/>
        <v>0</v>
      </c>
      <c r="K330" s="1692">
        <f>SUM(K319:K329)</f>
        <v>74655</v>
      </c>
      <c r="L330" s="1692">
        <f>SUM(L319:L329)</f>
        <v>76750</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32001</v>
      </c>
      <c r="D342" s="1692">
        <f>SUM(D330)</f>
        <v>2636</v>
      </c>
      <c r="E342" s="1692">
        <f>SUM(E330)</f>
        <v>40018</v>
      </c>
      <c r="F342" s="1692">
        <f>SUM(F330)</f>
        <v>0</v>
      </c>
      <c r="G342" s="1692">
        <f>SUM(G330)</f>
        <v>0</v>
      </c>
      <c r="H342" s="1692">
        <f>SUM(H330,H334,H340)</f>
        <v>0</v>
      </c>
      <c r="I342" s="1692">
        <f>SUM(I330)</f>
        <v>0</v>
      </c>
      <c r="J342" s="1692">
        <f>SUM(J330)</f>
        <v>0</v>
      </c>
      <c r="K342" s="1692">
        <f>SUM(K330,K334,K340)</f>
        <v>74655</v>
      </c>
      <c r="L342" s="1699">
        <f>SUM(L330,L340,L341)</f>
        <v>76750</v>
      </c>
    </row>
    <row r="343" spans="1:14" ht="12.75" customHeight="1" thickTop="1" x14ac:dyDescent="0.2">
      <c r="A343" s="2187" t="s">
        <v>1053</v>
      </c>
      <c r="B343" s="2188"/>
      <c r="C343" s="617"/>
      <c r="D343" s="617"/>
      <c r="E343" s="617"/>
      <c r="F343" s="617"/>
      <c r="G343" s="617"/>
      <c r="H343" s="617"/>
      <c r="I343" s="617"/>
      <c r="J343" s="617"/>
      <c r="K343" s="1706">
        <f>'Revenues 9-14'!J275-'Expenditures 15-22'!K342</f>
        <v>-1661</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v>2985</v>
      </c>
      <c r="H348" s="466"/>
      <c r="I348" s="467"/>
      <c r="J348" s="467"/>
      <c r="K348" s="1693">
        <f>SUM(C348:J348)</f>
        <v>2985</v>
      </c>
      <c r="L348" s="466">
        <v>3000</v>
      </c>
    </row>
    <row r="349" spans="1:14" x14ac:dyDescent="0.2">
      <c r="A349" s="1526" t="s">
        <v>206</v>
      </c>
      <c r="B349" s="615">
        <v>2540</v>
      </c>
      <c r="C349" s="466"/>
      <c r="D349" s="466"/>
      <c r="E349" s="466"/>
      <c r="F349" s="466"/>
      <c r="G349" s="466">
        <v>4340</v>
      </c>
      <c r="H349" s="466"/>
      <c r="I349" s="467"/>
      <c r="J349" s="467"/>
      <c r="K349" s="1693">
        <f>SUM(C349:J349)</f>
        <v>4340</v>
      </c>
      <c r="L349" s="466">
        <v>4500</v>
      </c>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7325</v>
      </c>
      <c r="H350" s="1692">
        <f t="shared" si="26"/>
        <v>0</v>
      </c>
      <c r="I350" s="1692">
        <f t="shared" si="26"/>
        <v>0</v>
      </c>
      <c r="J350" s="1692">
        <f t="shared" si="26"/>
        <v>0</v>
      </c>
      <c r="K350" s="1692">
        <f t="shared" si="26"/>
        <v>7325</v>
      </c>
      <c r="L350" s="1692">
        <f t="shared" si="26"/>
        <v>7500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7325</v>
      </c>
      <c r="H352" s="1692">
        <f t="shared" si="27"/>
        <v>0</v>
      </c>
      <c r="I352" s="1692">
        <f t="shared" si="27"/>
        <v>0</v>
      </c>
      <c r="J352" s="1692">
        <f t="shared" si="27"/>
        <v>0</v>
      </c>
      <c r="K352" s="1692">
        <f t="shared" si="27"/>
        <v>7325</v>
      </c>
      <c r="L352" s="1692">
        <f t="shared" si="27"/>
        <v>7500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7325</v>
      </c>
      <c r="H367" s="1692">
        <f t="shared" si="28"/>
        <v>0</v>
      </c>
      <c r="I367" s="1692">
        <f t="shared" si="28"/>
        <v>0</v>
      </c>
      <c r="J367" s="1692">
        <f t="shared" si="28"/>
        <v>0</v>
      </c>
      <c r="K367" s="1692">
        <f t="shared" si="28"/>
        <v>7325</v>
      </c>
      <c r="L367" s="1692">
        <f t="shared" si="28"/>
        <v>7500</v>
      </c>
    </row>
    <row r="368" spans="1:14" ht="13.5" thickTop="1" x14ac:dyDescent="0.2">
      <c r="A368" s="2174" t="s">
        <v>1053</v>
      </c>
      <c r="B368" s="2175"/>
      <c r="C368" s="655"/>
      <c r="D368" s="655"/>
      <c r="E368" s="627"/>
      <c r="F368" s="627"/>
      <c r="G368" s="627"/>
      <c r="H368" s="627"/>
      <c r="I368" s="627"/>
      <c r="J368" s="624"/>
      <c r="K368" s="1693">
        <f>'Revenues 9-14'!K275-'Expenditures 15-22'!K367</f>
        <v>-7325</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6ce3111e-7420-4802-b50a-75d4e9a0b980"/>
    <ds:schemaRef ds:uri="http://www.w3.org/XML/1998/namespace"/>
    <ds:schemaRef ds:uri="4d435f69-8686-490b-bd6d-b153bf22ab50"/>
    <ds:schemaRef ds:uri="http://purl.org/dc/elements/1.1/"/>
    <ds:schemaRef ds:uri="http://purl.org/dc/dcmitype/"/>
    <ds:schemaRef ds:uri="http://schemas.microsoft.com/office/2006/documentManagement/types"/>
    <ds:schemaRef ds:uri="http://schemas.microsoft.com/office/infopath/2007/PartnerControls"/>
    <ds:schemaRef ds:uri="http://purl.org/dc/terms/"/>
    <ds:schemaRef ds:uri="http://schemas.openxmlformats.org/package/2006/metadata/core-properties"/>
    <ds:schemaRef ds:uri="d21dc803-237d-4c68-8692-8d731fd29118"/>
    <ds:schemaRef ds:uri="http://schemas.microsoft.com/sharepoint/v3"/>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2018-10-11T18:25:41Z</cp:lastPrinted>
  <dcterms:created xsi:type="dcterms:W3CDTF">2003-10-29T19:06:34Z</dcterms:created>
  <dcterms:modified xsi:type="dcterms:W3CDTF">2018-10-12T19:05:36Z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